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ml.chartshapes+xml"/>
  <Override PartName="/xl/drawings/drawing8.xml" ContentType="application/vnd.openxmlformats-officedocument.drawingml.chartshap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ml.chartshapes+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ml.chartshapes+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charts/chart7.xml" ContentType="application/vnd.openxmlformats-officedocument.drawingml.chart+xml"/>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ml.chartshape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ml.chartshape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ml.chartshapes+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600" yWindow="30" windowWidth="18420" windowHeight="11010" tabRatio="693"/>
  </bookViews>
  <sheets>
    <sheet name="Profile" sheetId="1" r:id="rId1"/>
    <sheet name="Agency Level" sheetId="69" r:id="rId2"/>
    <sheet name="HR Policy" sheetId="67" r:id="rId3"/>
    <sheet name="IT Support" sheetId="68" r:id="rId4"/>
    <sheet name="Board Type" sheetId="74" r:id="rId5"/>
    <sheet name="2010 Population" sheetId="71" r:id="rId6"/>
    <sheet name="Hispanic Population" sheetId="78" r:id="rId7"/>
    <sheet name="Unemployment 2001-2011" sheetId="24" r:id="rId8"/>
    <sheet name="Poverty 1998-2010" sheetId="25" r:id="rId9"/>
    <sheet name="SNAP Demographics 2011" sheetId="49" r:id="rId10"/>
    <sheet name="TANF DEMOGRAPHICS 2011" sheetId="47" r:id="rId11"/>
    <sheet name="SNAP Clients by SFY" sheetId="31" r:id="rId12"/>
    <sheet name="TANF Clients by SFY" sheetId="32" r:id="rId13"/>
    <sheet name="Medicaid 2011" sheetId="77" r:id="rId14"/>
    <sheet name="Adoption Child by Race" sheetId="63" r:id="rId15"/>
    <sheet name="CPS Referrals by Race 2011" sheetId="66" r:id="rId16"/>
    <sheet name="Compare Recipients Census Med" sheetId="39" state="hidden" r:id="rId17"/>
    <sheet name="Compare Recipients Census SNAP" sheetId="40" state="hidden" r:id="rId18"/>
    <sheet name="Compare Recipients Census TANF" sheetId="41" state="hidden" r:id="rId19"/>
    <sheet name="Adoption Counts Summed SFY 2010" sheetId="38" state="hidden" r:id="rId20"/>
    <sheet name="Foster Care Children Race-2011" sheetId="52" r:id="rId21"/>
    <sheet name="CPS Ref Child Demo 2010 (2)" sheetId="36" state="hidden" r:id="rId22"/>
    <sheet name="Eligibililty Staff LASER-2011" sheetId="53" r:id="rId23"/>
    <sheet name="Services Staff LASER 2011" sheetId="54" r:id="rId24"/>
    <sheet name="Other Exp. LASER 2011" sheetId="55" r:id="rId25"/>
    <sheet name="Services for Clients LASER 2011" sheetId="56" r:id="rId26"/>
    <sheet name="Medicaid &amp; FAMIS - LASER 2011" sheetId="57" r:id="rId27"/>
    <sheet name="SNAP - LASER 2011" sheetId="58" r:id="rId28"/>
    <sheet name="FC &amp; Adoptions LASER 2011" sheetId="60" r:id="rId29"/>
    <sheet name="LIHEAP LASER 2011" sheetId="59" r:id="rId30"/>
    <sheet name="TANF LASER 2011" sheetId="61" r:id="rId31"/>
    <sheet name="Other Benefits LASER 2011" sheetId="62" r:id="rId32"/>
    <sheet name="Benefits Spending Summary" sheetId="79" r:id="rId33"/>
    <sheet name="Position_Mar2012" sheetId="81" r:id="rId34"/>
    <sheet name="Medicaid Clients" sheetId="46" state="hidden" r:id="rId35"/>
    <sheet name="Children in Single-Parent Homes" sheetId="72" r:id="rId36"/>
    <sheet name="Non-marital births" sheetId="73" r:id="rId37"/>
    <sheet name="Cohabiting Couples" sheetId="75" r:id="rId38"/>
    <sheet name="SNAP Participation Rate" sheetId="10" r:id="rId39"/>
    <sheet name="Children in Foster Care" sheetId="6" r:id="rId40"/>
    <sheet name="Children in CPS Investigations" sheetId="8" r:id="rId41"/>
    <sheet name="Abuse and Neglect by Locality" sheetId="9" r:id="rId42"/>
    <sheet name="Locality Name" sheetId="4" r:id="rId43"/>
    <sheet name="Password" sheetId="42" r:id="rId44"/>
  </sheets>
  <externalReferences>
    <externalReference r:id="rId45"/>
  </externalReferences>
  <definedNames>
    <definedName name="_xlnm._FilterDatabase" localSheetId="41" hidden="1">'Abuse and Neglect by Locality'!$A$3:$C$3</definedName>
    <definedName name="_xlnm._FilterDatabase" localSheetId="14" hidden="1">'Adoption Child by Race'!$A$3:$K$124</definedName>
    <definedName name="_xlnm._FilterDatabase" localSheetId="19" hidden="1">'Adoption Counts Summed SFY 2010'!$A$1:$F$125</definedName>
    <definedName name="_xlnm._FilterDatabase" localSheetId="40" hidden="1">'Children in CPS Investigations'!$A$3:$B$3</definedName>
    <definedName name="_xlnm._FilterDatabase" localSheetId="39" hidden="1">'Children in Foster Care'!$A$3:$N$3</definedName>
    <definedName name="_xlnm._FilterDatabase" localSheetId="16" hidden="1">'Compare Recipients Census Med'!$A$3:$Y$127</definedName>
    <definedName name="_xlnm._FilterDatabase" localSheetId="17" hidden="1">'Compare Recipients Census SNAP'!$A$3:$Y$127</definedName>
    <definedName name="_xlnm._FilterDatabase" localSheetId="18" hidden="1">'Compare Recipients Census TANF'!$A$3:$Y$127</definedName>
    <definedName name="_xlnm._FilterDatabase" localSheetId="21" hidden="1">'CPS Ref Child Demo 2010 (2)'!$B$4:$X$125</definedName>
    <definedName name="_xlnm._FilterDatabase" localSheetId="15" hidden="1">'CPS Referrals by Race 2011'!$A$3:$F$3</definedName>
    <definedName name="_xlnm._FilterDatabase" localSheetId="20" hidden="1">'Foster Care Children Race-2011'!$A$4:$G$125</definedName>
    <definedName name="_xlnm._FilterDatabase" localSheetId="38" hidden="1">'SNAP Participation Rate'!$A$3:$C$3</definedName>
    <definedName name="_xlnm._FilterDatabase" localSheetId="7" hidden="1">'Unemployment 2001-2011'!$A$6:$AV$129</definedName>
    <definedName name="adj_span_amer_med">#REF!</definedName>
    <definedName name="ADOP_AVG" localSheetId="16">'Compare Recipients Census Med'!$A$4:$M$124</definedName>
    <definedName name="ADOP_AVG" localSheetId="17">'Compare Recipients Census SNAP'!$A$4:$M$124</definedName>
    <definedName name="ADOP_AVG" localSheetId="18">'Compare Recipients Census TANF'!$A$4:$M$124</definedName>
    <definedName name="ADOP_AVG">'Adoption Counts Summed SFY 2010'!$A$2:$F$122</definedName>
    <definedName name="Adoption_Child_Race_2011_12">'Adoption Child by Race'!$A$3:$F$123</definedName>
    <definedName name="adoption_race">#REF!</definedName>
    <definedName name="Agency_Level" comment="Agency Level or Size">'Agency Level'!$A$3:$E$123</definedName>
    <definedName name="BoardType" comment="Local Agency board type: administrative vs. advisory">'Board Type'!$A$4:$E$123</definedName>
    <definedName name="Child_SingleParent_Homes">'[1]Children in Single-Parent Homes'!$A$6:$K$139</definedName>
    <definedName name="Children_CPS_Referrals">'CPS Ref Child Demo 2010 (2)'!$B$5:$X$125</definedName>
    <definedName name="Cl_Serv_LASER">#REF!</definedName>
    <definedName name="CL_SERV_LASER_2011">'Services for Clients LASER 2011'!$A$5:$E$125</definedName>
    <definedName name="CPS_REF_RACE">#REF!</definedName>
    <definedName name="CPS_REF_RACE_2011">'CPS Referrals by Race 2011'!$A$3:$F$124</definedName>
    <definedName name="cpsst" localSheetId="40">'Children in CPS Investigations'!$A$5:$G$124</definedName>
    <definedName name="eLIGIBILITY">#REF!</definedName>
    <definedName name="Eligibility_2011">'Eligibililty Staff LASER-2011'!$A$4:$E$124</definedName>
    <definedName name="FC_ADOP_LASER">#REF!</definedName>
    <definedName name="FC_Adop_LASER_2011">'FC &amp; Adoptions LASER 2011'!$A$3:$E$124</definedName>
    <definedName name="FC_CHILDREN">#REF!</definedName>
    <definedName name="FC_DEMO_2011">'Foster Care Children Race-2011'!$A$4:$E$125</definedName>
    <definedName name="FCMAP" localSheetId="40">'Children in CPS Investigations'!$A$5:$G$124</definedName>
    <definedName name="FCMAP">'Children in Foster Care'!$B$5:$I$124</definedName>
    <definedName name="FIPS">'Locality Name'!$D$7:$E$128</definedName>
    <definedName name="FIPS_NUM">'Locality Name'!$C$8:$E$128</definedName>
    <definedName name="FIPSN">'Locality Name'!$C$9:$E$128</definedName>
    <definedName name="HR_Deviate" comment="HR Policy Deviation Classification">'HR Policy'!$A$3:$E$123</definedName>
    <definedName name="IT_Support" comment="Level of IT Support">'IT Support'!$A$3:$D$123</definedName>
    <definedName name="LIHEAP_LASER">#REF!</definedName>
    <definedName name="LIHEAP_LASER_2011">'LIHEAP LASER 2011'!$A$5:$D$124</definedName>
    <definedName name="Loc_Name">'Locality Name'!$D$9:$E$128</definedName>
    <definedName name="Locality">'Locality Name'!$D$9:$D$128</definedName>
    <definedName name="marriedcouples">'Cohabiting Couples'!$A$6:$Q$126</definedName>
    <definedName name="Medicaid_demo_2011">#REF!</definedName>
    <definedName name="Medicaid_Demog_2011">'Medicaid 2011'!$1:$1048576</definedName>
    <definedName name="Medicaid_LASER">#REF!</definedName>
    <definedName name="Medicaid_LASER_2011">'Medicaid &amp; FAMIS - LASER 2011'!$A$5:$E$124</definedName>
    <definedName name="MedicaidR">#REF!</definedName>
    <definedName name="NonMaritalBirths_2010">'Non-marital births'!$A$6:$AA$126</definedName>
    <definedName name="OT_BENE_LASER">#REF!</definedName>
    <definedName name="OT_BENE_LASER_2011">'Other Benefits LASER 2011'!$A$5:$E$124</definedName>
    <definedName name="OT_EXP_LASER">#REF!</definedName>
    <definedName name="OT_EXP_LASER_2011">'Other Exp. LASER 2011'!$A$4:$E$124</definedName>
    <definedName name="Pop">#REF!</definedName>
    <definedName name="Pop_2010">#REF!</definedName>
    <definedName name="PopByRace_2010">'2010 Population'!$A$7:$AJ$126</definedName>
    <definedName name="POSITIONS">#REF!</definedName>
    <definedName name="Positions_Feb2012">#REF!</definedName>
    <definedName name="Positions_Mar2012">Position_Mar2012!$A$7:$AJ$126</definedName>
    <definedName name="Pov_10">'Poverty 1998-2010'!$A$5:$O$125</definedName>
    <definedName name="_xlnm.Print_Area" localSheetId="41">'Abuse and Neglect by Locality'!$A$5:$H$142</definedName>
    <definedName name="_xlnm.Print_Area" localSheetId="40">'Children in CPS Investigations'!$A$5:$G$128</definedName>
    <definedName name="_xlnm.Print_Area" localSheetId="39">'Children in Foster Care'!$B$5:$I$127</definedName>
    <definedName name="_xlnm.Print_Area" localSheetId="42">'Locality Name'!$B$9:$E$132</definedName>
    <definedName name="_xlnm.Print_Area" localSheetId="0">Profile!$B$1:$N$123</definedName>
    <definedName name="_xlnm.Print_Area" localSheetId="38">'SNAP Participation Rate'!$A$5:$J$130</definedName>
    <definedName name="_xlnm.Print_Area" localSheetId="7">'Unemployment 2001-2011'!$A$7:$M$127</definedName>
    <definedName name="_xlnm.Print_Titles" localSheetId="41">'Abuse and Neglect by Locality'!$2:$4</definedName>
    <definedName name="_xlnm.Print_Titles" localSheetId="40">'Children in CPS Investigations'!$1:$4</definedName>
    <definedName name="_xlnm.Print_Titles" localSheetId="39">'Children in Foster Care'!$1:$4</definedName>
    <definedName name="_xlnm.Print_Titles" localSheetId="0">Profile!$1:$4</definedName>
    <definedName name="_xlnm.Print_Titles" localSheetId="38">'SNAP Participation Rate'!$1:$4</definedName>
    <definedName name="_xlnm.Print_Titles" localSheetId="7">'Unemployment 2001-2011'!$5:$6</definedName>
    <definedName name="Serv_Staff_2011">'Services Staff LASER 2011'!$A$4:$E$124</definedName>
    <definedName name="SERV_STAFF_LASER">#REF!</definedName>
    <definedName name="SingleParentHomes">'Children in Single-Parent Homes'!$A$5:$S$125</definedName>
    <definedName name="SNAP_DEMO">#REF!</definedName>
    <definedName name="SNAP_DEMO_2011">'SNAP Demographics 2011'!$A$6:$K$126</definedName>
    <definedName name="SNAP_LASER">#REF!</definedName>
    <definedName name="SNAP_LASER_2011">'SNAP - LASER 2011'!$A$3:$D$124</definedName>
    <definedName name="SNAP_RACE">'Locality Name'!$B$9:$E$129</definedName>
    <definedName name="snapcl">'SNAP Clients by SFY'!$A$4:$I$124</definedName>
    <definedName name="Staffing_2011_10">#REF!</definedName>
    <definedName name="TANF_DEMO" localSheetId="10">'TANF DEMOGRAPHICS 2011'!$A$7:$K$127</definedName>
    <definedName name="TANF_DEMO">#REF!</definedName>
    <definedName name="TANF_DEMO_11">'TANF DEMOGRAPHICS 2011'!$A$7:$K$126</definedName>
    <definedName name="TANF_LASER">#REF!</definedName>
    <definedName name="TANF_LASER_2011">'TANF LASER 2011'!$A$4:$E$124</definedName>
    <definedName name="TANFCL">'TANF Clients by SFY'!$A$4:$I$124</definedName>
    <definedName name="Unemp_10">'Unemployment 2001-2011'!$A$6:$AV$126</definedName>
    <definedName name="YTD_EMP">'Unemployment 2001-2011'!#REF!</definedName>
  </definedNames>
  <calcPr calcId="125725"/>
</workbook>
</file>

<file path=xl/calcChain.xml><?xml version="1.0" encoding="utf-8"?>
<calcChain xmlns="http://schemas.openxmlformats.org/spreadsheetml/2006/main">
  <c r="D125" i="68"/>
  <c r="D126"/>
  <c r="E127" i="69"/>
  <c r="E125"/>
  <c r="E126"/>
  <c r="AI126" i="81"/>
  <c r="AH126"/>
  <c r="AG126"/>
  <c r="AF126"/>
  <c r="AE126"/>
  <c r="AD126"/>
  <c r="AI125"/>
  <c r="AH125"/>
  <c r="AG125"/>
  <c r="AF125"/>
  <c r="AE125"/>
  <c r="AD125"/>
  <c r="AI124"/>
  <c r="AH124"/>
  <c r="AG124"/>
  <c r="AF124"/>
  <c r="AE124"/>
  <c r="AD124"/>
  <c r="AI123"/>
  <c r="AH123"/>
  <c r="AG123"/>
  <c r="AF123"/>
  <c r="AE123"/>
  <c r="AD123"/>
  <c r="AI122"/>
  <c r="AH122"/>
  <c r="AG122"/>
  <c r="AF122"/>
  <c r="AE122"/>
  <c r="AD122"/>
  <c r="AI121"/>
  <c r="AH121"/>
  <c r="AG121"/>
  <c r="AF121"/>
  <c r="AE121"/>
  <c r="AD121"/>
  <c r="AI120"/>
  <c r="AH120"/>
  <c r="AG120"/>
  <c r="AF120"/>
  <c r="AE120"/>
  <c r="AD120"/>
  <c r="AI119"/>
  <c r="AH119"/>
  <c r="AG119"/>
  <c r="AF119"/>
  <c r="AE119"/>
  <c r="AD119"/>
  <c r="AI118"/>
  <c r="AH118"/>
  <c r="AG118"/>
  <c r="AF118"/>
  <c r="AE118"/>
  <c r="AD118"/>
  <c r="AI117"/>
  <c r="AH117"/>
  <c r="AG117"/>
  <c r="AF117"/>
  <c r="AE117"/>
  <c r="AD117"/>
  <c r="AI116"/>
  <c r="AH116"/>
  <c r="AG116"/>
  <c r="AF116"/>
  <c r="AE116"/>
  <c r="AD116"/>
  <c r="AI115"/>
  <c r="AH115"/>
  <c r="AG115"/>
  <c r="AF115"/>
  <c r="AE115"/>
  <c r="AD115"/>
  <c r="AI114"/>
  <c r="AH114"/>
  <c r="AG114"/>
  <c r="AF114"/>
  <c r="AE114"/>
  <c r="AD114"/>
  <c r="AI113"/>
  <c r="AH113"/>
  <c r="AG113"/>
  <c r="AF113"/>
  <c r="AE113"/>
  <c r="AD113"/>
  <c r="AI112"/>
  <c r="AH112"/>
  <c r="AG112"/>
  <c r="AF112"/>
  <c r="AE112"/>
  <c r="AD112"/>
  <c r="AI111"/>
  <c r="AH111"/>
  <c r="AG111"/>
  <c r="AF111"/>
  <c r="AE111"/>
  <c r="AD111"/>
  <c r="AI110"/>
  <c r="AH110"/>
  <c r="AG110"/>
  <c r="AF110"/>
  <c r="AE110"/>
  <c r="AD110"/>
  <c r="AI109"/>
  <c r="AH109"/>
  <c r="AG109"/>
  <c r="AF109"/>
  <c r="AE109"/>
  <c r="AD109"/>
  <c r="AI108"/>
  <c r="AH108"/>
  <c r="AG108"/>
  <c r="AF108"/>
  <c r="AE108"/>
  <c r="AD108"/>
  <c r="AI107"/>
  <c r="AH107"/>
  <c r="AG107"/>
  <c r="AF107"/>
  <c r="AE107"/>
  <c r="AD107"/>
  <c r="AI106"/>
  <c r="AH106"/>
  <c r="AG106"/>
  <c r="AF106"/>
  <c r="AE106"/>
  <c r="AD106"/>
  <c r="AI105"/>
  <c r="AH105"/>
  <c r="AG105"/>
  <c r="AF105"/>
  <c r="AE105"/>
  <c r="AD105"/>
  <c r="AI104"/>
  <c r="AH104"/>
  <c r="AG104"/>
  <c r="AF104"/>
  <c r="AE104"/>
  <c r="AD104"/>
  <c r="AI103"/>
  <c r="AH103"/>
  <c r="AG103"/>
  <c r="AF103"/>
  <c r="AE103"/>
  <c r="AD103"/>
  <c r="AI102"/>
  <c r="AH102"/>
  <c r="AG102"/>
  <c r="AF102"/>
  <c r="AE102"/>
  <c r="AD102"/>
  <c r="AI101"/>
  <c r="AH101"/>
  <c r="AG101"/>
  <c r="AF101"/>
  <c r="AE101"/>
  <c r="AD101"/>
  <c r="AI100"/>
  <c r="AH100"/>
  <c r="AG100"/>
  <c r="AF100"/>
  <c r="AE100"/>
  <c r="AD100"/>
  <c r="AI99"/>
  <c r="AH99"/>
  <c r="AG99"/>
  <c r="AF99"/>
  <c r="AE99"/>
  <c r="AD99"/>
  <c r="AI98"/>
  <c r="AH98"/>
  <c r="AG98"/>
  <c r="AF98"/>
  <c r="AE98"/>
  <c r="AD98"/>
  <c r="AI97"/>
  <c r="AH97"/>
  <c r="AG97"/>
  <c r="AF97"/>
  <c r="AE97"/>
  <c r="AD97"/>
  <c r="AI96"/>
  <c r="AH96"/>
  <c r="AG96"/>
  <c r="AF96"/>
  <c r="AE96"/>
  <c r="AD96"/>
  <c r="AI95"/>
  <c r="AH95"/>
  <c r="AG95"/>
  <c r="AF95"/>
  <c r="AE95"/>
  <c r="AD95"/>
  <c r="AI94"/>
  <c r="AH94"/>
  <c r="AG94"/>
  <c r="AF94"/>
  <c r="AE94"/>
  <c r="AD94"/>
  <c r="AI93"/>
  <c r="AH93"/>
  <c r="AG93"/>
  <c r="AF93"/>
  <c r="AE93"/>
  <c r="AD93"/>
  <c r="AI92"/>
  <c r="AH92"/>
  <c r="AG92"/>
  <c r="AF92"/>
  <c r="AE92"/>
  <c r="AD92"/>
  <c r="AI91"/>
  <c r="AH91"/>
  <c r="AG91"/>
  <c r="AF91"/>
  <c r="AE91"/>
  <c r="AD91"/>
  <c r="AI90"/>
  <c r="AH90"/>
  <c r="AG90"/>
  <c r="AF90"/>
  <c r="AE90"/>
  <c r="AD90"/>
  <c r="AI89"/>
  <c r="AH89"/>
  <c r="AG89"/>
  <c r="AF89"/>
  <c r="AE89"/>
  <c r="AD89"/>
  <c r="AI88"/>
  <c r="AH88"/>
  <c r="AG88"/>
  <c r="AF88"/>
  <c r="AE88"/>
  <c r="AD88"/>
  <c r="AI87"/>
  <c r="AH87"/>
  <c r="AG87"/>
  <c r="AF87"/>
  <c r="AE87"/>
  <c r="AD87"/>
  <c r="AI86"/>
  <c r="AH86"/>
  <c r="AG86"/>
  <c r="AF86"/>
  <c r="AE86"/>
  <c r="AD86"/>
  <c r="AI85"/>
  <c r="AH85"/>
  <c r="AG85"/>
  <c r="AF85"/>
  <c r="AE85"/>
  <c r="AD85"/>
  <c r="AI84"/>
  <c r="AH84"/>
  <c r="AG84"/>
  <c r="AF84"/>
  <c r="AE84"/>
  <c r="AD84"/>
  <c r="AI83"/>
  <c r="AH83"/>
  <c r="AG83"/>
  <c r="AF83"/>
  <c r="AE83"/>
  <c r="AD83"/>
  <c r="AI82"/>
  <c r="AH82"/>
  <c r="AG82"/>
  <c r="AF82"/>
  <c r="AE82"/>
  <c r="AD82"/>
  <c r="AI81"/>
  <c r="AH81"/>
  <c r="AG81"/>
  <c r="AF81"/>
  <c r="AE81"/>
  <c r="AD81"/>
  <c r="AI80"/>
  <c r="AH80"/>
  <c r="AG80"/>
  <c r="AF80"/>
  <c r="AE80"/>
  <c r="AD80"/>
  <c r="AI79"/>
  <c r="AH79"/>
  <c r="AG79"/>
  <c r="AF79"/>
  <c r="AE79"/>
  <c r="AD79"/>
  <c r="AI78"/>
  <c r="AH78"/>
  <c r="AG78"/>
  <c r="AF78"/>
  <c r="AE78"/>
  <c r="AD78"/>
  <c r="AI77"/>
  <c r="AH77"/>
  <c r="AG77"/>
  <c r="AF77"/>
  <c r="AE77"/>
  <c r="AD77"/>
  <c r="AI76"/>
  <c r="AH76"/>
  <c r="AG76"/>
  <c r="AF76"/>
  <c r="AE76"/>
  <c r="AD76"/>
  <c r="AI75"/>
  <c r="AH75"/>
  <c r="AG75"/>
  <c r="AF75"/>
  <c r="AE75"/>
  <c r="AD75"/>
  <c r="AI74"/>
  <c r="AH74"/>
  <c r="AG74"/>
  <c r="AF74"/>
  <c r="AE74"/>
  <c r="AD74"/>
  <c r="AI73"/>
  <c r="AH73"/>
  <c r="AG73"/>
  <c r="AF73"/>
  <c r="AE73"/>
  <c r="AD73"/>
  <c r="AI72"/>
  <c r="AH72"/>
  <c r="AG72"/>
  <c r="AF72"/>
  <c r="AE72"/>
  <c r="AD72"/>
  <c r="AI71"/>
  <c r="AH71"/>
  <c r="AG71"/>
  <c r="AF71"/>
  <c r="AE71"/>
  <c r="AD71"/>
  <c r="AI70"/>
  <c r="AH70"/>
  <c r="AG70"/>
  <c r="AF70"/>
  <c r="AE70"/>
  <c r="AD70"/>
  <c r="AI69"/>
  <c r="AH69"/>
  <c r="AG69"/>
  <c r="AF69"/>
  <c r="AE69"/>
  <c r="AD69"/>
  <c r="AI68"/>
  <c r="AH68"/>
  <c r="AG68"/>
  <c r="AF68"/>
  <c r="AE68"/>
  <c r="AD68"/>
  <c r="AI67"/>
  <c r="AH67"/>
  <c r="AG67"/>
  <c r="AF67"/>
  <c r="AE67"/>
  <c r="AD67"/>
  <c r="AI66"/>
  <c r="AH66"/>
  <c r="AG66"/>
  <c r="AF66"/>
  <c r="AE66"/>
  <c r="AD66"/>
  <c r="AI65"/>
  <c r="AH65"/>
  <c r="AG65"/>
  <c r="AF65"/>
  <c r="AE65"/>
  <c r="AD65"/>
  <c r="AI64"/>
  <c r="AH64"/>
  <c r="AG64"/>
  <c r="AF64"/>
  <c r="AE64"/>
  <c r="AD64"/>
  <c r="AI63"/>
  <c r="AH63"/>
  <c r="AG63"/>
  <c r="AF63"/>
  <c r="AE63"/>
  <c r="AD63"/>
  <c r="AI62"/>
  <c r="AH62"/>
  <c r="AG62"/>
  <c r="AF62"/>
  <c r="AE62"/>
  <c r="AD62"/>
  <c r="AI61"/>
  <c r="AH61"/>
  <c r="AG61"/>
  <c r="AF61"/>
  <c r="AE61"/>
  <c r="AD61"/>
  <c r="AI60"/>
  <c r="AH60"/>
  <c r="AG60"/>
  <c r="AF60"/>
  <c r="AE60"/>
  <c r="AD60"/>
  <c r="AI59"/>
  <c r="AH59"/>
  <c r="AG59"/>
  <c r="AF59"/>
  <c r="AE59"/>
  <c r="AD59"/>
  <c r="AI58"/>
  <c r="AH58"/>
  <c r="AG58"/>
  <c r="AF58"/>
  <c r="AE58"/>
  <c r="AD58"/>
  <c r="AI57"/>
  <c r="AH57"/>
  <c r="AG57"/>
  <c r="AF57"/>
  <c r="AE57"/>
  <c r="AD57"/>
  <c r="AI56"/>
  <c r="AH56"/>
  <c r="AG56"/>
  <c r="AF56"/>
  <c r="AE56"/>
  <c r="AD56"/>
  <c r="AI55"/>
  <c r="AH55"/>
  <c r="AG55"/>
  <c r="AF55"/>
  <c r="AE55"/>
  <c r="AD55"/>
  <c r="AI54"/>
  <c r="AH54"/>
  <c r="AG54"/>
  <c r="AF54"/>
  <c r="AE54"/>
  <c r="AD54"/>
  <c r="AI53"/>
  <c r="AH53"/>
  <c r="AG53"/>
  <c r="AF53"/>
  <c r="AE53"/>
  <c r="AD53"/>
  <c r="AI52"/>
  <c r="AH52"/>
  <c r="AG52"/>
  <c r="AF52"/>
  <c r="AE52"/>
  <c r="AD52"/>
  <c r="AI51"/>
  <c r="AH51"/>
  <c r="AG51"/>
  <c r="AF51"/>
  <c r="AE51"/>
  <c r="AD51"/>
  <c r="AI50"/>
  <c r="AH50"/>
  <c r="AG50"/>
  <c r="AF50"/>
  <c r="AE50"/>
  <c r="AD50"/>
  <c r="AI49"/>
  <c r="AH49"/>
  <c r="AG49"/>
  <c r="AF49"/>
  <c r="AE49"/>
  <c r="AD49"/>
  <c r="AI48"/>
  <c r="AH48"/>
  <c r="AG48"/>
  <c r="AF48"/>
  <c r="AE48"/>
  <c r="AD48"/>
  <c r="AI47"/>
  <c r="AH47"/>
  <c r="AG47"/>
  <c r="AF47"/>
  <c r="AE47"/>
  <c r="AD47"/>
  <c r="AI46"/>
  <c r="AH46"/>
  <c r="AG46"/>
  <c r="AF46"/>
  <c r="AE46"/>
  <c r="AD46"/>
  <c r="AI45"/>
  <c r="AH45"/>
  <c r="AG45"/>
  <c r="AF45"/>
  <c r="AE45"/>
  <c r="AD45"/>
  <c r="AI44"/>
  <c r="AH44"/>
  <c r="AG44"/>
  <c r="AF44"/>
  <c r="AE44"/>
  <c r="AD44"/>
  <c r="AI43"/>
  <c r="AH43"/>
  <c r="AG43"/>
  <c r="AF43"/>
  <c r="AE43"/>
  <c r="AD43"/>
  <c r="AI42"/>
  <c r="AH42"/>
  <c r="AG42"/>
  <c r="AF42"/>
  <c r="AE42"/>
  <c r="AD42"/>
  <c r="AI41"/>
  <c r="AH41"/>
  <c r="AG41"/>
  <c r="AF41"/>
  <c r="AE41"/>
  <c r="AD41"/>
  <c r="AI40"/>
  <c r="AH40"/>
  <c r="AG40"/>
  <c r="AF40"/>
  <c r="AE40"/>
  <c r="AD40"/>
  <c r="AI39"/>
  <c r="AH39"/>
  <c r="AG39"/>
  <c r="AF39"/>
  <c r="AE39"/>
  <c r="AD39"/>
  <c r="AI38"/>
  <c r="AH38"/>
  <c r="AG38"/>
  <c r="AF38"/>
  <c r="AE38"/>
  <c r="AD38"/>
  <c r="AI37"/>
  <c r="AH37"/>
  <c r="AG37"/>
  <c r="AF37"/>
  <c r="AE37"/>
  <c r="AD37"/>
  <c r="AI36"/>
  <c r="AH36"/>
  <c r="AG36"/>
  <c r="AF36"/>
  <c r="AE36"/>
  <c r="AD36"/>
  <c r="AI35"/>
  <c r="AH35"/>
  <c r="AG35"/>
  <c r="AF35"/>
  <c r="AE35"/>
  <c r="AD35"/>
  <c r="AI34"/>
  <c r="AH34"/>
  <c r="AG34"/>
  <c r="AF34"/>
  <c r="AE34"/>
  <c r="AD34"/>
  <c r="AI33"/>
  <c r="AH33"/>
  <c r="AG33"/>
  <c r="AF33"/>
  <c r="AE33"/>
  <c r="AD33"/>
  <c r="AI32"/>
  <c r="AH32"/>
  <c r="AG32"/>
  <c r="AF32"/>
  <c r="AE32"/>
  <c r="AD32"/>
  <c r="AI31"/>
  <c r="AH31"/>
  <c r="AG31"/>
  <c r="AF31"/>
  <c r="AE31"/>
  <c r="AD31"/>
  <c r="AI30"/>
  <c r="AH30"/>
  <c r="AG30"/>
  <c r="AF30"/>
  <c r="AE30"/>
  <c r="AD30"/>
  <c r="AI29"/>
  <c r="AH29"/>
  <c r="AG29"/>
  <c r="AF29"/>
  <c r="AE29"/>
  <c r="AD29"/>
  <c r="AI28"/>
  <c r="AH28"/>
  <c r="AG28"/>
  <c r="AF28"/>
  <c r="AE28"/>
  <c r="AD28"/>
  <c r="AI27"/>
  <c r="AH27"/>
  <c r="AG27"/>
  <c r="AF27"/>
  <c r="AE27"/>
  <c r="AD27"/>
  <c r="AI26"/>
  <c r="AH26"/>
  <c r="AG26"/>
  <c r="AF26"/>
  <c r="AE26"/>
  <c r="AD26"/>
  <c r="AI25"/>
  <c r="AH25"/>
  <c r="AG25"/>
  <c r="AF25"/>
  <c r="AE25"/>
  <c r="AD25"/>
  <c r="AI24"/>
  <c r="AH24"/>
  <c r="AG24"/>
  <c r="AF24"/>
  <c r="AE24"/>
  <c r="AD24"/>
  <c r="AI23"/>
  <c r="AH23"/>
  <c r="AG23"/>
  <c r="AF23"/>
  <c r="AE23"/>
  <c r="AD23"/>
  <c r="AI22"/>
  <c r="AH22"/>
  <c r="AG22"/>
  <c r="AF22"/>
  <c r="AE22"/>
  <c r="AD22"/>
  <c r="AI21"/>
  <c r="AH21"/>
  <c r="AG21"/>
  <c r="AF21"/>
  <c r="AE21"/>
  <c r="AD21"/>
  <c r="AI20"/>
  <c r="AH20"/>
  <c r="AG20"/>
  <c r="AF20"/>
  <c r="AE20"/>
  <c r="AD20"/>
  <c r="AI19"/>
  <c r="AH19"/>
  <c r="AG19"/>
  <c r="AF19"/>
  <c r="AE19"/>
  <c r="AD19"/>
  <c r="AI18"/>
  <c r="AH18"/>
  <c r="AG18"/>
  <c r="AF18"/>
  <c r="AE18"/>
  <c r="AD18"/>
  <c r="AI17"/>
  <c r="AH17"/>
  <c r="AG17"/>
  <c r="AF17"/>
  <c r="AE17"/>
  <c r="AD17"/>
  <c r="AI16"/>
  <c r="AH16"/>
  <c r="AG16"/>
  <c r="AF16"/>
  <c r="AE16"/>
  <c r="AD16"/>
  <c r="AI15"/>
  <c r="AH15"/>
  <c r="AG15"/>
  <c r="AF15"/>
  <c r="AE15"/>
  <c r="AD15"/>
  <c r="AI14"/>
  <c r="AH14"/>
  <c r="AG14"/>
  <c r="AF14"/>
  <c r="AE14"/>
  <c r="AD14"/>
  <c r="AI13"/>
  <c r="AH13"/>
  <c r="AG13"/>
  <c r="AF13"/>
  <c r="AE13"/>
  <c r="AD13"/>
  <c r="AI12"/>
  <c r="AH12"/>
  <c r="AG12"/>
  <c r="AF12"/>
  <c r="AE12"/>
  <c r="AD12"/>
  <c r="AI11"/>
  <c r="AH11"/>
  <c r="AG11"/>
  <c r="AF11"/>
  <c r="AE11"/>
  <c r="AD11"/>
  <c r="AI10"/>
  <c r="AH10"/>
  <c r="AG10"/>
  <c r="AF10"/>
  <c r="AE10"/>
  <c r="AD10"/>
  <c r="AI9"/>
  <c r="AH9"/>
  <c r="AG9"/>
  <c r="AF9"/>
  <c r="AE9"/>
  <c r="AD9"/>
  <c r="AI8"/>
  <c r="AH8"/>
  <c r="AG8"/>
  <c r="AF8"/>
  <c r="AE8"/>
  <c r="AD8"/>
  <c r="AI7"/>
  <c r="AH7"/>
  <c r="AG7"/>
  <c r="AF7"/>
  <c r="AE7"/>
  <c r="AD7"/>
  <c r="Q6"/>
  <c r="P6"/>
  <c r="O6"/>
  <c r="N6"/>
  <c r="M6"/>
  <c r="L6"/>
  <c r="R6" s="1"/>
  <c r="Y126"/>
  <c r="Y125"/>
  <c r="Y124"/>
  <c r="Y123"/>
  <c r="Y122"/>
  <c r="Y121"/>
  <c r="Y120"/>
  <c r="Y119"/>
  <c r="Y118"/>
  <c r="Y117"/>
  <c r="Y116"/>
  <c r="Y115"/>
  <c r="Y114"/>
  <c r="Y113"/>
  <c r="Y112"/>
  <c r="Y111"/>
  <c r="Y110"/>
  <c r="Y109"/>
  <c r="Y108"/>
  <c r="Y107"/>
  <c r="Y106"/>
  <c r="Y105"/>
  <c r="Y104"/>
  <c r="Y103"/>
  <c r="Y102"/>
  <c r="Y101"/>
  <c r="Y100"/>
  <c r="Y99"/>
  <c r="Y98"/>
  <c r="Y97"/>
  <c r="Y96"/>
  <c r="Y95"/>
  <c r="Y94"/>
  <c r="Y93"/>
  <c r="Y92"/>
  <c r="Y91"/>
  <c r="Y90"/>
  <c r="Y89"/>
  <c r="Y88"/>
  <c r="Y87"/>
  <c r="Y86"/>
  <c r="Y85"/>
  <c r="Y84"/>
  <c r="Y83"/>
  <c r="Y82"/>
  <c r="Y81"/>
  <c r="Y80"/>
  <c r="Y79"/>
  <c r="Y78"/>
  <c r="Y77"/>
  <c r="Y76"/>
  <c r="Y75"/>
  <c r="Y74"/>
  <c r="Y73"/>
  <c r="Y72"/>
  <c r="Y71"/>
  <c r="Y70"/>
  <c r="Y69"/>
  <c r="Y68"/>
  <c r="Y67"/>
  <c r="Y66"/>
  <c r="Y65"/>
  <c r="Y64"/>
  <c r="Y63"/>
  <c r="Y62"/>
  <c r="Y61"/>
  <c r="Y60"/>
  <c r="Y59"/>
  <c r="Y58"/>
  <c r="Y57"/>
  <c r="Y56"/>
  <c r="Y55"/>
  <c r="Y54"/>
  <c r="Y53"/>
  <c r="Y52"/>
  <c r="Y51"/>
  <c r="Y50"/>
  <c r="Y49"/>
  <c r="Y48"/>
  <c r="Y47"/>
  <c r="Y46"/>
  <c r="Y45"/>
  <c r="Y44"/>
  <c r="Y43"/>
  <c r="Y42"/>
  <c r="Y41"/>
  <c r="Y40"/>
  <c r="Y39"/>
  <c r="Y38"/>
  <c r="Y37"/>
  <c r="Y36"/>
  <c r="Y35"/>
  <c r="Y34"/>
  <c r="Y33"/>
  <c r="Y32"/>
  <c r="Y31"/>
  <c r="Y30"/>
  <c r="Y29"/>
  <c r="Y28"/>
  <c r="Y27"/>
  <c r="Y26"/>
  <c r="Y25"/>
  <c r="Y24"/>
  <c r="Y23"/>
  <c r="Y22"/>
  <c r="Y21"/>
  <c r="Y20"/>
  <c r="Y19"/>
  <c r="Y18"/>
  <c r="Y17"/>
  <c r="Y16"/>
  <c r="Y15"/>
  <c r="Y14"/>
  <c r="Y13"/>
  <c r="Y12"/>
  <c r="Y11"/>
  <c r="Y10"/>
  <c r="Y9"/>
  <c r="Y8"/>
  <c r="Y7"/>
  <c r="R126"/>
  <c r="R125"/>
  <c r="R124"/>
  <c r="R123"/>
  <c r="R122"/>
  <c r="R121"/>
  <c r="R120"/>
  <c r="R119"/>
  <c r="R118"/>
  <c r="R117"/>
  <c r="R116"/>
  <c r="R115"/>
  <c r="R114"/>
  <c r="R113"/>
  <c r="R112"/>
  <c r="R111"/>
  <c r="R110"/>
  <c r="R109"/>
  <c r="R108"/>
  <c r="R107"/>
  <c r="R106"/>
  <c r="R105"/>
  <c r="R104"/>
  <c r="R103"/>
  <c r="R102"/>
  <c r="R101"/>
  <c r="R100"/>
  <c r="R99"/>
  <c r="R98"/>
  <c r="R97"/>
  <c r="R96"/>
  <c r="R95"/>
  <c r="R94"/>
  <c r="R93"/>
  <c r="R92"/>
  <c r="R91"/>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R13"/>
  <c r="R12"/>
  <c r="R11"/>
  <c r="R10"/>
  <c r="R9"/>
  <c r="R8"/>
  <c r="R7"/>
  <c r="K126"/>
  <c r="AA126" s="1"/>
  <c r="K125"/>
  <c r="AA125" s="1"/>
  <c r="K124"/>
  <c r="AJ124" s="1"/>
  <c r="K123"/>
  <c r="AJ123" s="1"/>
  <c r="K122"/>
  <c r="AA122" s="1"/>
  <c r="K121"/>
  <c r="AA121" s="1"/>
  <c r="K120"/>
  <c r="AJ120" s="1"/>
  <c r="K119"/>
  <c r="AJ119" s="1"/>
  <c r="K118"/>
  <c r="AA118" s="1"/>
  <c r="K117"/>
  <c r="AA117" s="1"/>
  <c r="K116"/>
  <c r="AJ116" s="1"/>
  <c r="K115"/>
  <c r="AJ115" s="1"/>
  <c r="K114"/>
  <c r="AA114" s="1"/>
  <c r="K113"/>
  <c r="AA113" s="1"/>
  <c r="K112"/>
  <c r="AJ112" s="1"/>
  <c r="K111"/>
  <c r="AJ111" s="1"/>
  <c r="K110"/>
  <c r="AA110" s="1"/>
  <c r="K109"/>
  <c r="AA109" s="1"/>
  <c r="K108"/>
  <c r="AJ108" s="1"/>
  <c r="K107"/>
  <c r="AJ107" s="1"/>
  <c r="K106"/>
  <c r="AA106" s="1"/>
  <c r="K105"/>
  <c r="AA105" s="1"/>
  <c r="K104"/>
  <c r="AJ104" s="1"/>
  <c r="K103"/>
  <c r="AJ103" s="1"/>
  <c r="K102"/>
  <c r="AA102" s="1"/>
  <c r="K101"/>
  <c r="AA101" s="1"/>
  <c r="K100"/>
  <c r="AJ100" s="1"/>
  <c r="K99"/>
  <c r="AJ99" s="1"/>
  <c r="K98"/>
  <c r="AA98" s="1"/>
  <c r="K97"/>
  <c r="AA97" s="1"/>
  <c r="K96"/>
  <c r="AJ96" s="1"/>
  <c r="K95"/>
  <c r="AJ95" s="1"/>
  <c r="K94"/>
  <c r="AA94" s="1"/>
  <c r="K93"/>
  <c r="AA93" s="1"/>
  <c r="K92"/>
  <c r="AJ92" s="1"/>
  <c r="K91"/>
  <c r="AJ91" s="1"/>
  <c r="K90"/>
  <c r="AA90" s="1"/>
  <c r="K89"/>
  <c r="AA89" s="1"/>
  <c r="K88"/>
  <c r="AJ88" s="1"/>
  <c r="K87"/>
  <c r="AJ87" s="1"/>
  <c r="K86"/>
  <c r="AA86" s="1"/>
  <c r="K85"/>
  <c r="AA85" s="1"/>
  <c r="K84"/>
  <c r="AJ84" s="1"/>
  <c r="K83"/>
  <c r="AJ83" s="1"/>
  <c r="K82"/>
  <c r="AA82" s="1"/>
  <c r="K81"/>
  <c r="AA81" s="1"/>
  <c r="K80"/>
  <c r="AJ80" s="1"/>
  <c r="K79"/>
  <c r="AJ79" s="1"/>
  <c r="K78"/>
  <c r="AA78" s="1"/>
  <c r="K77"/>
  <c r="AA77" s="1"/>
  <c r="K76"/>
  <c r="AJ76" s="1"/>
  <c r="K75"/>
  <c r="AJ75" s="1"/>
  <c r="K74"/>
  <c r="AA74" s="1"/>
  <c r="K73"/>
  <c r="AA73" s="1"/>
  <c r="K72"/>
  <c r="AJ72" s="1"/>
  <c r="K71"/>
  <c r="AJ71" s="1"/>
  <c r="K70"/>
  <c r="AA70" s="1"/>
  <c r="K69"/>
  <c r="AA69" s="1"/>
  <c r="K68"/>
  <c r="AJ68" s="1"/>
  <c r="K67"/>
  <c r="AJ67" s="1"/>
  <c r="K66"/>
  <c r="AA66" s="1"/>
  <c r="K65"/>
  <c r="AA65" s="1"/>
  <c r="K64"/>
  <c r="AJ64" s="1"/>
  <c r="K63"/>
  <c r="AJ63" s="1"/>
  <c r="K62"/>
  <c r="AA62" s="1"/>
  <c r="K61"/>
  <c r="AA61" s="1"/>
  <c r="K60"/>
  <c r="AJ60" s="1"/>
  <c r="K59"/>
  <c r="AJ59" s="1"/>
  <c r="K58"/>
  <c r="AA58" s="1"/>
  <c r="K57"/>
  <c r="AA57" s="1"/>
  <c r="K56"/>
  <c r="AJ56" s="1"/>
  <c r="K55"/>
  <c r="AJ55" s="1"/>
  <c r="K54"/>
  <c r="AA54" s="1"/>
  <c r="K53"/>
  <c r="AA53" s="1"/>
  <c r="K52"/>
  <c r="AJ52" s="1"/>
  <c r="K51"/>
  <c r="AJ51" s="1"/>
  <c r="K50"/>
  <c r="AA50" s="1"/>
  <c r="K49"/>
  <c r="AA49" s="1"/>
  <c r="K48"/>
  <c r="AJ48" s="1"/>
  <c r="K47"/>
  <c r="AJ47" s="1"/>
  <c r="K46"/>
  <c r="AA46" s="1"/>
  <c r="K45"/>
  <c r="AA45" s="1"/>
  <c r="K44"/>
  <c r="AJ44" s="1"/>
  <c r="K43"/>
  <c r="AJ43" s="1"/>
  <c r="K42"/>
  <c r="Z42" s="1"/>
  <c r="K41"/>
  <c r="Z41" s="1"/>
  <c r="K40"/>
  <c r="AJ40" s="1"/>
  <c r="K39"/>
  <c r="AJ39" s="1"/>
  <c r="K38"/>
  <c r="AA38" s="1"/>
  <c r="K37"/>
  <c r="Z37" s="1"/>
  <c r="K36"/>
  <c r="AJ36" s="1"/>
  <c r="K35"/>
  <c r="AJ35" s="1"/>
  <c r="K34"/>
  <c r="AA34" s="1"/>
  <c r="K33"/>
  <c r="Z33" s="1"/>
  <c r="K32"/>
  <c r="AJ32" s="1"/>
  <c r="K31"/>
  <c r="AJ31" s="1"/>
  <c r="K30"/>
  <c r="AA30" s="1"/>
  <c r="K29"/>
  <c r="Z29" s="1"/>
  <c r="K28"/>
  <c r="AJ28" s="1"/>
  <c r="K27"/>
  <c r="AJ27" s="1"/>
  <c r="K26"/>
  <c r="AA26" s="1"/>
  <c r="K25"/>
  <c r="Z25" s="1"/>
  <c r="K24"/>
  <c r="AJ24" s="1"/>
  <c r="K23"/>
  <c r="AJ23" s="1"/>
  <c r="K22"/>
  <c r="AA22" s="1"/>
  <c r="K21"/>
  <c r="Z21" s="1"/>
  <c r="K20"/>
  <c r="AJ20" s="1"/>
  <c r="K19"/>
  <c r="AJ19" s="1"/>
  <c r="K18"/>
  <c r="AA18" s="1"/>
  <c r="K17"/>
  <c r="Z17" s="1"/>
  <c r="K16"/>
  <c r="AJ16" s="1"/>
  <c r="K15"/>
  <c r="AJ15" s="1"/>
  <c r="K14"/>
  <c r="AA14" s="1"/>
  <c r="K13"/>
  <c r="Z13" s="1"/>
  <c r="K12"/>
  <c r="AJ12" s="1"/>
  <c r="K11"/>
  <c r="AJ11" s="1"/>
  <c r="K10"/>
  <c r="AA10" s="1"/>
  <c r="K9"/>
  <c r="Z9" s="1"/>
  <c r="K8"/>
  <c r="AJ8" s="1"/>
  <c r="K7"/>
  <c r="AJ7" s="1"/>
  <c r="X6"/>
  <c r="W6"/>
  <c r="V6"/>
  <c r="U6"/>
  <c r="T6"/>
  <c r="S6"/>
  <c r="J6"/>
  <c r="AG6" s="1"/>
  <c r="I98" i="1" s="1"/>
  <c r="I6" i="81"/>
  <c r="AF6" s="1"/>
  <c r="H98" i="1" s="1"/>
  <c r="H6" i="81"/>
  <c r="AI6" s="1"/>
  <c r="K98" i="1" s="1"/>
  <c r="G6" i="81"/>
  <c r="AH6"/>
  <c r="J98" i="1" s="1"/>
  <c r="F6" i="81"/>
  <c r="E6"/>
  <c r="K6" s="1"/>
  <c r="Z10"/>
  <c r="Z14"/>
  <c r="Z18"/>
  <c r="Z22"/>
  <c r="Z26"/>
  <c r="Z30"/>
  <c r="Z34"/>
  <c r="Z38"/>
  <c r="Z46"/>
  <c r="Z50"/>
  <c r="Z54"/>
  <c r="Z58"/>
  <c r="Z62"/>
  <c r="Z66"/>
  <c r="Z70"/>
  <c r="Z74"/>
  <c r="Z78"/>
  <c r="Z82"/>
  <c r="Z86"/>
  <c r="Z90"/>
  <c r="Z94"/>
  <c r="Z98"/>
  <c r="Z102"/>
  <c r="Z106"/>
  <c r="Z110"/>
  <c r="Z114"/>
  <c r="Z118"/>
  <c r="Z122"/>
  <c r="Z126"/>
  <c r="AA7"/>
  <c r="AA11"/>
  <c r="AA19"/>
  <c r="AA23"/>
  <c r="AA27"/>
  <c r="AA31"/>
  <c r="AA35"/>
  <c r="AA39"/>
  <c r="AA43"/>
  <c r="AA47"/>
  <c r="AA51"/>
  <c r="AA55"/>
  <c r="AA59"/>
  <c r="AA63"/>
  <c r="AA67"/>
  <c r="AA71"/>
  <c r="AA75"/>
  <c r="AA79"/>
  <c r="AA83"/>
  <c r="AA87"/>
  <c r="AA91"/>
  <c r="AA95"/>
  <c r="AA99"/>
  <c r="AA103"/>
  <c r="AA107"/>
  <c r="AA111"/>
  <c r="AA115"/>
  <c r="AA119"/>
  <c r="AA123"/>
  <c r="Z45"/>
  <c r="Z49"/>
  <c r="Z53"/>
  <c r="Z57"/>
  <c r="Z61"/>
  <c r="Z65"/>
  <c r="Z69"/>
  <c r="Z73"/>
  <c r="Z77"/>
  <c r="Z81"/>
  <c r="Z85"/>
  <c r="Z89"/>
  <c r="Z93"/>
  <c r="Z97"/>
  <c r="Z101"/>
  <c r="Z105"/>
  <c r="Z109"/>
  <c r="Z113"/>
  <c r="Z117"/>
  <c r="Z121"/>
  <c r="AA42"/>
  <c r="AA9"/>
  <c r="AA13"/>
  <c r="AA17"/>
  <c r="AA21"/>
  <c r="AA25"/>
  <c r="AA29"/>
  <c r="AA33"/>
  <c r="AA37"/>
  <c r="AA41"/>
  <c r="AA8"/>
  <c r="AA12"/>
  <c r="AA16"/>
  <c r="AA20"/>
  <c r="AA24"/>
  <c r="AA28"/>
  <c r="AA32"/>
  <c r="AA36"/>
  <c r="AA40"/>
  <c r="AA44"/>
  <c r="AA48"/>
  <c r="AA52"/>
  <c r="AA56"/>
  <c r="AA60"/>
  <c r="AA64"/>
  <c r="AA68"/>
  <c r="AA72"/>
  <c r="AA76"/>
  <c r="AA80"/>
  <c r="AA84"/>
  <c r="AA88"/>
  <c r="AA92"/>
  <c r="AA96"/>
  <c r="AA100"/>
  <c r="AA104"/>
  <c r="AA108"/>
  <c r="AA112"/>
  <c r="AA116"/>
  <c r="AA120"/>
  <c r="Z125"/>
  <c r="Z124"/>
  <c r="Y6"/>
  <c r="D129" i="67"/>
  <c r="D128"/>
  <c r="D127"/>
  <c r="D126"/>
  <c r="D125"/>
  <c r="AV126" i="24"/>
  <c r="AV125"/>
  <c r="AV124"/>
  <c r="AV123"/>
  <c r="AV122"/>
  <c r="AV121"/>
  <c r="AV120"/>
  <c r="AV119"/>
  <c r="AV118"/>
  <c r="AV117"/>
  <c r="AV116"/>
  <c r="AV115"/>
  <c r="AV114"/>
  <c r="AV113"/>
  <c r="AV112"/>
  <c r="AV111"/>
  <c r="AV110"/>
  <c r="AV109"/>
  <c r="AV108"/>
  <c r="AV107"/>
  <c r="AV106"/>
  <c r="AV105"/>
  <c r="AV104"/>
  <c r="AV103"/>
  <c r="AV102"/>
  <c r="AV101"/>
  <c r="AV100"/>
  <c r="AV99"/>
  <c r="AV98"/>
  <c r="AV97"/>
  <c r="AV96"/>
  <c r="AV95"/>
  <c r="AV94"/>
  <c r="AV93"/>
  <c r="AV92"/>
  <c r="AV91"/>
  <c r="AV90"/>
  <c r="AV89"/>
  <c r="AV88"/>
  <c r="AV87"/>
  <c r="AV86"/>
  <c r="AV85"/>
  <c r="AV84"/>
  <c r="AV83"/>
  <c r="AV82"/>
  <c r="AV81"/>
  <c r="AV80"/>
  <c r="AV79"/>
  <c r="AV78"/>
  <c r="AV77"/>
  <c r="AV76"/>
  <c r="AV75"/>
  <c r="AV74"/>
  <c r="AV73"/>
  <c r="AV72"/>
  <c r="AV71"/>
  <c r="AV70"/>
  <c r="AV69"/>
  <c r="AV68"/>
  <c r="AV67"/>
  <c r="AV66"/>
  <c r="AV65"/>
  <c r="AV64"/>
  <c r="AV63"/>
  <c r="AV62"/>
  <c r="AV61"/>
  <c r="AV60"/>
  <c r="AV59"/>
  <c r="AV58"/>
  <c r="AV57"/>
  <c r="AV56"/>
  <c r="AV55"/>
  <c r="AV54"/>
  <c r="AV53"/>
  <c r="AV52"/>
  <c r="AV51"/>
  <c r="AV50"/>
  <c r="AV49"/>
  <c r="AV48"/>
  <c r="AV47"/>
  <c r="AV46"/>
  <c r="AV45"/>
  <c r="AV44"/>
  <c r="AV43"/>
  <c r="AV42"/>
  <c r="AV41"/>
  <c r="AV40"/>
  <c r="AV39"/>
  <c r="AV38"/>
  <c r="AV37"/>
  <c r="AV36"/>
  <c r="AV35"/>
  <c r="AV34"/>
  <c r="AV33"/>
  <c r="AV32"/>
  <c r="AV31"/>
  <c r="AV30"/>
  <c r="AV29"/>
  <c r="AV28"/>
  <c r="AV27"/>
  <c r="AV26"/>
  <c r="AV25"/>
  <c r="AV24"/>
  <c r="AV23"/>
  <c r="AV22"/>
  <c r="AV21"/>
  <c r="AV20"/>
  <c r="AV19"/>
  <c r="AV18"/>
  <c r="AV17"/>
  <c r="AV16"/>
  <c r="AV15"/>
  <c r="AV14"/>
  <c r="AV13"/>
  <c r="AV12"/>
  <c r="AV11"/>
  <c r="AV10"/>
  <c r="AV9"/>
  <c r="AV8"/>
  <c r="AV7"/>
  <c r="AJ125" i="78"/>
  <c r="AI125"/>
  <c r="AH125"/>
  <c r="AG125"/>
  <c r="AF125"/>
  <c r="AE125"/>
  <c r="AD125"/>
  <c r="AC125"/>
  <c r="AB125"/>
  <c r="AA125"/>
  <c r="Z125"/>
  <c r="Y125"/>
  <c r="X125"/>
  <c r="W125"/>
  <c r="V125"/>
  <c r="U125"/>
  <c r="T125"/>
  <c r="S125"/>
  <c r="R125"/>
  <c r="Q125"/>
  <c r="P125"/>
  <c r="O125"/>
  <c r="N125"/>
  <c r="M125"/>
  <c r="L125"/>
  <c r="K125"/>
  <c r="J125"/>
  <c r="I125"/>
  <c r="H125"/>
  <c r="G125"/>
  <c r="F125"/>
  <c r="E125"/>
  <c r="D125"/>
  <c r="C125"/>
  <c r="I30" i="1"/>
  <c r="I29"/>
  <c r="I28"/>
  <c r="I27"/>
  <c r="I26"/>
  <c r="F24"/>
  <c r="Y4" i="62"/>
  <c r="X4"/>
  <c r="W4"/>
  <c r="V4"/>
  <c r="U4"/>
  <c r="T4"/>
  <c r="S4"/>
  <c r="R4"/>
  <c r="Q4"/>
  <c r="P4"/>
  <c r="O4"/>
  <c r="N4"/>
  <c r="M4"/>
  <c r="AE4"/>
  <c r="D4" i="59"/>
  <c r="C4"/>
  <c r="F4" i="58"/>
  <c r="E4"/>
  <c r="D4"/>
  <c r="AG126" i="71"/>
  <c r="AG125"/>
  <c r="AG124"/>
  <c r="AG123"/>
  <c r="AG122"/>
  <c r="AG121"/>
  <c r="AG120"/>
  <c r="AG119"/>
  <c r="AG118"/>
  <c r="AG117"/>
  <c r="AG116"/>
  <c r="AG115"/>
  <c r="AG114"/>
  <c r="AG113"/>
  <c r="AG112"/>
  <c r="AG111"/>
  <c r="AG110"/>
  <c r="AG109"/>
  <c r="AG108"/>
  <c r="AG107"/>
  <c r="AG106"/>
  <c r="AG105"/>
  <c r="AG104"/>
  <c r="AG103"/>
  <c r="AG102"/>
  <c r="AG101"/>
  <c r="AG100"/>
  <c r="AG99"/>
  <c r="AG98"/>
  <c r="AG97"/>
  <c r="AG96"/>
  <c r="AG95"/>
  <c r="AG94"/>
  <c r="AG93"/>
  <c r="AG92"/>
  <c r="AG91"/>
  <c r="AG90"/>
  <c r="AG89"/>
  <c r="AG88"/>
  <c r="AG87"/>
  <c r="AG86"/>
  <c r="AG85"/>
  <c r="AG84"/>
  <c r="AG83"/>
  <c r="AG82"/>
  <c r="AG81"/>
  <c r="AG80"/>
  <c r="AG79"/>
  <c r="AG78"/>
  <c r="AG77"/>
  <c r="AG76"/>
  <c r="AG75"/>
  <c r="AG74"/>
  <c r="AG73"/>
  <c r="AG72"/>
  <c r="AG71"/>
  <c r="AG70"/>
  <c r="AG69"/>
  <c r="AG68"/>
  <c r="AG67"/>
  <c r="AG66"/>
  <c r="AG65"/>
  <c r="AG64"/>
  <c r="AG63"/>
  <c r="AG62"/>
  <c r="AG61"/>
  <c r="AG60"/>
  <c r="AG59"/>
  <c r="AG58"/>
  <c r="AG57"/>
  <c r="AG56"/>
  <c r="AG55"/>
  <c r="AG54"/>
  <c r="AG53"/>
  <c r="AG52"/>
  <c r="AG51"/>
  <c r="AG50"/>
  <c r="AG49"/>
  <c r="AG48"/>
  <c r="AG47"/>
  <c r="AG46"/>
  <c r="AG45"/>
  <c r="AG44"/>
  <c r="AG43"/>
  <c r="AG42"/>
  <c r="AG41"/>
  <c r="AG40"/>
  <c r="AG39"/>
  <c r="AG38"/>
  <c r="AG37"/>
  <c r="AG36"/>
  <c r="AG35"/>
  <c r="AG34"/>
  <c r="AG33"/>
  <c r="AG32"/>
  <c r="AG31"/>
  <c r="AG30"/>
  <c r="AG29"/>
  <c r="AG28"/>
  <c r="AG27"/>
  <c r="AG26"/>
  <c r="AG25"/>
  <c r="AG24"/>
  <c r="AG23"/>
  <c r="AG22"/>
  <c r="AG21"/>
  <c r="AG20"/>
  <c r="AG19"/>
  <c r="AG18"/>
  <c r="AG17"/>
  <c r="AG16"/>
  <c r="AG15"/>
  <c r="AG14"/>
  <c r="AG13"/>
  <c r="AG12"/>
  <c r="AG11"/>
  <c r="AG10"/>
  <c r="AG9"/>
  <c r="AG8"/>
  <c r="AG7"/>
  <c r="AL67" i="78"/>
  <c r="AK67"/>
  <c r="AL5"/>
  <c r="AK5"/>
  <c r="AL123"/>
  <c r="AK123"/>
  <c r="AL113"/>
  <c r="AK113"/>
  <c r="AL108"/>
  <c r="AK108"/>
  <c r="AL51"/>
  <c r="AK51"/>
  <c r="AL122"/>
  <c r="AK122"/>
  <c r="AL121"/>
  <c r="AK121"/>
  <c r="AL117"/>
  <c r="AK117"/>
  <c r="AL114"/>
  <c r="AK114"/>
  <c r="AL105"/>
  <c r="AK105"/>
  <c r="AL103"/>
  <c r="AK103"/>
  <c r="AL88"/>
  <c r="AK88"/>
  <c r="AL50"/>
  <c r="AK50"/>
  <c r="AL116"/>
  <c r="AK116"/>
  <c r="AL109"/>
  <c r="AK109"/>
  <c r="AL92"/>
  <c r="AK92"/>
  <c r="AL91"/>
  <c r="AK91"/>
  <c r="AL76"/>
  <c r="AK76"/>
  <c r="AL31"/>
  <c r="AK31"/>
  <c r="AL63"/>
  <c r="AK63"/>
  <c r="AL61"/>
  <c r="AK61"/>
  <c r="AL54"/>
  <c r="AK54"/>
  <c r="AL52"/>
  <c r="AK52"/>
  <c r="AL40"/>
  <c r="AK40"/>
  <c r="AL32"/>
  <c r="AK32"/>
  <c r="AL96"/>
  <c r="AK96"/>
  <c r="AL80"/>
  <c r="AK80"/>
  <c r="AL68"/>
  <c r="AK68"/>
  <c r="AL55"/>
  <c r="AK55"/>
  <c r="AL106"/>
  <c r="AK106"/>
  <c r="AL90"/>
  <c r="AK90"/>
  <c r="AL89"/>
  <c r="AK89"/>
  <c r="AL53"/>
  <c r="AK53"/>
  <c r="AL21"/>
  <c r="AK21"/>
  <c r="AL119"/>
  <c r="AK119"/>
  <c r="AL74"/>
  <c r="AK74"/>
  <c r="AL66"/>
  <c r="AK66"/>
  <c r="AL47"/>
  <c r="AK47"/>
  <c r="AL46"/>
  <c r="AK46"/>
  <c r="AL41"/>
  <c r="AK41"/>
  <c r="AL23"/>
  <c r="AK23"/>
  <c r="AL75"/>
  <c r="AK75"/>
  <c r="AL69"/>
  <c r="AK69"/>
  <c r="AL59"/>
  <c r="AK59"/>
  <c r="AL29"/>
  <c r="AK29"/>
  <c r="AL24"/>
  <c r="AK24"/>
  <c r="AL19"/>
  <c r="AK19"/>
  <c r="AL8"/>
  <c r="AK8"/>
  <c r="AL62"/>
  <c r="AK62"/>
  <c r="AL45"/>
  <c r="AK45"/>
  <c r="AL17"/>
  <c r="AK17"/>
  <c r="AL104"/>
  <c r="AK104"/>
  <c r="AL73"/>
  <c r="AK73"/>
  <c r="AL72"/>
  <c r="AK72"/>
  <c r="AL37"/>
  <c r="AK37"/>
  <c r="AL110"/>
  <c r="AK110"/>
  <c r="AL20"/>
  <c r="AK20"/>
  <c r="AL10"/>
  <c r="AK10"/>
  <c r="AL9"/>
  <c r="AK9"/>
  <c r="AL102"/>
  <c r="AK102"/>
  <c r="AL65"/>
  <c r="AK65"/>
  <c r="AL58"/>
  <c r="AK58"/>
  <c r="AL43"/>
  <c r="AK43"/>
  <c r="AL36"/>
  <c r="AK36"/>
  <c r="AL6"/>
  <c r="AK6"/>
  <c r="AL79"/>
  <c r="AK79"/>
  <c r="AL70"/>
  <c r="AK70"/>
  <c r="AL60"/>
  <c r="AK60"/>
  <c r="AL34"/>
  <c r="AK34"/>
  <c r="AL28"/>
  <c r="AK28"/>
  <c r="AL112"/>
  <c r="AK112"/>
  <c r="AL111"/>
  <c r="AK111"/>
  <c r="AL100"/>
  <c r="AK100"/>
  <c r="AL77"/>
  <c r="AK77"/>
  <c r="AL57"/>
  <c r="AK57"/>
  <c r="AL11"/>
  <c r="AK11"/>
  <c r="AL124"/>
  <c r="AK124"/>
  <c r="AL94"/>
  <c r="AK94"/>
  <c r="AL86"/>
  <c r="AK86"/>
  <c r="AL71"/>
  <c r="AK71"/>
  <c r="AL38"/>
  <c r="AK38"/>
  <c r="AL26"/>
  <c r="AK26"/>
  <c r="AL49"/>
  <c r="AK49"/>
  <c r="AL13"/>
  <c r="AK13"/>
  <c r="AL120"/>
  <c r="AK120"/>
  <c r="AL27"/>
  <c r="AK27"/>
  <c r="AL16"/>
  <c r="AK16"/>
  <c r="AL118"/>
  <c r="AK118"/>
  <c r="AL78"/>
  <c r="AK78"/>
  <c r="AL64"/>
  <c r="AK64"/>
  <c r="AL39"/>
  <c r="AK39"/>
  <c r="AL35"/>
  <c r="AK35"/>
  <c r="AL107"/>
  <c r="AK107"/>
  <c r="AL101"/>
  <c r="AK101"/>
  <c r="AL98"/>
  <c r="AK98"/>
  <c r="AL95"/>
  <c r="AK95"/>
  <c r="AL87"/>
  <c r="AK87"/>
  <c r="AL42"/>
  <c r="AK42"/>
  <c r="AL22"/>
  <c r="AK22"/>
  <c r="AL15"/>
  <c r="AK15"/>
  <c r="AL93"/>
  <c r="AK93"/>
  <c r="AL84"/>
  <c r="AK84"/>
  <c r="AL30"/>
  <c r="AK30"/>
  <c r="AL18"/>
  <c r="AK18"/>
  <c r="AL115"/>
  <c r="AK115"/>
  <c r="AL97"/>
  <c r="AK97"/>
  <c r="AL85"/>
  <c r="AK85"/>
  <c r="AL56"/>
  <c r="AK56"/>
  <c r="AG6" i="71"/>
  <c r="AE6"/>
  <c r="AF6"/>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C124" i="57"/>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C75"/>
  <c r="C74"/>
  <c r="C73"/>
  <c r="C72"/>
  <c r="C71"/>
  <c r="C70"/>
  <c r="C69"/>
  <c r="C68"/>
  <c r="C67"/>
  <c r="C66"/>
  <c r="C65"/>
  <c r="C64"/>
  <c r="C63"/>
  <c r="C62"/>
  <c r="C61"/>
  <c r="C60"/>
  <c r="C59"/>
  <c r="C58"/>
  <c r="C57"/>
  <c r="C56"/>
  <c r="C55"/>
  <c r="C54"/>
  <c r="C53"/>
  <c r="C52"/>
  <c r="C51"/>
  <c r="C50"/>
  <c r="C49"/>
  <c r="C48"/>
  <c r="C47"/>
  <c r="C46"/>
  <c r="C45"/>
  <c r="C44"/>
  <c r="C43"/>
  <c r="C42"/>
  <c r="C41"/>
  <c r="C40"/>
  <c r="C39"/>
  <c r="C38"/>
  <c r="C37"/>
  <c r="C36"/>
  <c r="C35"/>
  <c r="C34"/>
  <c r="C33"/>
  <c r="C32"/>
  <c r="C31"/>
  <c r="C30"/>
  <c r="C29"/>
  <c r="C28"/>
  <c r="C27"/>
  <c r="C26"/>
  <c r="C25"/>
  <c r="C24"/>
  <c r="C23"/>
  <c r="C22"/>
  <c r="C21"/>
  <c r="C20"/>
  <c r="C19"/>
  <c r="C18"/>
  <c r="C17"/>
  <c r="C16"/>
  <c r="C15"/>
  <c r="C14"/>
  <c r="C13"/>
  <c r="C12"/>
  <c r="C11"/>
  <c r="C10"/>
  <c r="C9"/>
  <c r="C8"/>
  <c r="C7"/>
  <c r="C6"/>
  <c r="C5"/>
  <c r="K4" i="55"/>
  <c r="J4"/>
  <c r="I4"/>
  <c r="H4"/>
  <c r="H16" i="1"/>
  <c r="H17"/>
  <c r="K126" i="49"/>
  <c r="I124" i="32"/>
  <c r="S125" i="72"/>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S5"/>
  <c r="AB127" i="77"/>
  <c r="AA127"/>
  <c r="Z127"/>
  <c r="Y127"/>
  <c r="X127"/>
  <c r="W127"/>
  <c r="V127"/>
  <c r="U127"/>
  <c r="T127"/>
  <c r="S127"/>
  <c r="R127"/>
  <c r="Q127"/>
  <c r="K127"/>
  <c r="J127"/>
  <c r="I127"/>
  <c r="H127"/>
  <c r="F127"/>
  <c r="E127"/>
  <c r="D127"/>
  <c r="C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K127" i="47"/>
  <c r="J127"/>
  <c r="I127"/>
  <c r="H127"/>
  <c r="G127"/>
  <c r="F127"/>
  <c r="E127"/>
  <c r="D127"/>
  <c r="C127"/>
  <c r="C126" i="49"/>
  <c r="D126"/>
  <c r="E126"/>
  <c r="F126"/>
  <c r="H126"/>
  <c r="I126"/>
  <c r="J126"/>
  <c r="H107" i="1"/>
  <c r="H106"/>
  <c r="H105"/>
  <c r="H104"/>
  <c r="Q126" i="75"/>
  <c r="P126"/>
  <c r="Q125"/>
  <c r="P125"/>
  <c r="Q124"/>
  <c r="P124"/>
  <c r="Q123"/>
  <c r="P123"/>
  <c r="Q122"/>
  <c r="P122"/>
  <c r="Q121"/>
  <c r="P121"/>
  <c r="Q120"/>
  <c r="P120"/>
  <c r="Q119"/>
  <c r="P119"/>
  <c r="Q118"/>
  <c r="P118"/>
  <c r="Q117"/>
  <c r="P117"/>
  <c r="Q116"/>
  <c r="P116"/>
  <c r="Q115"/>
  <c r="P115"/>
  <c r="Q114"/>
  <c r="P114"/>
  <c r="Q113"/>
  <c r="P113"/>
  <c r="Q112"/>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Q93"/>
  <c r="P93"/>
  <c r="Q92"/>
  <c r="P92"/>
  <c r="Q91"/>
  <c r="P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Q70"/>
  <c r="P70"/>
  <c r="Q69"/>
  <c r="P69"/>
  <c r="Q68"/>
  <c r="P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Q47"/>
  <c r="P47"/>
  <c r="Q46"/>
  <c r="P46"/>
  <c r="Q45"/>
  <c r="P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Q24"/>
  <c r="P24"/>
  <c r="Q23"/>
  <c r="P23"/>
  <c r="Q22"/>
  <c r="P22"/>
  <c r="Q21"/>
  <c r="P21"/>
  <c r="Q20"/>
  <c r="P20"/>
  <c r="Q19"/>
  <c r="P19"/>
  <c r="Q18"/>
  <c r="P18"/>
  <c r="Q17"/>
  <c r="P17"/>
  <c r="Q16"/>
  <c r="P16"/>
  <c r="Q15"/>
  <c r="P15"/>
  <c r="Q14"/>
  <c r="P14"/>
  <c r="Q13"/>
  <c r="P13"/>
  <c r="Q12"/>
  <c r="P12"/>
  <c r="Q11"/>
  <c r="P11"/>
  <c r="Q10"/>
  <c r="P10"/>
  <c r="Q9"/>
  <c r="P9"/>
  <c r="Q8"/>
  <c r="P8"/>
  <c r="Q7"/>
  <c r="P7"/>
  <c r="Q6"/>
  <c r="N107" i="1" s="1"/>
  <c r="P6" i="75"/>
  <c r="N106" i="1" s="1"/>
  <c r="L127" i="77"/>
  <c r="E102" i="1"/>
  <c r="D125" i="74"/>
  <c r="D126"/>
  <c r="J126" i="75"/>
  <c r="I126"/>
  <c r="J125"/>
  <c r="I125"/>
  <c r="J124"/>
  <c r="I124"/>
  <c r="J123"/>
  <c r="I123"/>
  <c r="J122"/>
  <c r="I122"/>
  <c r="J121"/>
  <c r="I121"/>
  <c r="J120"/>
  <c r="I120"/>
  <c r="J119"/>
  <c r="I119"/>
  <c r="J118"/>
  <c r="I118"/>
  <c r="J117"/>
  <c r="I117"/>
  <c r="J116"/>
  <c r="I116"/>
  <c r="J115"/>
  <c r="I115"/>
  <c r="J114"/>
  <c r="I114"/>
  <c r="J113"/>
  <c r="I113"/>
  <c r="J112"/>
  <c r="I112"/>
  <c r="J111"/>
  <c r="I111"/>
  <c r="J110"/>
  <c r="I110"/>
  <c r="J109"/>
  <c r="I109"/>
  <c r="J108"/>
  <c r="I108"/>
  <c r="J107"/>
  <c r="I107"/>
  <c r="J106"/>
  <c r="I106"/>
  <c r="J105"/>
  <c r="I105"/>
  <c r="J104"/>
  <c r="I104"/>
  <c r="J103"/>
  <c r="I103"/>
  <c r="J102"/>
  <c r="I102"/>
  <c r="J101"/>
  <c r="I101"/>
  <c r="J100"/>
  <c r="I100"/>
  <c r="J99"/>
  <c r="I99"/>
  <c r="J98"/>
  <c r="I98"/>
  <c r="J97"/>
  <c r="I97"/>
  <c r="J96"/>
  <c r="I96"/>
  <c r="J95"/>
  <c r="I95"/>
  <c r="J94"/>
  <c r="I94"/>
  <c r="J93"/>
  <c r="I93"/>
  <c r="J92"/>
  <c r="I92"/>
  <c r="J91"/>
  <c r="I91"/>
  <c r="J90"/>
  <c r="I90"/>
  <c r="J89"/>
  <c r="I89"/>
  <c r="J88"/>
  <c r="I88"/>
  <c r="J87"/>
  <c r="I87"/>
  <c r="J86"/>
  <c r="I86"/>
  <c r="J85"/>
  <c r="I85"/>
  <c r="J84"/>
  <c r="I84"/>
  <c r="J83"/>
  <c r="I83"/>
  <c r="J82"/>
  <c r="I82"/>
  <c r="J81"/>
  <c r="I81"/>
  <c r="J80"/>
  <c r="I80"/>
  <c r="J79"/>
  <c r="I79"/>
  <c r="J78"/>
  <c r="I78"/>
  <c r="J77"/>
  <c r="I77"/>
  <c r="J76"/>
  <c r="I76"/>
  <c r="J75"/>
  <c r="I75"/>
  <c r="J74"/>
  <c r="I74"/>
  <c r="J73"/>
  <c r="I73"/>
  <c r="J72"/>
  <c r="I72"/>
  <c r="J71"/>
  <c r="I71"/>
  <c r="J70"/>
  <c r="I70"/>
  <c r="J69"/>
  <c r="I69"/>
  <c r="J68"/>
  <c r="I68"/>
  <c r="J67"/>
  <c r="I67"/>
  <c r="J66"/>
  <c r="I66"/>
  <c r="J65"/>
  <c r="I65"/>
  <c r="J64"/>
  <c r="I64"/>
  <c r="J63"/>
  <c r="I63"/>
  <c r="J62"/>
  <c r="I62"/>
  <c r="J61"/>
  <c r="I61"/>
  <c r="J60"/>
  <c r="I60"/>
  <c r="J59"/>
  <c r="I59"/>
  <c r="J58"/>
  <c r="I58"/>
  <c r="J57"/>
  <c r="I57"/>
  <c r="J56"/>
  <c r="I56"/>
  <c r="J55"/>
  <c r="I55"/>
  <c r="J54"/>
  <c r="I54"/>
  <c r="J53"/>
  <c r="I53"/>
  <c r="J52"/>
  <c r="I52"/>
  <c r="J51"/>
  <c r="I51"/>
  <c r="J50"/>
  <c r="I50"/>
  <c r="J49"/>
  <c r="I49"/>
  <c r="J48"/>
  <c r="I48"/>
  <c r="J47"/>
  <c r="I47"/>
  <c r="J46"/>
  <c r="I46"/>
  <c r="J45"/>
  <c r="I45"/>
  <c r="J44"/>
  <c r="I44"/>
  <c r="J43"/>
  <c r="I43"/>
  <c r="J42"/>
  <c r="I42"/>
  <c r="J41"/>
  <c r="I41"/>
  <c r="J40"/>
  <c r="I40"/>
  <c r="J39"/>
  <c r="I39"/>
  <c r="J38"/>
  <c r="I38"/>
  <c r="J37"/>
  <c r="I37"/>
  <c r="J36"/>
  <c r="I36"/>
  <c r="J35"/>
  <c r="I35"/>
  <c r="J34"/>
  <c r="I34"/>
  <c r="J33"/>
  <c r="I33"/>
  <c r="J32"/>
  <c r="I32"/>
  <c r="J31"/>
  <c r="I31"/>
  <c r="J30"/>
  <c r="I30"/>
  <c r="J29"/>
  <c r="I29"/>
  <c r="J28"/>
  <c r="I28"/>
  <c r="J27"/>
  <c r="I27"/>
  <c r="J26"/>
  <c r="I26"/>
  <c r="J25"/>
  <c r="I25"/>
  <c r="J24"/>
  <c r="I24"/>
  <c r="J23"/>
  <c r="I23"/>
  <c r="J22"/>
  <c r="I22"/>
  <c r="J21"/>
  <c r="I21"/>
  <c r="J20"/>
  <c r="I20"/>
  <c r="J19"/>
  <c r="I19"/>
  <c r="J18"/>
  <c r="I18"/>
  <c r="J17"/>
  <c r="I17"/>
  <c r="J16"/>
  <c r="I16"/>
  <c r="J15"/>
  <c r="I15"/>
  <c r="J14"/>
  <c r="I14"/>
  <c r="J13"/>
  <c r="I13"/>
  <c r="J12"/>
  <c r="I12"/>
  <c r="J11"/>
  <c r="I11"/>
  <c r="J10"/>
  <c r="I10"/>
  <c r="J9"/>
  <c r="I9"/>
  <c r="J8"/>
  <c r="I8"/>
  <c r="J7"/>
  <c r="I7"/>
  <c r="J6"/>
  <c r="N105" i="1" s="1"/>
  <c r="I6" i="75"/>
  <c r="N104" i="1" s="1"/>
  <c r="L102"/>
  <c r="R125" i="72"/>
  <c r="Q125"/>
  <c r="P125"/>
  <c r="R124"/>
  <c r="Q124"/>
  <c r="P124"/>
  <c r="R123"/>
  <c r="Q123"/>
  <c r="P123"/>
  <c r="R122"/>
  <c r="Q122"/>
  <c r="P122"/>
  <c r="R121"/>
  <c r="Q121"/>
  <c r="P121"/>
  <c r="R120"/>
  <c r="Q120"/>
  <c r="P120"/>
  <c r="R119"/>
  <c r="Q119"/>
  <c r="P119"/>
  <c r="R118"/>
  <c r="Q118"/>
  <c r="P118"/>
  <c r="R117"/>
  <c r="Q117"/>
  <c r="P117"/>
  <c r="R116"/>
  <c r="Q116"/>
  <c r="P116"/>
  <c r="R115"/>
  <c r="Q115"/>
  <c r="P115"/>
  <c r="R114"/>
  <c r="Q114"/>
  <c r="P114"/>
  <c r="R113"/>
  <c r="Q113"/>
  <c r="P113"/>
  <c r="R112"/>
  <c r="Q112"/>
  <c r="P112"/>
  <c r="R111"/>
  <c r="Q111"/>
  <c r="P111"/>
  <c r="R110"/>
  <c r="Q110"/>
  <c r="P110"/>
  <c r="R109"/>
  <c r="Q109"/>
  <c r="P109"/>
  <c r="R108"/>
  <c r="Q108"/>
  <c r="P108"/>
  <c r="R107"/>
  <c r="Q107"/>
  <c r="P107"/>
  <c r="R106"/>
  <c r="Q106"/>
  <c r="P106"/>
  <c r="R105"/>
  <c r="Q105"/>
  <c r="P105"/>
  <c r="R104"/>
  <c r="Q104"/>
  <c r="P104"/>
  <c r="R103"/>
  <c r="Q103"/>
  <c r="P103"/>
  <c r="R102"/>
  <c r="Q102"/>
  <c r="P102"/>
  <c r="R101"/>
  <c r="Q101"/>
  <c r="P101"/>
  <c r="R100"/>
  <c r="Q100"/>
  <c r="P100"/>
  <c r="R99"/>
  <c r="Q99"/>
  <c r="P99"/>
  <c r="R98"/>
  <c r="Q98"/>
  <c r="P98"/>
  <c r="R97"/>
  <c r="Q97"/>
  <c r="P97"/>
  <c r="R96"/>
  <c r="Q96"/>
  <c r="P96"/>
  <c r="R95"/>
  <c r="Q95"/>
  <c r="P95"/>
  <c r="R94"/>
  <c r="Q94"/>
  <c r="P94"/>
  <c r="R93"/>
  <c r="Q93"/>
  <c r="P93"/>
  <c r="R92"/>
  <c r="Q92"/>
  <c r="P92"/>
  <c r="R91"/>
  <c r="Q91"/>
  <c r="P91"/>
  <c r="R90"/>
  <c r="Q90"/>
  <c r="P90"/>
  <c r="R89"/>
  <c r="Q89"/>
  <c r="P89"/>
  <c r="R88"/>
  <c r="Q88"/>
  <c r="P88"/>
  <c r="R87"/>
  <c r="Q87"/>
  <c r="P87"/>
  <c r="R86"/>
  <c r="Q86"/>
  <c r="P86"/>
  <c r="R85"/>
  <c r="Q85"/>
  <c r="P85"/>
  <c r="R84"/>
  <c r="Q84"/>
  <c r="P84"/>
  <c r="R83"/>
  <c r="Q83"/>
  <c r="P83"/>
  <c r="R82"/>
  <c r="Q82"/>
  <c r="P82"/>
  <c r="R81"/>
  <c r="Q81"/>
  <c r="P81"/>
  <c r="R80"/>
  <c r="Q80"/>
  <c r="P80"/>
  <c r="R79"/>
  <c r="Q79"/>
  <c r="P79"/>
  <c r="R78"/>
  <c r="Q78"/>
  <c r="P78"/>
  <c r="R77"/>
  <c r="Q77"/>
  <c r="P77"/>
  <c r="R76"/>
  <c r="Q76"/>
  <c r="P76"/>
  <c r="R75"/>
  <c r="Q75"/>
  <c r="P75"/>
  <c r="R74"/>
  <c r="Q74"/>
  <c r="P74"/>
  <c r="R73"/>
  <c r="Q73"/>
  <c r="P73"/>
  <c r="R72"/>
  <c r="Q72"/>
  <c r="P72"/>
  <c r="R71"/>
  <c r="Q71"/>
  <c r="P71"/>
  <c r="R70"/>
  <c r="Q70"/>
  <c r="P70"/>
  <c r="R69"/>
  <c r="Q69"/>
  <c r="P69"/>
  <c r="R68"/>
  <c r="Q68"/>
  <c r="P68"/>
  <c r="R67"/>
  <c r="Q67"/>
  <c r="P67"/>
  <c r="R66"/>
  <c r="Q66"/>
  <c r="P66"/>
  <c r="R65"/>
  <c r="Q65"/>
  <c r="P65"/>
  <c r="R64"/>
  <c r="Q64"/>
  <c r="P64"/>
  <c r="R63"/>
  <c r="Q63"/>
  <c r="P63"/>
  <c r="R62"/>
  <c r="Q62"/>
  <c r="P62"/>
  <c r="R61"/>
  <c r="Q61"/>
  <c r="P61"/>
  <c r="R60"/>
  <c r="Q60"/>
  <c r="P60"/>
  <c r="R59"/>
  <c r="Q59"/>
  <c r="P59"/>
  <c r="R58"/>
  <c r="Q58"/>
  <c r="P58"/>
  <c r="R57"/>
  <c r="Q57"/>
  <c r="P57"/>
  <c r="R56"/>
  <c r="Q56"/>
  <c r="P56"/>
  <c r="R55"/>
  <c r="Q55"/>
  <c r="P55"/>
  <c r="R54"/>
  <c r="Q54"/>
  <c r="P54"/>
  <c r="R53"/>
  <c r="Q53"/>
  <c r="P53"/>
  <c r="R52"/>
  <c r="Q52"/>
  <c r="P52"/>
  <c r="R51"/>
  <c r="Q51"/>
  <c r="P51"/>
  <c r="R50"/>
  <c r="Q50"/>
  <c r="P50"/>
  <c r="R49"/>
  <c r="Q49"/>
  <c r="P49"/>
  <c r="R48"/>
  <c r="Q48"/>
  <c r="P48"/>
  <c r="R47"/>
  <c r="Q47"/>
  <c r="P47"/>
  <c r="R46"/>
  <c r="Q46"/>
  <c r="P46"/>
  <c r="R45"/>
  <c r="Q45"/>
  <c r="P45"/>
  <c r="R44"/>
  <c r="Q44"/>
  <c r="P44"/>
  <c r="R43"/>
  <c r="Q43"/>
  <c r="P43"/>
  <c r="R42"/>
  <c r="Q42"/>
  <c r="P42"/>
  <c r="R41"/>
  <c r="Q41"/>
  <c r="P41"/>
  <c r="R40"/>
  <c r="Q40"/>
  <c r="P40"/>
  <c r="R39"/>
  <c r="Q39"/>
  <c r="P39"/>
  <c r="R38"/>
  <c r="Q38"/>
  <c r="P38"/>
  <c r="R37"/>
  <c r="Q37"/>
  <c r="P37"/>
  <c r="R36"/>
  <c r="Q36"/>
  <c r="P36"/>
  <c r="R35"/>
  <c r="Q35"/>
  <c r="P35"/>
  <c r="R34"/>
  <c r="Q34"/>
  <c r="P34"/>
  <c r="R33"/>
  <c r="Q33"/>
  <c r="P33"/>
  <c r="R32"/>
  <c r="Q32"/>
  <c r="P32"/>
  <c r="R31"/>
  <c r="Q31"/>
  <c r="P31"/>
  <c r="R30"/>
  <c r="Q30"/>
  <c r="P30"/>
  <c r="R29"/>
  <c r="Q29"/>
  <c r="P29"/>
  <c r="R28"/>
  <c r="Q28"/>
  <c r="P28"/>
  <c r="R27"/>
  <c r="Q27"/>
  <c r="P27"/>
  <c r="R26"/>
  <c r="Q26"/>
  <c r="P26"/>
  <c r="R25"/>
  <c r="Q25"/>
  <c r="P25"/>
  <c r="R24"/>
  <c r="Q24"/>
  <c r="P24"/>
  <c r="R23"/>
  <c r="Q23"/>
  <c r="P23"/>
  <c r="R22"/>
  <c r="Q22"/>
  <c r="P22"/>
  <c r="R21"/>
  <c r="Q21"/>
  <c r="P21"/>
  <c r="R20"/>
  <c r="Q20"/>
  <c r="P20"/>
  <c r="R19"/>
  <c r="Q19"/>
  <c r="P19"/>
  <c r="R18"/>
  <c r="Q18"/>
  <c r="P18"/>
  <c r="R17"/>
  <c r="Q17"/>
  <c r="P17"/>
  <c r="R16"/>
  <c r="Q16"/>
  <c r="P16"/>
  <c r="R15"/>
  <c r="Q15"/>
  <c r="P15"/>
  <c r="R14"/>
  <c r="Q14"/>
  <c r="P14"/>
  <c r="R13"/>
  <c r="Q13"/>
  <c r="P13"/>
  <c r="R12"/>
  <c r="Q12"/>
  <c r="P12"/>
  <c r="R11"/>
  <c r="Q11"/>
  <c r="P11"/>
  <c r="R10"/>
  <c r="Q10"/>
  <c r="P10"/>
  <c r="R9"/>
  <c r="Q9"/>
  <c r="P9"/>
  <c r="R8"/>
  <c r="Q8"/>
  <c r="P8"/>
  <c r="R7"/>
  <c r="Q7"/>
  <c r="P7"/>
  <c r="R6"/>
  <c r="Q6"/>
  <c r="P6"/>
  <c r="R5"/>
  <c r="Q5"/>
  <c r="W113" i="1" s="1"/>
  <c r="P5" i="72"/>
  <c r="W112" i="1" s="1"/>
  <c r="G107"/>
  <c r="G106"/>
  <c r="G105"/>
  <c r="G104"/>
  <c r="I35"/>
  <c r="I34"/>
  <c r="I33"/>
  <c r="I32"/>
  <c r="I31"/>
  <c r="V111"/>
  <c r="W115"/>
  <c r="W114"/>
  <c r="H22"/>
  <c r="F12"/>
  <c r="L122" i="71"/>
  <c r="M122"/>
  <c r="N122"/>
  <c r="O122"/>
  <c r="P122"/>
  <c r="Z122" s="1"/>
  <c r="R122"/>
  <c r="S122"/>
  <c r="T122"/>
  <c r="U122"/>
  <c r="W122"/>
  <c r="X122"/>
  <c r="Y122"/>
  <c r="AH122"/>
  <c r="AI122"/>
  <c r="AI126"/>
  <c r="AH126"/>
  <c r="Y126"/>
  <c r="X126"/>
  <c r="W126"/>
  <c r="U126"/>
  <c r="T126"/>
  <c r="S126"/>
  <c r="O126"/>
  <c r="N126"/>
  <c r="M126"/>
  <c r="L126"/>
  <c r="P126" s="1"/>
  <c r="AI125"/>
  <c r="AH125"/>
  <c r="Y125"/>
  <c r="X125"/>
  <c r="W125"/>
  <c r="U125"/>
  <c r="T125"/>
  <c r="S125"/>
  <c r="O125"/>
  <c r="N125"/>
  <c r="M125"/>
  <c r="L125"/>
  <c r="P125" s="1"/>
  <c r="AI124"/>
  <c r="AH124"/>
  <c r="Y124"/>
  <c r="X124"/>
  <c r="W124"/>
  <c r="U124"/>
  <c r="T124"/>
  <c r="S124"/>
  <c r="O124"/>
  <c r="N124"/>
  <c r="M124"/>
  <c r="L124"/>
  <c r="AI123"/>
  <c r="AH123"/>
  <c r="Y123"/>
  <c r="X123"/>
  <c r="W123"/>
  <c r="U123"/>
  <c r="T123"/>
  <c r="S123"/>
  <c r="O123"/>
  <c r="N123"/>
  <c r="M123"/>
  <c r="L123"/>
  <c r="P123"/>
  <c r="AI121"/>
  <c r="AH121"/>
  <c r="Y121"/>
  <c r="X121"/>
  <c r="W121"/>
  <c r="U121"/>
  <c r="T121"/>
  <c r="S121"/>
  <c r="O121"/>
  <c r="N121"/>
  <c r="M121"/>
  <c r="L121"/>
  <c r="P121"/>
  <c r="AI120"/>
  <c r="AH120"/>
  <c r="Y120"/>
  <c r="X120"/>
  <c r="W120"/>
  <c r="U120"/>
  <c r="T120"/>
  <c r="S120"/>
  <c r="O120"/>
  <c r="N120"/>
  <c r="M120"/>
  <c r="L120"/>
  <c r="P120" s="1"/>
  <c r="AI119"/>
  <c r="AH119"/>
  <c r="Y119"/>
  <c r="X119"/>
  <c r="W119"/>
  <c r="U119"/>
  <c r="T119"/>
  <c r="S119"/>
  <c r="O119"/>
  <c r="N119"/>
  <c r="M119"/>
  <c r="L119"/>
  <c r="AI118"/>
  <c r="AH118"/>
  <c r="Y118"/>
  <c r="X118"/>
  <c r="W118"/>
  <c r="U118"/>
  <c r="T118"/>
  <c r="S118"/>
  <c r="O118"/>
  <c r="N118"/>
  <c r="M118"/>
  <c r="L118"/>
  <c r="P118" s="1"/>
  <c r="AI117"/>
  <c r="AH117"/>
  <c r="Y117"/>
  <c r="X117"/>
  <c r="W117"/>
  <c r="U117"/>
  <c r="T117"/>
  <c r="S117"/>
  <c r="O117"/>
  <c r="N117"/>
  <c r="M117"/>
  <c r="L117"/>
  <c r="AI116"/>
  <c r="AH116"/>
  <c r="Y116"/>
  <c r="X116"/>
  <c r="W116"/>
  <c r="U116"/>
  <c r="T116"/>
  <c r="S116"/>
  <c r="O116"/>
  <c r="N116"/>
  <c r="M116"/>
  <c r="L116"/>
  <c r="AI115"/>
  <c r="AH115"/>
  <c r="Y115"/>
  <c r="X115"/>
  <c r="W115"/>
  <c r="U115"/>
  <c r="T115"/>
  <c r="S115"/>
  <c r="O115"/>
  <c r="N115"/>
  <c r="M115"/>
  <c r="L115"/>
  <c r="AI114"/>
  <c r="AH114"/>
  <c r="Y114"/>
  <c r="X114"/>
  <c r="W114"/>
  <c r="U114"/>
  <c r="T114"/>
  <c r="S114"/>
  <c r="O114"/>
  <c r="N114"/>
  <c r="M114"/>
  <c r="L114"/>
  <c r="AI113"/>
  <c r="AH113"/>
  <c r="Y113"/>
  <c r="X113"/>
  <c r="W113"/>
  <c r="U113"/>
  <c r="T113"/>
  <c r="S113"/>
  <c r="O113"/>
  <c r="N113"/>
  <c r="M113"/>
  <c r="L113"/>
  <c r="AI112"/>
  <c r="AH112"/>
  <c r="Y112"/>
  <c r="X112"/>
  <c r="W112"/>
  <c r="U112"/>
  <c r="T112"/>
  <c r="S112"/>
  <c r="O112"/>
  <c r="N112"/>
  <c r="M112"/>
  <c r="L112"/>
  <c r="AI111"/>
  <c r="AH111"/>
  <c r="Y111"/>
  <c r="X111"/>
  <c r="W111"/>
  <c r="U111"/>
  <c r="T111"/>
  <c r="S111"/>
  <c r="O111"/>
  <c r="N111"/>
  <c r="M111"/>
  <c r="L111"/>
  <c r="AI110"/>
  <c r="AH110"/>
  <c r="Y110"/>
  <c r="X110"/>
  <c r="W110"/>
  <c r="U110"/>
  <c r="T110"/>
  <c r="S110"/>
  <c r="O110"/>
  <c r="N110"/>
  <c r="M110"/>
  <c r="L110"/>
  <c r="AI109"/>
  <c r="AH109"/>
  <c r="Y109"/>
  <c r="X109"/>
  <c r="W109"/>
  <c r="U109"/>
  <c r="T109"/>
  <c r="S109"/>
  <c r="O109"/>
  <c r="N109"/>
  <c r="M109"/>
  <c r="L109"/>
  <c r="P109" s="1"/>
  <c r="AI108"/>
  <c r="AH108"/>
  <c r="Y108"/>
  <c r="X108"/>
  <c r="W108"/>
  <c r="U108"/>
  <c r="T108"/>
  <c r="S108"/>
  <c r="O108"/>
  <c r="N108"/>
  <c r="M108"/>
  <c r="L108"/>
  <c r="AI107"/>
  <c r="AH107"/>
  <c r="Y107"/>
  <c r="X107"/>
  <c r="W107"/>
  <c r="U107"/>
  <c r="T107"/>
  <c r="S107"/>
  <c r="O107"/>
  <c r="N107"/>
  <c r="M107"/>
  <c r="L107"/>
  <c r="AI106"/>
  <c r="AH106"/>
  <c r="Y106"/>
  <c r="X106"/>
  <c r="W106"/>
  <c r="U106"/>
  <c r="T106"/>
  <c r="S106"/>
  <c r="O106"/>
  <c r="N106"/>
  <c r="M106"/>
  <c r="L106"/>
  <c r="AI105"/>
  <c r="AH105"/>
  <c r="Y105"/>
  <c r="X105"/>
  <c r="W105"/>
  <c r="U105"/>
  <c r="T105"/>
  <c r="S105"/>
  <c r="O105"/>
  <c r="N105"/>
  <c r="M105"/>
  <c r="L105"/>
  <c r="P105"/>
  <c r="AI104"/>
  <c r="AH104"/>
  <c r="Y104"/>
  <c r="X104"/>
  <c r="W104"/>
  <c r="U104"/>
  <c r="T104"/>
  <c r="S104"/>
  <c r="O104"/>
  <c r="N104"/>
  <c r="M104"/>
  <c r="L104"/>
  <c r="AI103"/>
  <c r="AH103"/>
  <c r="Y103"/>
  <c r="X103"/>
  <c r="W103"/>
  <c r="U103"/>
  <c r="T103"/>
  <c r="S103"/>
  <c r="O103"/>
  <c r="N103"/>
  <c r="M103"/>
  <c r="L103"/>
  <c r="AI102"/>
  <c r="AH102"/>
  <c r="Y102"/>
  <c r="X102"/>
  <c r="W102"/>
  <c r="U102"/>
  <c r="T102"/>
  <c r="S102"/>
  <c r="O102"/>
  <c r="N102"/>
  <c r="M102"/>
  <c r="L102"/>
  <c r="AI101"/>
  <c r="AH101"/>
  <c r="Y101"/>
  <c r="X101"/>
  <c r="W101"/>
  <c r="U101"/>
  <c r="T101"/>
  <c r="S101"/>
  <c r="O101"/>
  <c r="N101"/>
  <c r="M101"/>
  <c r="L101"/>
  <c r="AI100"/>
  <c r="AH100"/>
  <c r="Y100"/>
  <c r="X100"/>
  <c r="W100"/>
  <c r="U100"/>
  <c r="T100"/>
  <c r="S100"/>
  <c r="O100"/>
  <c r="N100"/>
  <c r="M100"/>
  <c r="L100"/>
  <c r="AI99"/>
  <c r="AH99"/>
  <c r="Y99"/>
  <c r="X99"/>
  <c r="W99"/>
  <c r="U99"/>
  <c r="T99"/>
  <c r="S99"/>
  <c r="O99"/>
  <c r="N99"/>
  <c r="M99"/>
  <c r="L99"/>
  <c r="P99" s="1"/>
  <c r="AI98"/>
  <c r="AH98"/>
  <c r="Y98"/>
  <c r="X98"/>
  <c r="W98"/>
  <c r="U98"/>
  <c r="T98"/>
  <c r="S98"/>
  <c r="O98"/>
  <c r="N98"/>
  <c r="M98"/>
  <c r="L98"/>
  <c r="AI97"/>
  <c r="AH97"/>
  <c r="Y97"/>
  <c r="X97"/>
  <c r="W97"/>
  <c r="U97"/>
  <c r="T97"/>
  <c r="S97"/>
  <c r="O97"/>
  <c r="N97"/>
  <c r="M97"/>
  <c r="L97"/>
  <c r="AI96"/>
  <c r="AH96"/>
  <c r="Y96"/>
  <c r="X96"/>
  <c r="W96"/>
  <c r="U96"/>
  <c r="T96"/>
  <c r="S96"/>
  <c r="O96"/>
  <c r="N96"/>
  <c r="M96"/>
  <c r="L96"/>
  <c r="AI95"/>
  <c r="AH95"/>
  <c r="Y95"/>
  <c r="X95"/>
  <c r="W95"/>
  <c r="U95"/>
  <c r="T95"/>
  <c r="S95"/>
  <c r="O95"/>
  <c r="N95"/>
  <c r="M95"/>
  <c r="L95"/>
  <c r="P95" s="1"/>
  <c r="AI94"/>
  <c r="AH94"/>
  <c r="Y94"/>
  <c r="X94"/>
  <c r="W94"/>
  <c r="U94"/>
  <c r="T94"/>
  <c r="S94"/>
  <c r="O94"/>
  <c r="N94"/>
  <c r="M94"/>
  <c r="L94"/>
  <c r="AI93"/>
  <c r="AH93"/>
  <c r="Y93"/>
  <c r="X93"/>
  <c r="W93"/>
  <c r="U93"/>
  <c r="T93"/>
  <c r="S93"/>
  <c r="O93"/>
  <c r="N93"/>
  <c r="M93"/>
  <c r="L93"/>
  <c r="AI92"/>
  <c r="AH92"/>
  <c r="Y92"/>
  <c r="X92"/>
  <c r="W92"/>
  <c r="U92"/>
  <c r="T92"/>
  <c r="S92"/>
  <c r="O92"/>
  <c r="N92"/>
  <c r="M92"/>
  <c r="L92"/>
  <c r="AI91"/>
  <c r="AH91"/>
  <c r="Y91"/>
  <c r="X91"/>
  <c r="W91"/>
  <c r="U91"/>
  <c r="T91"/>
  <c r="S91"/>
  <c r="O91"/>
  <c r="N91"/>
  <c r="M91"/>
  <c r="L91"/>
  <c r="P91"/>
  <c r="AI90"/>
  <c r="AH90"/>
  <c r="Y90"/>
  <c r="X90"/>
  <c r="W90"/>
  <c r="U90"/>
  <c r="T90"/>
  <c r="S90"/>
  <c r="O90"/>
  <c r="N90"/>
  <c r="M90"/>
  <c r="L90"/>
  <c r="AI89"/>
  <c r="AH89"/>
  <c r="Y89"/>
  <c r="X89"/>
  <c r="W89"/>
  <c r="U89"/>
  <c r="T89"/>
  <c r="S89"/>
  <c r="O89"/>
  <c r="N89"/>
  <c r="M89"/>
  <c r="L89"/>
  <c r="AI88"/>
  <c r="AH88"/>
  <c r="Y88"/>
  <c r="X88"/>
  <c r="W88"/>
  <c r="U88"/>
  <c r="T88"/>
  <c r="S88"/>
  <c r="O88"/>
  <c r="N88"/>
  <c r="M88"/>
  <c r="L88"/>
  <c r="AI87"/>
  <c r="AH87"/>
  <c r="Y87"/>
  <c r="X87"/>
  <c r="W87"/>
  <c r="U87"/>
  <c r="T87"/>
  <c r="S87"/>
  <c r="O87"/>
  <c r="N87"/>
  <c r="M87"/>
  <c r="L87"/>
  <c r="P87"/>
  <c r="AI86"/>
  <c r="AH86"/>
  <c r="Y86"/>
  <c r="X86"/>
  <c r="W86"/>
  <c r="U86"/>
  <c r="T86"/>
  <c r="S86"/>
  <c r="O86"/>
  <c r="N86"/>
  <c r="M86"/>
  <c r="L86"/>
  <c r="AI85"/>
  <c r="AH85"/>
  <c r="Y85"/>
  <c r="X85"/>
  <c r="W85"/>
  <c r="U85"/>
  <c r="T85"/>
  <c r="S85"/>
  <c r="O85"/>
  <c r="N85"/>
  <c r="M85"/>
  <c r="L85"/>
  <c r="AI84"/>
  <c r="AH84"/>
  <c r="Y84"/>
  <c r="X84"/>
  <c r="W84"/>
  <c r="U84"/>
  <c r="T84"/>
  <c r="S84"/>
  <c r="O84"/>
  <c r="N84"/>
  <c r="M84"/>
  <c r="L84"/>
  <c r="AI83"/>
  <c r="AH83"/>
  <c r="Y83"/>
  <c r="X83"/>
  <c r="W83"/>
  <c r="U83"/>
  <c r="T83"/>
  <c r="S83"/>
  <c r="O83"/>
  <c r="N83"/>
  <c r="M83"/>
  <c r="L83"/>
  <c r="P83" s="1"/>
  <c r="AI82"/>
  <c r="AH82"/>
  <c r="Y82"/>
  <c r="X82"/>
  <c r="W82"/>
  <c r="U82"/>
  <c r="T82"/>
  <c r="S82"/>
  <c r="O82"/>
  <c r="N82"/>
  <c r="M82"/>
  <c r="L82"/>
  <c r="AI81"/>
  <c r="AH81"/>
  <c r="Y81"/>
  <c r="X81"/>
  <c r="W81"/>
  <c r="U81"/>
  <c r="T81"/>
  <c r="S81"/>
  <c r="O81"/>
  <c r="N81"/>
  <c r="M81"/>
  <c r="L81"/>
  <c r="AI80"/>
  <c r="AH80"/>
  <c r="Y80"/>
  <c r="X80"/>
  <c r="W80"/>
  <c r="U80"/>
  <c r="T80"/>
  <c r="S80"/>
  <c r="O80"/>
  <c r="N80"/>
  <c r="M80"/>
  <c r="L80"/>
  <c r="AI79"/>
  <c r="AH79"/>
  <c r="Y79"/>
  <c r="X79"/>
  <c r="W79"/>
  <c r="U79"/>
  <c r="T79"/>
  <c r="S79"/>
  <c r="O79"/>
  <c r="N79"/>
  <c r="M79"/>
  <c r="L79"/>
  <c r="P79" s="1"/>
  <c r="AI78"/>
  <c r="AH78"/>
  <c r="Y78"/>
  <c r="X78"/>
  <c r="W78"/>
  <c r="U78"/>
  <c r="T78"/>
  <c r="S78"/>
  <c r="O78"/>
  <c r="N78"/>
  <c r="M78"/>
  <c r="L78"/>
  <c r="AI77"/>
  <c r="AH77"/>
  <c r="Y77"/>
  <c r="X77"/>
  <c r="W77"/>
  <c r="U77"/>
  <c r="T77"/>
  <c r="S77"/>
  <c r="O77"/>
  <c r="N77"/>
  <c r="M77"/>
  <c r="L77"/>
  <c r="AI76"/>
  <c r="AH76"/>
  <c r="Y76"/>
  <c r="X76"/>
  <c r="W76"/>
  <c r="U76"/>
  <c r="T76"/>
  <c r="S76"/>
  <c r="O76"/>
  <c r="N76"/>
  <c r="M76"/>
  <c r="L76"/>
  <c r="AI75"/>
  <c r="AH75"/>
  <c r="Y75"/>
  <c r="X75"/>
  <c r="W75"/>
  <c r="U75"/>
  <c r="T75"/>
  <c r="S75"/>
  <c r="O75"/>
  <c r="N75"/>
  <c r="M75"/>
  <c r="L75"/>
  <c r="P75"/>
  <c r="AI74"/>
  <c r="AH74"/>
  <c r="Y74"/>
  <c r="X74"/>
  <c r="W74"/>
  <c r="U74"/>
  <c r="T74"/>
  <c r="S74"/>
  <c r="O74"/>
  <c r="N74"/>
  <c r="M74"/>
  <c r="L74"/>
  <c r="AI73"/>
  <c r="AH73"/>
  <c r="Y73"/>
  <c r="X73"/>
  <c r="W73"/>
  <c r="U73"/>
  <c r="T73"/>
  <c r="S73"/>
  <c r="O73"/>
  <c r="N73"/>
  <c r="M73"/>
  <c r="L73"/>
  <c r="AI72"/>
  <c r="AH72"/>
  <c r="Y72"/>
  <c r="X72"/>
  <c r="W72"/>
  <c r="U72"/>
  <c r="T72"/>
  <c r="S72"/>
  <c r="O72"/>
  <c r="N72"/>
  <c r="M72"/>
  <c r="L72"/>
  <c r="AI71"/>
  <c r="AH71"/>
  <c r="Y71"/>
  <c r="X71"/>
  <c r="W71"/>
  <c r="U71"/>
  <c r="T71"/>
  <c r="S71"/>
  <c r="O71"/>
  <c r="N71"/>
  <c r="M71"/>
  <c r="L71"/>
  <c r="P71"/>
  <c r="AI70"/>
  <c r="AH70"/>
  <c r="Y70"/>
  <c r="X70"/>
  <c r="W70"/>
  <c r="U70"/>
  <c r="T70"/>
  <c r="S70"/>
  <c r="O70"/>
  <c r="N70"/>
  <c r="M70"/>
  <c r="L70"/>
  <c r="AI69"/>
  <c r="AH69"/>
  <c r="Y69"/>
  <c r="X69"/>
  <c r="W69"/>
  <c r="U69"/>
  <c r="T69"/>
  <c r="S69"/>
  <c r="O69"/>
  <c r="N69"/>
  <c r="M69"/>
  <c r="L69"/>
  <c r="AI68"/>
  <c r="AH68"/>
  <c r="Y68"/>
  <c r="X68"/>
  <c r="W68"/>
  <c r="U68"/>
  <c r="T68"/>
  <c r="S68"/>
  <c r="O68"/>
  <c r="N68"/>
  <c r="M68"/>
  <c r="L68"/>
  <c r="AI67"/>
  <c r="AH67"/>
  <c r="Y67"/>
  <c r="X67"/>
  <c r="W67"/>
  <c r="U67"/>
  <c r="T67"/>
  <c r="S67"/>
  <c r="O67"/>
  <c r="N67"/>
  <c r="M67"/>
  <c r="L67"/>
  <c r="P67" s="1"/>
  <c r="AI66"/>
  <c r="AH66"/>
  <c r="Y66"/>
  <c r="X66"/>
  <c r="W66"/>
  <c r="U66"/>
  <c r="T66"/>
  <c r="S66"/>
  <c r="O66"/>
  <c r="N66"/>
  <c r="M66"/>
  <c r="L66"/>
  <c r="AI65"/>
  <c r="AH65"/>
  <c r="Y65"/>
  <c r="X65"/>
  <c r="W65"/>
  <c r="U65"/>
  <c r="T65"/>
  <c r="S65"/>
  <c r="O65"/>
  <c r="N65"/>
  <c r="M65"/>
  <c r="L65"/>
  <c r="AI64"/>
  <c r="AH64"/>
  <c r="Y64"/>
  <c r="X64"/>
  <c r="W64"/>
  <c r="U64"/>
  <c r="T64"/>
  <c r="S64"/>
  <c r="O64"/>
  <c r="N64"/>
  <c r="M64"/>
  <c r="L64"/>
  <c r="AI63"/>
  <c r="AH63"/>
  <c r="Y63"/>
  <c r="X63"/>
  <c r="W63"/>
  <c r="U63"/>
  <c r="T63"/>
  <c r="S63"/>
  <c r="O63"/>
  <c r="N63"/>
  <c r="M63"/>
  <c r="L63"/>
  <c r="P63" s="1"/>
  <c r="AI62"/>
  <c r="AH62"/>
  <c r="Y62"/>
  <c r="X62"/>
  <c r="W62"/>
  <c r="U62"/>
  <c r="T62"/>
  <c r="S62"/>
  <c r="O62"/>
  <c r="N62"/>
  <c r="M62"/>
  <c r="L62"/>
  <c r="AI61"/>
  <c r="AH61"/>
  <c r="Y61"/>
  <c r="X61"/>
  <c r="W61"/>
  <c r="U61"/>
  <c r="T61"/>
  <c r="S61"/>
  <c r="O61"/>
  <c r="N61"/>
  <c r="M61"/>
  <c r="L61"/>
  <c r="AI60"/>
  <c r="AH60"/>
  <c r="Y60"/>
  <c r="X60"/>
  <c r="W60"/>
  <c r="U60"/>
  <c r="T60"/>
  <c r="S60"/>
  <c r="O60"/>
  <c r="N60"/>
  <c r="M60"/>
  <c r="L60"/>
  <c r="AI59"/>
  <c r="AH59"/>
  <c r="Y59"/>
  <c r="X59"/>
  <c r="W59"/>
  <c r="U59"/>
  <c r="T59"/>
  <c r="S59"/>
  <c r="O59"/>
  <c r="N59"/>
  <c r="M59"/>
  <c r="L59"/>
  <c r="P59"/>
  <c r="AI58"/>
  <c r="AH58"/>
  <c r="Y58"/>
  <c r="X58"/>
  <c r="W58"/>
  <c r="U58"/>
  <c r="T58"/>
  <c r="S58"/>
  <c r="O58"/>
  <c r="N58"/>
  <c r="M58"/>
  <c r="L58"/>
  <c r="AI57"/>
  <c r="AH57"/>
  <c r="Y57"/>
  <c r="X57"/>
  <c r="W57"/>
  <c r="U57"/>
  <c r="T57"/>
  <c r="S57"/>
  <c r="O57"/>
  <c r="N57"/>
  <c r="M57"/>
  <c r="L57"/>
  <c r="AI56"/>
  <c r="AH56"/>
  <c r="Y56"/>
  <c r="X56"/>
  <c r="W56"/>
  <c r="U56"/>
  <c r="T56"/>
  <c r="S56"/>
  <c r="O56"/>
  <c r="N56"/>
  <c r="M56"/>
  <c r="L56"/>
  <c r="AI55"/>
  <c r="AH55"/>
  <c r="Y55"/>
  <c r="X55"/>
  <c r="W55"/>
  <c r="U55"/>
  <c r="T55"/>
  <c r="S55"/>
  <c r="O55"/>
  <c r="N55"/>
  <c r="M55"/>
  <c r="L55"/>
  <c r="P55"/>
  <c r="AI54"/>
  <c r="AH54"/>
  <c r="Y54"/>
  <c r="X54"/>
  <c r="W54"/>
  <c r="U54"/>
  <c r="T54"/>
  <c r="S54"/>
  <c r="O54"/>
  <c r="N54"/>
  <c r="M54"/>
  <c r="L54"/>
  <c r="AI53"/>
  <c r="AH53"/>
  <c r="Y53"/>
  <c r="X53"/>
  <c r="W53"/>
  <c r="U53"/>
  <c r="T53"/>
  <c r="S53"/>
  <c r="O53"/>
  <c r="N53"/>
  <c r="M53"/>
  <c r="L53"/>
  <c r="AI52"/>
  <c r="AH52"/>
  <c r="Y52"/>
  <c r="X52"/>
  <c r="W52"/>
  <c r="U52"/>
  <c r="T52"/>
  <c r="S52"/>
  <c r="O52"/>
  <c r="N52"/>
  <c r="M52"/>
  <c r="L52"/>
  <c r="AI51"/>
  <c r="AH51"/>
  <c r="Y51"/>
  <c r="X51"/>
  <c r="W51"/>
  <c r="U51"/>
  <c r="T51"/>
  <c r="S51"/>
  <c r="O51"/>
  <c r="N51"/>
  <c r="M51"/>
  <c r="L51"/>
  <c r="P51" s="1"/>
  <c r="AI50"/>
  <c r="AH50"/>
  <c r="Y50"/>
  <c r="X50"/>
  <c r="W50"/>
  <c r="U50"/>
  <c r="T50"/>
  <c r="S50"/>
  <c r="O50"/>
  <c r="N50"/>
  <c r="M50"/>
  <c r="L50"/>
  <c r="AI49"/>
  <c r="AH49"/>
  <c r="Y49"/>
  <c r="X49"/>
  <c r="W49"/>
  <c r="U49"/>
  <c r="T49"/>
  <c r="S49"/>
  <c r="O49"/>
  <c r="N49"/>
  <c r="M49"/>
  <c r="L49"/>
  <c r="AI48"/>
  <c r="AH48"/>
  <c r="Y48"/>
  <c r="X48"/>
  <c r="W48"/>
  <c r="U48"/>
  <c r="T48"/>
  <c r="S48"/>
  <c r="O48"/>
  <c r="N48"/>
  <c r="M48"/>
  <c r="L48"/>
  <c r="AI47"/>
  <c r="AH47"/>
  <c r="Y47"/>
  <c r="X47"/>
  <c r="W47"/>
  <c r="U47"/>
  <c r="T47"/>
  <c r="S47"/>
  <c r="O47"/>
  <c r="N47"/>
  <c r="M47"/>
  <c r="L47"/>
  <c r="P47" s="1"/>
  <c r="AI46"/>
  <c r="AH46"/>
  <c r="Y46"/>
  <c r="X46"/>
  <c r="W46"/>
  <c r="U46"/>
  <c r="T46"/>
  <c r="S46"/>
  <c r="O46"/>
  <c r="N46"/>
  <c r="M46"/>
  <c r="L46"/>
  <c r="AI45"/>
  <c r="AH45"/>
  <c r="Y45"/>
  <c r="X45"/>
  <c r="W45"/>
  <c r="U45"/>
  <c r="T45"/>
  <c r="S45"/>
  <c r="O45"/>
  <c r="N45"/>
  <c r="M45"/>
  <c r="L45"/>
  <c r="AI44"/>
  <c r="AH44"/>
  <c r="Y44"/>
  <c r="X44"/>
  <c r="W44"/>
  <c r="U44"/>
  <c r="T44"/>
  <c r="S44"/>
  <c r="O44"/>
  <c r="N44"/>
  <c r="M44"/>
  <c r="L44"/>
  <c r="AI43"/>
  <c r="AH43"/>
  <c r="Y43"/>
  <c r="X43"/>
  <c r="W43"/>
  <c r="U43"/>
  <c r="T43"/>
  <c r="S43"/>
  <c r="O43"/>
  <c r="N43"/>
  <c r="M43"/>
  <c r="L43"/>
  <c r="P43"/>
  <c r="AI42"/>
  <c r="AH42"/>
  <c r="Y42"/>
  <c r="X42"/>
  <c r="W42"/>
  <c r="U42"/>
  <c r="T42"/>
  <c r="S42"/>
  <c r="O42"/>
  <c r="N42"/>
  <c r="M42"/>
  <c r="L42"/>
  <c r="AI41"/>
  <c r="AH41"/>
  <c r="Y41"/>
  <c r="X41"/>
  <c r="W41"/>
  <c r="U41"/>
  <c r="T41"/>
  <c r="S41"/>
  <c r="O41"/>
  <c r="N41"/>
  <c r="M41"/>
  <c r="L41"/>
  <c r="AI40"/>
  <c r="AH40"/>
  <c r="Y40"/>
  <c r="X40"/>
  <c r="W40"/>
  <c r="U40"/>
  <c r="T40"/>
  <c r="S40"/>
  <c r="O40"/>
  <c r="N40"/>
  <c r="M40"/>
  <c r="L40"/>
  <c r="AI39"/>
  <c r="AH39"/>
  <c r="Y39"/>
  <c r="X39"/>
  <c r="W39"/>
  <c r="U39"/>
  <c r="T39"/>
  <c r="S39"/>
  <c r="O39"/>
  <c r="N39"/>
  <c r="M39"/>
  <c r="L39"/>
  <c r="P39"/>
  <c r="AI38"/>
  <c r="AH38"/>
  <c r="Y38"/>
  <c r="X38"/>
  <c r="W38"/>
  <c r="U38"/>
  <c r="T38"/>
  <c r="S38"/>
  <c r="O38"/>
  <c r="N38"/>
  <c r="M38"/>
  <c r="L38"/>
  <c r="AI37"/>
  <c r="AH37"/>
  <c r="Y37"/>
  <c r="X37"/>
  <c r="W37"/>
  <c r="U37"/>
  <c r="T37"/>
  <c r="S37"/>
  <c r="O37"/>
  <c r="N37"/>
  <c r="M37"/>
  <c r="L37"/>
  <c r="AI36"/>
  <c r="AH36"/>
  <c r="Y36"/>
  <c r="X36"/>
  <c r="W36"/>
  <c r="U36"/>
  <c r="T36"/>
  <c r="S36"/>
  <c r="O36"/>
  <c r="N36"/>
  <c r="M36"/>
  <c r="L36"/>
  <c r="AI35"/>
  <c r="AH35"/>
  <c r="Y35"/>
  <c r="X35"/>
  <c r="W35"/>
  <c r="U35"/>
  <c r="T35"/>
  <c r="S35"/>
  <c r="O35"/>
  <c r="N35"/>
  <c r="M35"/>
  <c r="L35"/>
  <c r="P35" s="1"/>
  <c r="AI34"/>
  <c r="AH34"/>
  <c r="Y34"/>
  <c r="X34"/>
  <c r="W34"/>
  <c r="U34"/>
  <c r="T34"/>
  <c r="S34"/>
  <c r="O34"/>
  <c r="N34"/>
  <c r="M34"/>
  <c r="L34"/>
  <c r="AI33"/>
  <c r="AH33"/>
  <c r="Y33"/>
  <c r="X33"/>
  <c r="W33"/>
  <c r="U33"/>
  <c r="T33"/>
  <c r="S33"/>
  <c r="O33"/>
  <c r="N33"/>
  <c r="M33"/>
  <c r="L33"/>
  <c r="AI32"/>
  <c r="AH32"/>
  <c r="Y32"/>
  <c r="X32"/>
  <c r="W32"/>
  <c r="U32"/>
  <c r="T32"/>
  <c r="S32"/>
  <c r="O32"/>
  <c r="N32"/>
  <c r="M32"/>
  <c r="L32"/>
  <c r="AI31"/>
  <c r="AH31"/>
  <c r="Y31"/>
  <c r="X31"/>
  <c r="W31"/>
  <c r="U31"/>
  <c r="T31"/>
  <c r="S31"/>
  <c r="O31"/>
  <c r="N31"/>
  <c r="M31"/>
  <c r="L31"/>
  <c r="P31" s="1"/>
  <c r="AI30"/>
  <c r="AH30"/>
  <c r="Y30"/>
  <c r="X30"/>
  <c r="W30"/>
  <c r="U30"/>
  <c r="T30"/>
  <c r="S30"/>
  <c r="O30"/>
  <c r="N30"/>
  <c r="M30"/>
  <c r="L30"/>
  <c r="AI29"/>
  <c r="AH29"/>
  <c r="Y29"/>
  <c r="X29"/>
  <c r="W29"/>
  <c r="U29"/>
  <c r="T29"/>
  <c r="S29"/>
  <c r="O29"/>
  <c r="N29"/>
  <c r="M29"/>
  <c r="L29"/>
  <c r="AI28"/>
  <c r="AH28"/>
  <c r="Y28"/>
  <c r="X28"/>
  <c r="W28"/>
  <c r="U28"/>
  <c r="T28"/>
  <c r="S28"/>
  <c r="O28"/>
  <c r="N28"/>
  <c r="M28"/>
  <c r="L28"/>
  <c r="AI27"/>
  <c r="AH27"/>
  <c r="Y27"/>
  <c r="X27"/>
  <c r="W27"/>
  <c r="U27"/>
  <c r="T27"/>
  <c r="S27"/>
  <c r="O27"/>
  <c r="N27"/>
  <c r="M27"/>
  <c r="L27"/>
  <c r="P27"/>
  <c r="AI26"/>
  <c r="AH26"/>
  <c r="Y26"/>
  <c r="X26"/>
  <c r="W26"/>
  <c r="U26"/>
  <c r="T26"/>
  <c r="S26"/>
  <c r="O26"/>
  <c r="N26"/>
  <c r="M26"/>
  <c r="L26"/>
  <c r="AI25"/>
  <c r="AH25"/>
  <c r="Y25"/>
  <c r="X25"/>
  <c r="W25"/>
  <c r="U25"/>
  <c r="T25"/>
  <c r="S25"/>
  <c r="O25"/>
  <c r="N25"/>
  <c r="M25"/>
  <c r="L25"/>
  <c r="AI24"/>
  <c r="AH24"/>
  <c r="Y24"/>
  <c r="X24"/>
  <c r="W24"/>
  <c r="U24"/>
  <c r="T24"/>
  <c r="S24"/>
  <c r="O24"/>
  <c r="N24"/>
  <c r="M24"/>
  <c r="L24"/>
  <c r="AI23"/>
  <c r="AH23"/>
  <c r="Y23"/>
  <c r="X23"/>
  <c r="W23"/>
  <c r="U23"/>
  <c r="T23"/>
  <c r="S23"/>
  <c r="O23"/>
  <c r="N23"/>
  <c r="M23"/>
  <c r="L23"/>
  <c r="P23"/>
  <c r="AI22"/>
  <c r="AH22"/>
  <c r="Y22"/>
  <c r="X22"/>
  <c r="W22"/>
  <c r="U22"/>
  <c r="T22"/>
  <c r="S22"/>
  <c r="O22"/>
  <c r="N22"/>
  <c r="M22"/>
  <c r="L22"/>
  <c r="AI21"/>
  <c r="AH21"/>
  <c r="Y21"/>
  <c r="X21"/>
  <c r="W21"/>
  <c r="U21"/>
  <c r="T21"/>
  <c r="S21"/>
  <c r="O21"/>
  <c r="N21"/>
  <c r="M21"/>
  <c r="L21"/>
  <c r="AI20"/>
  <c r="AH20"/>
  <c r="Y20"/>
  <c r="X20"/>
  <c r="W20"/>
  <c r="U20"/>
  <c r="T20"/>
  <c r="S20"/>
  <c r="O20"/>
  <c r="N20"/>
  <c r="M20"/>
  <c r="L20"/>
  <c r="AI19"/>
  <c r="AH19"/>
  <c r="Y19"/>
  <c r="X19"/>
  <c r="W19"/>
  <c r="U19"/>
  <c r="T19"/>
  <c r="S19"/>
  <c r="O19"/>
  <c r="N19"/>
  <c r="M19"/>
  <c r="L19"/>
  <c r="P19" s="1"/>
  <c r="AI18"/>
  <c r="AH18"/>
  <c r="Y18"/>
  <c r="X18"/>
  <c r="W18"/>
  <c r="U18"/>
  <c r="T18"/>
  <c r="S18"/>
  <c r="O18"/>
  <c r="N18"/>
  <c r="M18"/>
  <c r="L18"/>
  <c r="AI17"/>
  <c r="AH17"/>
  <c r="Y17"/>
  <c r="X17"/>
  <c r="W17"/>
  <c r="U17"/>
  <c r="T17"/>
  <c r="S17"/>
  <c r="O17"/>
  <c r="N17"/>
  <c r="M17"/>
  <c r="L17"/>
  <c r="AI16"/>
  <c r="AH16"/>
  <c r="Y16"/>
  <c r="X16"/>
  <c r="W16"/>
  <c r="U16"/>
  <c r="T16"/>
  <c r="S16"/>
  <c r="O16"/>
  <c r="N16"/>
  <c r="M16"/>
  <c r="L16"/>
  <c r="AI15"/>
  <c r="AH15"/>
  <c r="Y15"/>
  <c r="X15"/>
  <c r="W15"/>
  <c r="U15"/>
  <c r="T15"/>
  <c r="S15"/>
  <c r="O15"/>
  <c r="N15"/>
  <c r="M15"/>
  <c r="L15"/>
  <c r="P15" s="1"/>
  <c r="AI14"/>
  <c r="AH14"/>
  <c r="Y14"/>
  <c r="X14"/>
  <c r="W14"/>
  <c r="U14"/>
  <c r="T14"/>
  <c r="S14"/>
  <c r="O14"/>
  <c r="N14"/>
  <c r="M14"/>
  <c r="L14"/>
  <c r="AI13"/>
  <c r="AH13"/>
  <c r="Y13"/>
  <c r="X13"/>
  <c r="W13"/>
  <c r="U13"/>
  <c r="T13"/>
  <c r="S13"/>
  <c r="O13"/>
  <c r="N13"/>
  <c r="M13"/>
  <c r="L13"/>
  <c r="AI12"/>
  <c r="AH12"/>
  <c r="Y12"/>
  <c r="X12"/>
  <c r="W12"/>
  <c r="U12"/>
  <c r="T12"/>
  <c r="S12"/>
  <c r="O12"/>
  <c r="N12"/>
  <c r="M12"/>
  <c r="L12"/>
  <c r="AI11"/>
  <c r="AH11"/>
  <c r="Y11"/>
  <c r="X11"/>
  <c r="W11"/>
  <c r="U11"/>
  <c r="T11"/>
  <c r="S11"/>
  <c r="O11"/>
  <c r="N11"/>
  <c r="M11"/>
  <c r="L11"/>
  <c r="AI10"/>
  <c r="AH10"/>
  <c r="Y10"/>
  <c r="X10"/>
  <c r="W10"/>
  <c r="U10"/>
  <c r="T10"/>
  <c r="S10"/>
  <c r="O10"/>
  <c r="N10"/>
  <c r="M10"/>
  <c r="L10"/>
  <c r="AI9"/>
  <c r="AH9"/>
  <c r="Y9"/>
  <c r="X9"/>
  <c r="W9"/>
  <c r="U9"/>
  <c r="T9"/>
  <c r="S9"/>
  <c r="O9"/>
  <c r="N9"/>
  <c r="M9"/>
  <c r="L9"/>
  <c r="AI8"/>
  <c r="AH8"/>
  <c r="Y8"/>
  <c r="X8"/>
  <c r="W8"/>
  <c r="U8"/>
  <c r="T8"/>
  <c r="S8"/>
  <c r="O8"/>
  <c r="N8"/>
  <c r="M8"/>
  <c r="L8"/>
  <c r="AI7"/>
  <c r="AH7"/>
  <c r="Y7"/>
  <c r="X7"/>
  <c r="W7"/>
  <c r="U7"/>
  <c r="T7"/>
  <c r="S7"/>
  <c r="O7"/>
  <c r="N7"/>
  <c r="M7"/>
  <c r="L7"/>
  <c r="AI6"/>
  <c r="AH6"/>
  <c r="Y6"/>
  <c r="X6"/>
  <c r="W6"/>
  <c r="U6"/>
  <c r="T6"/>
  <c r="S6"/>
  <c r="O6"/>
  <c r="H21" i="1" s="1"/>
  <c r="N6" i="71"/>
  <c r="H20" i="1" s="1"/>
  <c r="M6" i="71"/>
  <c r="H19" i="1" s="1"/>
  <c r="L6" i="71"/>
  <c r="H14" i="1" s="1"/>
  <c r="I3"/>
  <c r="M123" i="32"/>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M6"/>
  <c r="M5"/>
  <c r="M4"/>
  <c r="F124" i="66"/>
  <c r="F12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s="1"/>
  <c r="E4"/>
  <c r="D4"/>
  <c r="C4"/>
  <c r="F123" i="63"/>
  <c r="F122"/>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H4" i="62"/>
  <c r="I4"/>
  <c r="J4"/>
  <c r="K4"/>
  <c r="L4"/>
  <c r="Z4"/>
  <c r="AA4"/>
  <c r="AB4"/>
  <c r="AC4"/>
  <c r="AD4"/>
  <c r="G124"/>
  <c r="F124"/>
  <c r="D124"/>
  <c r="C124"/>
  <c r="G123"/>
  <c r="F123"/>
  <c r="D123"/>
  <c r="C123"/>
  <c r="G122"/>
  <c r="F122"/>
  <c r="D122"/>
  <c r="C122"/>
  <c r="G121"/>
  <c r="F121"/>
  <c r="D121"/>
  <c r="C121"/>
  <c r="G120"/>
  <c r="F120"/>
  <c r="D120"/>
  <c r="C120"/>
  <c r="G119"/>
  <c r="F119"/>
  <c r="D119"/>
  <c r="C119"/>
  <c r="G118"/>
  <c r="F118"/>
  <c r="D118"/>
  <c r="C118"/>
  <c r="G117"/>
  <c r="F117"/>
  <c r="D117"/>
  <c r="C117"/>
  <c r="G116"/>
  <c r="F116"/>
  <c r="D116"/>
  <c r="C116"/>
  <c r="G115"/>
  <c r="F115"/>
  <c r="D115"/>
  <c r="C115"/>
  <c r="G114"/>
  <c r="F114"/>
  <c r="D114"/>
  <c r="C114"/>
  <c r="G113"/>
  <c r="F113"/>
  <c r="D113"/>
  <c r="C113"/>
  <c r="G112"/>
  <c r="F112"/>
  <c r="D112"/>
  <c r="C112"/>
  <c r="G111"/>
  <c r="F111"/>
  <c r="D111"/>
  <c r="C111"/>
  <c r="G110"/>
  <c r="F110"/>
  <c r="D110"/>
  <c r="C110"/>
  <c r="G109"/>
  <c r="F109"/>
  <c r="D109"/>
  <c r="C109"/>
  <c r="G108"/>
  <c r="F108"/>
  <c r="D108"/>
  <c r="C108"/>
  <c r="G107"/>
  <c r="F107"/>
  <c r="D107"/>
  <c r="C107"/>
  <c r="G106"/>
  <c r="F106"/>
  <c r="D106"/>
  <c r="C106"/>
  <c r="G105"/>
  <c r="F105"/>
  <c r="D105"/>
  <c r="C105"/>
  <c r="G104"/>
  <c r="F104"/>
  <c r="E104" s="1"/>
  <c r="D104"/>
  <c r="C104"/>
  <c r="G103"/>
  <c r="E103" s="1"/>
  <c r="F103"/>
  <c r="D103"/>
  <c r="C103"/>
  <c r="G102"/>
  <c r="F102"/>
  <c r="E102" s="1"/>
  <c r="D102"/>
  <c r="C102"/>
  <c r="G101"/>
  <c r="F101"/>
  <c r="D101"/>
  <c r="C101"/>
  <c r="G100"/>
  <c r="F100"/>
  <c r="E100" s="1"/>
  <c r="D100"/>
  <c r="C100"/>
  <c r="G99"/>
  <c r="F99"/>
  <c r="D99"/>
  <c r="C99"/>
  <c r="G98"/>
  <c r="F98"/>
  <c r="D98"/>
  <c r="C98"/>
  <c r="G97"/>
  <c r="F97"/>
  <c r="D97"/>
  <c r="C97"/>
  <c r="G96"/>
  <c r="F96"/>
  <c r="D96"/>
  <c r="C96"/>
  <c r="G95"/>
  <c r="F95"/>
  <c r="D95"/>
  <c r="C95"/>
  <c r="G94"/>
  <c r="F94"/>
  <c r="D94"/>
  <c r="C94"/>
  <c r="G93"/>
  <c r="F93"/>
  <c r="D93"/>
  <c r="C93"/>
  <c r="G92"/>
  <c r="F92"/>
  <c r="E92" s="1"/>
  <c r="D92"/>
  <c r="C92"/>
  <c r="G91"/>
  <c r="F91"/>
  <c r="D91"/>
  <c r="C91"/>
  <c r="G90"/>
  <c r="F90"/>
  <c r="D90"/>
  <c r="C90"/>
  <c r="G89"/>
  <c r="F89"/>
  <c r="D89"/>
  <c r="C89"/>
  <c r="G88"/>
  <c r="F88"/>
  <c r="D88"/>
  <c r="C88"/>
  <c r="G87"/>
  <c r="F87"/>
  <c r="D87"/>
  <c r="C87"/>
  <c r="G86"/>
  <c r="F86"/>
  <c r="D86"/>
  <c r="C86"/>
  <c r="G85"/>
  <c r="F85"/>
  <c r="D85"/>
  <c r="C85"/>
  <c r="G84"/>
  <c r="E84" s="1"/>
  <c r="F84"/>
  <c r="D84"/>
  <c r="C84"/>
  <c r="G83"/>
  <c r="F83"/>
  <c r="D83"/>
  <c r="C83"/>
  <c r="G82"/>
  <c r="F82"/>
  <c r="D82"/>
  <c r="C82"/>
  <c r="G81"/>
  <c r="F81"/>
  <c r="D81"/>
  <c r="C81"/>
  <c r="G80"/>
  <c r="F80"/>
  <c r="D80"/>
  <c r="C80"/>
  <c r="G79"/>
  <c r="F79"/>
  <c r="D79"/>
  <c r="C79"/>
  <c r="G78"/>
  <c r="F78"/>
  <c r="D78"/>
  <c r="C78"/>
  <c r="G77"/>
  <c r="F77"/>
  <c r="D77"/>
  <c r="C77"/>
  <c r="G76"/>
  <c r="F76"/>
  <c r="D76"/>
  <c r="C76"/>
  <c r="G75"/>
  <c r="F75"/>
  <c r="D75"/>
  <c r="C75"/>
  <c r="G74"/>
  <c r="F74"/>
  <c r="D74"/>
  <c r="C74"/>
  <c r="G73"/>
  <c r="F73"/>
  <c r="D73"/>
  <c r="C73"/>
  <c r="G72"/>
  <c r="F72"/>
  <c r="D72"/>
  <c r="C72"/>
  <c r="G71"/>
  <c r="F71"/>
  <c r="D71"/>
  <c r="C71"/>
  <c r="G70"/>
  <c r="F70"/>
  <c r="D70"/>
  <c r="C70"/>
  <c r="G69"/>
  <c r="F69"/>
  <c r="D69"/>
  <c r="C69"/>
  <c r="G68"/>
  <c r="F68"/>
  <c r="D68"/>
  <c r="C68"/>
  <c r="G67"/>
  <c r="F67"/>
  <c r="D67"/>
  <c r="C67"/>
  <c r="G66"/>
  <c r="F66"/>
  <c r="D66"/>
  <c r="C66"/>
  <c r="G65"/>
  <c r="F65"/>
  <c r="D65"/>
  <c r="C65"/>
  <c r="G64"/>
  <c r="F64"/>
  <c r="D64"/>
  <c r="C64"/>
  <c r="G63"/>
  <c r="F63"/>
  <c r="D63"/>
  <c r="C63"/>
  <c r="G62"/>
  <c r="F62"/>
  <c r="D62"/>
  <c r="C62"/>
  <c r="G61"/>
  <c r="F61"/>
  <c r="D61"/>
  <c r="C61"/>
  <c r="G60"/>
  <c r="F60"/>
  <c r="D60"/>
  <c r="C60"/>
  <c r="G59"/>
  <c r="F59"/>
  <c r="D59"/>
  <c r="C59"/>
  <c r="G58"/>
  <c r="F58"/>
  <c r="E58" s="1"/>
  <c r="D58"/>
  <c r="C58"/>
  <c r="G57"/>
  <c r="F57"/>
  <c r="D57"/>
  <c r="C57"/>
  <c r="G56"/>
  <c r="F56"/>
  <c r="E56"/>
  <c r="D56"/>
  <c r="C56"/>
  <c r="G55"/>
  <c r="F55"/>
  <c r="D55"/>
  <c r="C55"/>
  <c r="G54"/>
  <c r="E54"/>
  <c r="F54"/>
  <c r="D54"/>
  <c r="C54"/>
  <c r="G53"/>
  <c r="F53"/>
  <c r="D53"/>
  <c r="C53"/>
  <c r="G52"/>
  <c r="F52"/>
  <c r="D52"/>
  <c r="C52"/>
  <c r="G51"/>
  <c r="F51"/>
  <c r="D51"/>
  <c r="C51"/>
  <c r="G50"/>
  <c r="F50"/>
  <c r="E50" s="1"/>
  <c r="D50"/>
  <c r="C50"/>
  <c r="G49"/>
  <c r="F49"/>
  <c r="D49"/>
  <c r="C49"/>
  <c r="G48"/>
  <c r="F48"/>
  <c r="D48"/>
  <c r="C48"/>
  <c r="G47"/>
  <c r="F47"/>
  <c r="D47"/>
  <c r="C47"/>
  <c r="G46"/>
  <c r="F46"/>
  <c r="D46"/>
  <c r="C46"/>
  <c r="G45"/>
  <c r="F45"/>
  <c r="D45"/>
  <c r="C45"/>
  <c r="G44"/>
  <c r="F44"/>
  <c r="D44"/>
  <c r="C44"/>
  <c r="G43"/>
  <c r="F43"/>
  <c r="D43"/>
  <c r="C43"/>
  <c r="G42"/>
  <c r="F42"/>
  <c r="D42"/>
  <c r="C42"/>
  <c r="G41"/>
  <c r="F41"/>
  <c r="D41"/>
  <c r="C41"/>
  <c r="G40"/>
  <c r="F40"/>
  <c r="D40"/>
  <c r="C40"/>
  <c r="G39"/>
  <c r="F39"/>
  <c r="D39"/>
  <c r="C39"/>
  <c r="G38"/>
  <c r="F38"/>
  <c r="D38"/>
  <c r="C38"/>
  <c r="G37"/>
  <c r="F37"/>
  <c r="D37"/>
  <c r="C37"/>
  <c r="G36"/>
  <c r="F36"/>
  <c r="D36"/>
  <c r="C36"/>
  <c r="G35"/>
  <c r="F35"/>
  <c r="D35"/>
  <c r="C35"/>
  <c r="G34"/>
  <c r="F34"/>
  <c r="D34"/>
  <c r="C34"/>
  <c r="G33"/>
  <c r="F33"/>
  <c r="D33"/>
  <c r="C33"/>
  <c r="G32"/>
  <c r="F32"/>
  <c r="D32"/>
  <c r="C32"/>
  <c r="G31"/>
  <c r="F31"/>
  <c r="D31"/>
  <c r="C31"/>
  <c r="G30"/>
  <c r="F30"/>
  <c r="D30"/>
  <c r="C30"/>
  <c r="G29"/>
  <c r="F29"/>
  <c r="D29"/>
  <c r="C29"/>
  <c r="G28"/>
  <c r="F28"/>
  <c r="D28"/>
  <c r="C28"/>
  <c r="G27"/>
  <c r="F27"/>
  <c r="D27"/>
  <c r="C27"/>
  <c r="G26"/>
  <c r="F26"/>
  <c r="E26" s="1"/>
  <c r="D26"/>
  <c r="C26"/>
  <c r="G25"/>
  <c r="F25"/>
  <c r="E25"/>
  <c r="D25"/>
  <c r="C25"/>
  <c r="G24"/>
  <c r="F24"/>
  <c r="E24" s="1"/>
  <c r="D24"/>
  <c r="C24"/>
  <c r="G23"/>
  <c r="F23"/>
  <c r="D23"/>
  <c r="C23"/>
  <c r="G22"/>
  <c r="F22"/>
  <c r="D22"/>
  <c r="C22"/>
  <c r="G21"/>
  <c r="F21"/>
  <c r="D21"/>
  <c r="C21"/>
  <c r="G20"/>
  <c r="F20"/>
  <c r="D20"/>
  <c r="C20"/>
  <c r="G19"/>
  <c r="F19"/>
  <c r="D19"/>
  <c r="C19"/>
  <c r="G18"/>
  <c r="F18"/>
  <c r="E18" s="1"/>
  <c r="D18"/>
  <c r="C18"/>
  <c r="G17"/>
  <c r="F17"/>
  <c r="D17"/>
  <c r="C17"/>
  <c r="G16"/>
  <c r="F16"/>
  <c r="D16"/>
  <c r="C16"/>
  <c r="G15"/>
  <c r="F15"/>
  <c r="D15"/>
  <c r="C15"/>
  <c r="G14"/>
  <c r="F14"/>
  <c r="D14"/>
  <c r="C14"/>
  <c r="G13"/>
  <c r="F13"/>
  <c r="D13"/>
  <c r="C13"/>
  <c r="G12"/>
  <c r="F12"/>
  <c r="D12"/>
  <c r="C12"/>
  <c r="G11"/>
  <c r="F11"/>
  <c r="D11"/>
  <c r="C11"/>
  <c r="G10"/>
  <c r="F10"/>
  <c r="D10"/>
  <c r="C10"/>
  <c r="G9"/>
  <c r="F9"/>
  <c r="E9" s="1"/>
  <c r="D9"/>
  <c r="C9"/>
  <c r="G8"/>
  <c r="F8"/>
  <c r="D8"/>
  <c r="C8"/>
  <c r="G7"/>
  <c r="F7"/>
  <c r="D7"/>
  <c r="C7"/>
  <c r="G6"/>
  <c r="F6"/>
  <c r="D6"/>
  <c r="C6"/>
  <c r="G5"/>
  <c r="F5"/>
  <c r="D5"/>
  <c r="C5"/>
  <c r="D124" i="61"/>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AO4"/>
  <c r="AN4"/>
  <c r="AM4"/>
  <c r="AL4"/>
  <c r="AK4"/>
  <c r="AJ4"/>
  <c r="AI4"/>
  <c r="AH4"/>
  <c r="AG4"/>
  <c r="AF4"/>
  <c r="AE4"/>
  <c r="AD4"/>
  <c r="AC4"/>
  <c r="AB4"/>
  <c r="AA4"/>
  <c r="Z4"/>
  <c r="Y4"/>
  <c r="X4"/>
  <c r="W4"/>
  <c r="V4"/>
  <c r="U4"/>
  <c r="T4"/>
  <c r="S4"/>
  <c r="R4"/>
  <c r="Q4"/>
  <c r="P4"/>
  <c r="O4"/>
  <c r="N4"/>
  <c r="M4"/>
  <c r="L4"/>
  <c r="K4"/>
  <c r="J4"/>
  <c r="I4"/>
  <c r="H4"/>
  <c r="G124"/>
  <c r="F124"/>
  <c r="C124"/>
  <c r="G123"/>
  <c r="F123"/>
  <c r="C123"/>
  <c r="G122"/>
  <c r="F122"/>
  <c r="E122" s="1"/>
  <c r="C122"/>
  <c r="G121"/>
  <c r="F121"/>
  <c r="E121" s="1"/>
  <c r="C121"/>
  <c r="G120"/>
  <c r="F120"/>
  <c r="C120"/>
  <c r="G119"/>
  <c r="F119"/>
  <c r="C119"/>
  <c r="G118"/>
  <c r="F118"/>
  <c r="C118"/>
  <c r="G117"/>
  <c r="F117"/>
  <c r="C117"/>
  <c r="G116"/>
  <c r="F116"/>
  <c r="C116"/>
  <c r="G115"/>
  <c r="F115"/>
  <c r="C115"/>
  <c r="G114"/>
  <c r="F114"/>
  <c r="C114"/>
  <c r="G113"/>
  <c r="F113"/>
  <c r="E113" s="1"/>
  <c r="C113"/>
  <c r="G112"/>
  <c r="F112"/>
  <c r="C112"/>
  <c r="G111"/>
  <c r="F111"/>
  <c r="C111"/>
  <c r="G110"/>
  <c r="F110"/>
  <c r="C110"/>
  <c r="G109"/>
  <c r="F109"/>
  <c r="C109"/>
  <c r="G108"/>
  <c r="F108"/>
  <c r="C108"/>
  <c r="G107"/>
  <c r="F107"/>
  <c r="E107" s="1"/>
  <c r="C107"/>
  <c r="G106"/>
  <c r="F106"/>
  <c r="C106"/>
  <c r="G105"/>
  <c r="F105"/>
  <c r="C105"/>
  <c r="G104"/>
  <c r="F104"/>
  <c r="C104"/>
  <c r="G103"/>
  <c r="F103"/>
  <c r="C103"/>
  <c r="G102"/>
  <c r="F102"/>
  <c r="C102"/>
  <c r="G101"/>
  <c r="F101"/>
  <c r="C101"/>
  <c r="G100"/>
  <c r="F100"/>
  <c r="C100"/>
  <c r="G99"/>
  <c r="F99"/>
  <c r="C99"/>
  <c r="G98"/>
  <c r="F98"/>
  <c r="C98"/>
  <c r="G97"/>
  <c r="F97"/>
  <c r="C97"/>
  <c r="G96"/>
  <c r="F96"/>
  <c r="C96"/>
  <c r="G95"/>
  <c r="F95"/>
  <c r="C95"/>
  <c r="G94"/>
  <c r="F94"/>
  <c r="E94"/>
  <c r="C94"/>
  <c r="G93"/>
  <c r="F93"/>
  <c r="E93"/>
  <c r="C93"/>
  <c r="G92"/>
  <c r="F92"/>
  <c r="E92"/>
  <c r="C92"/>
  <c r="G91"/>
  <c r="F91"/>
  <c r="C91"/>
  <c r="G90"/>
  <c r="F90"/>
  <c r="E90" s="1"/>
  <c r="C90"/>
  <c r="G89"/>
  <c r="F89"/>
  <c r="C89"/>
  <c r="G88"/>
  <c r="F88"/>
  <c r="C88"/>
  <c r="G87"/>
  <c r="F87"/>
  <c r="C87"/>
  <c r="G86"/>
  <c r="F86"/>
  <c r="E86"/>
  <c r="C86"/>
  <c r="G85"/>
  <c r="F85"/>
  <c r="E85"/>
  <c r="C85"/>
  <c r="G84"/>
  <c r="F84"/>
  <c r="E84"/>
  <c r="C84"/>
  <c r="G83"/>
  <c r="F83"/>
  <c r="C83"/>
  <c r="G82"/>
  <c r="F82"/>
  <c r="E82" s="1"/>
  <c r="C82"/>
  <c r="G81"/>
  <c r="F81"/>
  <c r="C81"/>
  <c r="G80"/>
  <c r="F80"/>
  <c r="C80"/>
  <c r="G79"/>
  <c r="F79"/>
  <c r="C79"/>
  <c r="G78"/>
  <c r="F78"/>
  <c r="E78"/>
  <c r="C78"/>
  <c r="G77"/>
  <c r="F77"/>
  <c r="E77"/>
  <c r="C77"/>
  <c r="G76"/>
  <c r="F76"/>
  <c r="E76"/>
  <c r="C76"/>
  <c r="G75"/>
  <c r="F75"/>
  <c r="C75"/>
  <c r="G74"/>
  <c r="F74"/>
  <c r="C74"/>
  <c r="G73"/>
  <c r="F73"/>
  <c r="C73"/>
  <c r="G72"/>
  <c r="F72"/>
  <c r="C72"/>
  <c r="G71"/>
  <c r="F71"/>
  <c r="C71"/>
  <c r="G70"/>
  <c r="E70" s="1"/>
  <c r="F70"/>
  <c r="C70"/>
  <c r="G69"/>
  <c r="E69" s="1"/>
  <c r="N71" i="79" s="1"/>
  <c r="F69" i="61"/>
  <c r="C69"/>
  <c r="G68"/>
  <c r="E68" s="1"/>
  <c r="F68"/>
  <c r="C68"/>
  <c r="G67"/>
  <c r="F67"/>
  <c r="C67"/>
  <c r="G66"/>
  <c r="F66"/>
  <c r="C66"/>
  <c r="G65"/>
  <c r="F65"/>
  <c r="C65"/>
  <c r="G64"/>
  <c r="F64"/>
  <c r="C64"/>
  <c r="G63"/>
  <c r="F63"/>
  <c r="C63"/>
  <c r="G62"/>
  <c r="F62"/>
  <c r="E62" s="1"/>
  <c r="C62"/>
  <c r="G61"/>
  <c r="F61"/>
  <c r="E61" s="1"/>
  <c r="C61"/>
  <c r="G60"/>
  <c r="F60"/>
  <c r="E60" s="1"/>
  <c r="C60"/>
  <c r="G59"/>
  <c r="F59"/>
  <c r="C59"/>
  <c r="G58"/>
  <c r="F58"/>
  <c r="E58" s="1"/>
  <c r="C58"/>
  <c r="G57"/>
  <c r="F57"/>
  <c r="C57"/>
  <c r="G56"/>
  <c r="F56"/>
  <c r="C56"/>
  <c r="G55"/>
  <c r="F55"/>
  <c r="C55"/>
  <c r="G54"/>
  <c r="F54"/>
  <c r="E54" s="1"/>
  <c r="C54"/>
  <c r="G53"/>
  <c r="F53"/>
  <c r="E53" s="1"/>
  <c r="C53"/>
  <c r="G52"/>
  <c r="F52"/>
  <c r="E52" s="1"/>
  <c r="C52"/>
  <c r="G51"/>
  <c r="F51"/>
  <c r="C51"/>
  <c r="G50"/>
  <c r="E50"/>
  <c r="F50"/>
  <c r="C50"/>
  <c r="G49"/>
  <c r="F49"/>
  <c r="C49"/>
  <c r="G48"/>
  <c r="F48"/>
  <c r="C48"/>
  <c r="G47"/>
  <c r="F47"/>
  <c r="C47"/>
  <c r="G46"/>
  <c r="F46"/>
  <c r="E46" s="1"/>
  <c r="N48" i="79" s="1"/>
  <c r="C46" i="61"/>
  <c r="G45"/>
  <c r="F45"/>
  <c r="E45" s="1"/>
  <c r="C45"/>
  <c r="G44"/>
  <c r="F44"/>
  <c r="E44" s="1"/>
  <c r="C44"/>
  <c r="G43"/>
  <c r="F43"/>
  <c r="C43"/>
  <c r="G42"/>
  <c r="F42"/>
  <c r="C42"/>
  <c r="G41"/>
  <c r="F41"/>
  <c r="C41"/>
  <c r="G40"/>
  <c r="F40"/>
  <c r="C40"/>
  <c r="G39"/>
  <c r="F39"/>
  <c r="C39"/>
  <c r="G38"/>
  <c r="F38"/>
  <c r="E38" s="1"/>
  <c r="C38"/>
  <c r="G37"/>
  <c r="F37"/>
  <c r="E37" s="1"/>
  <c r="C37"/>
  <c r="G36"/>
  <c r="F36"/>
  <c r="E36" s="1"/>
  <c r="C36"/>
  <c r="G35"/>
  <c r="F35"/>
  <c r="C35"/>
  <c r="G34"/>
  <c r="F34"/>
  <c r="C34"/>
  <c r="G33"/>
  <c r="F33"/>
  <c r="C33"/>
  <c r="G32"/>
  <c r="F32"/>
  <c r="C32"/>
  <c r="G31"/>
  <c r="F31"/>
  <c r="C31"/>
  <c r="G30"/>
  <c r="F30"/>
  <c r="E30"/>
  <c r="C30"/>
  <c r="G29"/>
  <c r="F29"/>
  <c r="E29"/>
  <c r="C29"/>
  <c r="G28"/>
  <c r="F28"/>
  <c r="E28"/>
  <c r="C28"/>
  <c r="G27"/>
  <c r="F27"/>
  <c r="C27"/>
  <c r="G26"/>
  <c r="F26"/>
  <c r="E26" s="1"/>
  <c r="C26"/>
  <c r="G25"/>
  <c r="F25"/>
  <c r="C25"/>
  <c r="G24"/>
  <c r="F24"/>
  <c r="C24"/>
  <c r="G23"/>
  <c r="F23"/>
  <c r="C23"/>
  <c r="G22"/>
  <c r="F22"/>
  <c r="E22"/>
  <c r="C22"/>
  <c r="G21"/>
  <c r="F21"/>
  <c r="E21"/>
  <c r="C21"/>
  <c r="G20"/>
  <c r="F20"/>
  <c r="E20"/>
  <c r="C20"/>
  <c r="G19"/>
  <c r="F19"/>
  <c r="C19"/>
  <c r="G18"/>
  <c r="F18"/>
  <c r="E18" s="1"/>
  <c r="C18"/>
  <c r="G17"/>
  <c r="F17"/>
  <c r="C17"/>
  <c r="G16"/>
  <c r="F16"/>
  <c r="C16"/>
  <c r="G15"/>
  <c r="F15"/>
  <c r="C15"/>
  <c r="G14"/>
  <c r="F14"/>
  <c r="E14"/>
  <c r="C14"/>
  <c r="G13"/>
  <c r="F13"/>
  <c r="E13"/>
  <c r="C13"/>
  <c r="G12"/>
  <c r="F12"/>
  <c r="E12"/>
  <c r="C12"/>
  <c r="G11"/>
  <c r="F11"/>
  <c r="C11"/>
  <c r="G10"/>
  <c r="F10"/>
  <c r="C10"/>
  <c r="G9"/>
  <c r="F9"/>
  <c r="C9"/>
  <c r="G8"/>
  <c r="F8"/>
  <c r="C8"/>
  <c r="G7"/>
  <c r="F7"/>
  <c r="C7"/>
  <c r="G6"/>
  <c r="E6" s="1"/>
  <c r="F6"/>
  <c r="C6"/>
  <c r="G5"/>
  <c r="G4" s="1"/>
  <c r="F5"/>
  <c r="C5"/>
  <c r="C4"/>
  <c r="D4"/>
  <c r="AK4" i="60"/>
  <c r="H4"/>
  <c r="I4"/>
  <c r="J4"/>
  <c r="K4"/>
  <c r="L4"/>
  <c r="M4"/>
  <c r="N4"/>
  <c r="O4"/>
  <c r="P4"/>
  <c r="Q4"/>
  <c r="R4"/>
  <c r="S4"/>
  <c r="T4"/>
  <c r="U4"/>
  <c r="V4"/>
  <c r="W4"/>
  <c r="X4"/>
  <c r="Y4"/>
  <c r="Z4"/>
  <c r="AA4"/>
  <c r="AB4"/>
  <c r="AC4"/>
  <c r="AD4"/>
  <c r="AE4"/>
  <c r="AF4"/>
  <c r="AG4"/>
  <c r="AH4"/>
  <c r="AI4"/>
  <c r="AJ4"/>
  <c r="G124"/>
  <c r="F124"/>
  <c r="E124" s="1"/>
  <c r="D124"/>
  <c r="C124"/>
  <c r="G123"/>
  <c r="F123"/>
  <c r="E123"/>
  <c r="D123"/>
  <c r="C123"/>
  <c r="G122"/>
  <c r="F122"/>
  <c r="E122" s="1"/>
  <c r="D122"/>
  <c r="C122"/>
  <c r="G121"/>
  <c r="F121"/>
  <c r="E121" s="1"/>
  <c r="N123" i="79" s="1"/>
  <c r="D121" i="60"/>
  <c r="C121"/>
  <c r="G120"/>
  <c r="F120"/>
  <c r="D120"/>
  <c r="C120"/>
  <c r="G119"/>
  <c r="F119"/>
  <c r="E119" s="1"/>
  <c r="N121" i="79" s="1"/>
  <c r="D119" i="60"/>
  <c r="C119"/>
  <c r="G118"/>
  <c r="F118"/>
  <c r="E118" s="1"/>
  <c r="N120" i="79" s="1"/>
  <c r="D118" i="60"/>
  <c r="C118"/>
  <c r="G117"/>
  <c r="F117"/>
  <c r="E117"/>
  <c r="D117"/>
  <c r="C117"/>
  <c r="G116"/>
  <c r="F116"/>
  <c r="D116"/>
  <c r="C116"/>
  <c r="G115"/>
  <c r="F115"/>
  <c r="D115"/>
  <c r="C115"/>
  <c r="G114"/>
  <c r="F114"/>
  <c r="D114"/>
  <c r="C114"/>
  <c r="G113"/>
  <c r="F113"/>
  <c r="E113" s="1"/>
  <c r="D113"/>
  <c r="C113"/>
  <c r="G112"/>
  <c r="F112"/>
  <c r="D112"/>
  <c r="C112"/>
  <c r="G111"/>
  <c r="F111"/>
  <c r="D111"/>
  <c r="C111"/>
  <c r="G110"/>
  <c r="F110"/>
  <c r="D110"/>
  <c r="C110"/>
  <c r="G109"/>
  <c r="F109"/>
  <c r="D109"/>
  <c r="C109"/>
  <c r="G108"/>
  <c r="F108"/>
  <c r="D108"/>
  <c r="C108"/>
  <c r="G107"/>
  <c r="F107"/>
  <c r="D107"/>
  <c r="C107"/>
  <c r="G106"/>
  <c r="F106"/>
  <c r="D106"/>
  <c r="C106"/>
  <c r="G105"/>
  <c r="E105"/>
  <c r="N107" i="79" s="1"/>
  <c r="F105" i="60"/>
  <c r="D105"/>
  <c r="C105"/>
  <c r="G104"/>
  <c r="F104"/>
  <c r="D104"/>
  <c r="C104"/>
  <c r="G103"/>
  <c r="F103"/>
  <c r="D103"/>
  <c r="C103"/>
  <c r="G102"/>
  <c r="F102"/>
  <c r="D102"/>
  <c r="C102"/>
  <c r="G101"/>
  <c r="F101"/>
  <c r="E101"/>
  <c r="D101"/>
  <c r="C101"/>
  <c r="G100"/>
  <c r="F100"/>
  <c r="D100"/>
  <c r="C100"/>
  <c r="G99"/>
  <c r="F99"/>
  <c r="E99"/>
  <c r="D99"/>
  <c r="C99"/>
  <c r="G98"/>
  <c r="F98"/>
  <c r="D98"/>
  <c r="C98"/>
  <c r="G97"/>
  <c r="F97"/>
  <c r="E97" s="1"/>
  <c r="N99" i="79" s="1"/>
  <c r="D97" i="60"/>
  <c r="C97"/>
  <c r="G96"/>
  <c r="F96"/>
  <c r="D96"/>
  <c r="C96"/>
  <c r="G95"/>
  <c r="F95"/>
  <c r="D95"/>
  <c r="C95"/>
  <c r="G94"/>
  <c r="F94"/>
  <c r="D94"/>
  <c r="C94"/>
  <c r="G93"/>
  <c r="F93"/>
  <c r="E93" s="1"/>
  <c r="N95" i="79" s="1"/>
  <c r="D93" i="60"/>
  <c r="C93"/>
  <c r="G92"/>
  <c r="F92"/>
  <c r="D92"/>
  <c r="C92"/>
  <c r="G91"/>
  <c r="F91"/>
  <c r="D91"/>
  <c r="C91"/>
  <c r="G90"/>
  <c r="F90"/>
  <c r="D90"/>
  <c r="C90"/>
  <c r="G89"/>
  <c r="F89"/>
  <c r="E89" s="1"/>
  <c r="D89"/>
  <c r="C89"/>
  <c r="G88"/>
  <c r="E88" s="1"/>
  <c r="F88"/>
  <c r="D88"/>
  <c r="C88"/>
  <c r="G87"/>
  <c r="F87"/>
  <c r="E87" s="1"/>
  <c r="D87"/>
  <c r="C87"/>
  <c r="G86"/>
  <c r="F86"/>
  <c r="E86" s="1"/>
  <c r="D86"/>
  <c r="C86"/>
  <c r="G85"/>
  <c r="F85"/>
  <c r="E85" s="1"/>
  <c r="D85"/>
  <c r="C85"/>
  <c r="G84"/>
  <c r="E84" s="1"/>
  <c r="F84"/>
  <c r="D84"/>
  <c r="C84"/>
  <c r="G83"/>
  <c r="F83"/>
  <c r="E83"/>
  <c r="D83"/>
  <c r="C83"/>
  <c r="G82"/>
  <c r="E82"/>
  <c r="N84" i="79" s="1"/>
  <c r="F82" i="60"/>
  <c r="D82"/>
  <c r="C82"/>
  <c r="G81"/>
  <c r="F81"/>
  <c r="E81"/>
  <c r="D81"/>
  <c r="C81"/>
  <c r="G80"/>
  <c r="F80"/>
  <c r="D80"/>
  <c r="C80"/>
  <c r="G79"/>
  <c r="F79"/>
  <c r="D79"/>
  <c r="C79"/>
  <c r="G78"/>
  <c r="F78"/>
  <c r="D78"/>
  <c r="C78"/>
  <c r="G77"/>
  <c r="F77"/>
  <c r="D77"/>
  <c r="C77"/>
  <c r="G76"/>
  <c r="F76"/>
  <c r="D76"/>
  <c r="C76"/>
  <c r="G75"/>
  <c r="F75"/>
  <c r="D75"/>
  <c r="C75"/>
  <c r="G74"/>
  <c r="F74"/>
  <c r="E74"/>
  <c r="D74"/>
  <c r="C74"/>
  <c r="G73"/>
  <c r="F73"/>
  <c r="E73" s="1"/>
  <c r="N75" i="79" s="1"/>
  <c r="D73" i="60"/>
  <c r="C73"/>
  <c r="G72"/>
  <c r="F72"/>
  <c r="E72" s="1"/>
  <c r="N74" i="79" s="1"/>
  <c r="D72" i="60"/>
  <c r="C72"/>
  <c r="G71"/>
  <c r="F71"/>
  <c r="E71" s="1"/>
  <c r="D71"/>
  <c r="C71"/>
  <c r="G70"/>
  <c r="E70" s="1"/>
  <c r="F70"/>
  <c r="D70"/>
  <c r="C70"/>
  <c r="G69"/>
  <c r="F69"/>
  <c r="E69"/>
  <c r="D69"/>
  <c r="C69"/>
  <c r="G68"/>
  <c r="E68"/>
  <c r="N70" i="79" s="1"/>
  <c r="F68" i="60"/>
  <c r="D68"/>
  <c r="C68"/>
  <c r="G67"/>
  <c r="F67"/>
  <c r="E67"/>
  <c r="D67"/>
  <c r="C67"/>
  <c r="G66"/>
  <c r="F66"/>
  <c r="E66"/>
  <c r="D66"/>
  <c r="C66"/>
  <c r="G65"/>
  <c r="F65"/>
  <c r="E65" s="1"/>
  <c r="N67" i="79" s="1"/>
  <c r="D65" i="60"/>
  <c r="C65"/>
  <c r="G64"/>
  <c r="F64"/>
  <c r="D64"/>
  <c r="C64"/>
  <c r="G63"/>
  <c r="F63"/>
  <c r="D63"/>
  <c r="C63"/>
  <c r="G62"/>
  <c r="F62"/>
  <c r="D62"/>
  <c r="C62"/>
  <c r="G61"/>
  <c r="F61"/>
  <c r="D61"/>
  <c r="C61"/>
  <c r="G60"/>
  <c r="F60"/>
  <c r="D60"/>
  <c r="C60"/>
  <c r="G59"/>
  <c r="F59"/>
  <c r="E59" s="1"/>
  <c r="N61" i="79" s="1"/>
  <c r="D59" i="60"/>
  <c r="C59"/>
  <c r="G58"/>
  <c r="F58"/>
  <c r="E58" s="1"/>
  <c r="N60" i="79" s="1"/>
  <c r="D58" i="60"/>
  <c r="C58"/>
  <c r="G57"/>
  <c r="F57"/>
  <c r="E57"/>
  <c r="D57"/>
  <c r="C57"/>
  <c r="G56"/>
  <c r="F56"/>
  <c r="E56" s="1"/>
  <c r="N58" i="79" s="1"/>
  <c r="D56" i="60"/>
  <c r="C56"/>
  <c r="G55"/>
  <c r="F55"/>
  <c r="E55" s="1"/>
  <c r="N57" i="79" s="1"/>
  <c r="D55" i="60"/>
  <c r="C55"/>
  <c r="G54"/>
  <c r="F54"/>
  <c r="E54" s="1"/>
  <c r="D54"/>
  <c r="C54"/>
  <c r="G53"/>
  <c r="E53" s="1"/>
  <c r="F53"/>
  <c r="D53"/>
  <c r="C53"/>
  <c r="G52"/>
  <c r="F52"/>
  <c r="E52" s="1"/>
  <c r="N54" i="79" s="1"/>
  <c r="D52" i="60"/>
  <c r="C52"/>
  <c r="G51"/>
  <c r="E51"/>
  <c r="N53" i="79" s="1"/>
  <c r="F51" i="60"/>
  <c r="D51"/>
  <c r="C51"/>
  <c r="G50"/>
  <c r="F50"/>
  <c r="E50"/>
  <c r="D50"/>
  <c r="C50"/>
  <c r="G49"/>
  <c r="F49"/>
  <c r="E49"/>
  <c r="N51" i="79" s="1"/>
  <c r="D49" i="60"/>
  <c r="C49"/>
  <c r="G48"/>
  <c r="E48" s="1"/>
  <c r="N50" i="79" s="1"/>
  <c r="F48" i="60"/>
  <c r="D48"/>
  <c r="C48"/>
  <c r="G47"/>
  <c r="F47"/>
  <c r="D47"/>
  <c r="C47"/>
  <c r="G46"/>
  <c r="E46"/>
  <c r="F46"/>
  <c r="D46"/>
  <c r="C46"/>
  <c r="G45"/>
  <c r="F45"/>
  <c r="D45"/>
  <c r="C45"/>
  <c r="G44"/>
  <c r="F44"/>
  <c r="D44"/>
  <c r="C44"/>
  <c r="G43"/>
  <c r="F43"/>
  <c r="D43"/>
  <c r="C43"/>
  <c r="G42"/>
  <c r="E42" s="1"/>
  <c r="F42"/>
  <c r="D42"/>
  <c r="C42"/>
  <c r="G41"/>
  <c r="F41"/>
  <c r="D41"/>
  <c r="C41"/>
  <c r="G40"/>
  <c r="F40"/>
  <c r="D40"/>
  <c r="C40"/>
  <c r="G39"/>
  <c r="F39"/>
  <c r="D39"/>
  <c r="C39"/>
  <c r="G38"/>
  <c r="F38"/>
  <c r="D38"/>
  <c r="C38"/>
  <c r="G37"/>
  <c r="F37"/>
  <c r="D37"/>
  <c r="C37"/>
  <c r="G36"/>
  <c r="F36"/>
  <c r="D36"/>
  <c r="C36"/>
  <c r="G35"/>
  <c r="F35"/>
  <c r="D35"/>
  <c r="C35"/>
  <c r="G34"/>
  <c r="F34"/>
  <c r="D34"/>
  <c r="C34"/>
  <c r="G33"/>
  <c r="F33"/>
  <c r="D33"/>
  <c r="C33"/>
  <c r="G32"/>
  <c r="F32"/>
  <c r="D32"/>
  <c r="C32"/>
  <c r="G31"/>
  <c r="F31"/>
  <c r="D31"/>
  <c r="C31"/>
  <c r="G30"/>
  <c r="F30"/>
  <c r="E30"/>
  <c r="N32" i="79"/>
  <c r="D30" i="60"/>
  <c r="C30"/>
  <c r="G29"/>
  <c r="F29"/>
  <c r="E29" s="1"/>
  <c r="N31" i="79" s="1"/>
  <c r="D29" i="60"/>
  <c r="C29"/>
  <c r="G28"/>
  <c r="F28"/>
  <c r="E28"/>
  <c r="N30" i="79"/>
  <c r="D28" i="60"/>
  <c r="C28"/>
  <c r="G27"/>
  <c r="F27"/>
  <c r="D27"/>
  <c r="C27"/>
  <c r="G26"/>
  <c r="F26"/>
  <c r="D26"/>
  <c r="C26"/>
  <c r="G25"/>
  <c r="F25"/>
  <c r="D25"/>
  <c r="C25"/>
  <c r="G24"/>
  <c r="F24"/>
  <c r="D24"/>
  <c r="C24"/>
  <c r="G23"/>
  <c r="F23"/>
  <c r="D23"/>
  <c r="C23"/>
  <c r="G22"/>
  <c r="F22"/>
  <c r="D22"/>
  <c r="C22"/>
  <c r="G21"/>
  <c r="F21"/>
  <c r="D21"/>
  <c r="C21"/>
  <c r="G20"/>
  <c r="F20"/>
  <c r="D20"/>
  <c r="C20"/>
  <c r="G19"/>
  <c r="F19"/>
  <c r="D19"/>
  <c r="C19"/>
  <c r="G18"/>
  <c r="F18"/>
  <c r="E18" s="1"/>
  <c r="D18"/>
  <c r="C18"/>
  <c r="G17"/>
  <c r="E17" s="1"/>
  <c r="F17"/>
  <c r="D17"/>
  <c r="C17"/>
  <c r="G16"/>
  <c r="F16"/>
  <c r="E16" s="1"/>
  <c r="N18" i="79" s="1"/>
  <c r="D16" i="60"/>
  <c r="C16"/>
  <c r="G15"/>
  <c r="F15"/>
  <c r="E15" s="1"/>
  <c r="N17" i="79" s="1"/>
  <c r="D15" i="60"/>
  <c r="C15"/>
  <c r="G14"/>
  <c r="F14"/>
  <c r="E14" s="1"/>
  <c r="D14"/>
  <c r="C14"/>
  <c r="G13"/>
  <c r="F13"/>
  <c r="D13"/>
  <c r="C13"/>
  <c r="G12"/>
  <c r="F12"/>
  <c r="E12"/>
  <c r="D12"/>
  <c r="C12"/>
  <c r="G11"/>
  <c r="F11"/>
  <c r="E11" s="1"/>
  <c r="N13" i="79" s="1"/>
  <c r="D11" i="60"/>
  <c r="C11"/>
  <c r="G10"/>
  <c r="F10"/>
  <c r="D10"/>
  <c r="C10"/>
  <c r="G9"/>
  <c r="F9"/>
  <c r="E9" s="1"/>
  <c r="N11" i="79" s="1"/>
  <c r="D9" i="60"/>
  <c r="C9"/>
  <c r="G8"/>
  <c r="F8"/>
  <c r="E8" s="1"/>
  <c r="D8"/>
  <c r="C8"/>
  <c r="G7"/>
  <c r="F7"/>
  <c r="D7"/>
  <c r="C7"/>
  <c r="G6"/>
  <c r="E6" s="1"/>
  <c r="F6"/>
  <c r="D6"/>
  <c r="C6"/>
  <c r="G5"/>
  <c r="F5"/>
  <c r="D5"/>
  <c r="C5"/>
  <c r="E5" i="62"/>
  <c r="E7"/>
  <c r="E8"/>
  <c r="G4"/>
  <c r="E34"/>
  <c r="E38"/>
  <c r="E40"/>
  <c r="E41"/>
  <c r="E70"/>
  <c r="E78"/>
  <c r="E79"/>
  <c r="E80"/>
  <c r="E81"/>
  <c r="E82"/>
  <c r="E83"/>
  <c r="E112"/>
  <c r="E114"/>
  <c r="E116"/>
  <c r="E117"/>
  <c r="E118"/>
  <c r="E119"/>
  <c r="E120"/>
  <c r="E121"/>
  <c r="E122"/>
  <c r="E123"/>
  <c r="E124"/>
  <c r="C4"/>
  <c r="E13"/>
  <c r="E14"/>
  <c r="E15"/>
  <c r="E16"/>
  <c r="E17"/>
  <c r="E30"/>
  <c r="E32"/>
  <c r="E33"/>
  <c r="E46"/>
  <c r="E48"/>
  <c r="E49"/>
  <c r="E66"/>
  <c r="E68"/>
  <c r="E69"/>
  <c r="E88"/>
  <c r="E90"/>
  <c r="E91"/>
  <c r="E108"/>
  <c r="E110"/>
  <c r="E111"/>
  <c r="F4"/>
  <c r="E11"/>
  <c r="E12"/>
  <c r="E19"/>
  <c r="E20"/>
  <c r="E21"/>
  <c r="E28"/>
  <c r="E29"/>
  <c r="E36"/>
  <c r="E37"/>
  <c r="E44"/>
  <c r="E45"/>
  <c r="E52"/>
  <c r="E53"/>
  <c r="E60"/>
  <c r="E61"/>
  <c r="E62"/>
  <c r="E63"/>
  <c r="E64"/>
  <c r="E65"/>
  <c r="E72"/>
  <c r="E73"/>
  <c r="E74"/>
  <c r="E76"/>
  <c r="E77"/>
  <c r="E86"/>
  <c r="E87"/>
  <c r="E94"/>
  <c r="E95"/>
  <c r="E96"/>
  <c r="E98"/>
  <c r="E99"/>
  <c r="E106"/>
  <c r="E107"/>
  <c r="E113"/>
  <c r="E6"/>
  <c r="E10"/>
  <c r="E23"/>
  <c r="E27"/>
  <c r="E31"/>
  <c r="E35"/>
  <c r="E39"/>
  <c r="E43"/>
  <c r="E47"/>
  <c r="E51"/>
  <c r="E55"/>
  <c r="E59"/>
  <c r="E67"/>
  <c r="E71"/>
  <c r="E75"/>
  <c r="E115"/>
  <c r="E85"/>
  <c r="E89"/>
  <c r="E93"/>
  <c r="E97"/>
  <c r="E101"/>
  <c r="E105"/>
  <c r="E109"/>
  <c r="F4" i="61"/>
  <c r="E8"/>
  <c r="E9"/>
  <c r="E16"/>
  <c r="E17"/>
  <c r="E24"/>
  <c r="E25"/>
  <c r="N27" i="79" s="1"/>
  <c r="E32" i="61"/>
  <c r="E33"/>
  <c r="E40"/>
  <c r="E41"/>
  <c r="N43" i="79" s="1"/>
  <c r="E48" i="61"/>
  <c r="E49"/>
  <c r="E56"/>
  <c r="E57"/>
  <c r="N59" i="79" s="1"/>
  <c r="E64" i="61"/>
  <c r="E65"/>
  <c r="E72"/>
  <c r="E73"/>
  <c r="E80"/>
  <c r="E81"/>
  <c r="E88"/>
  <c r="E89"/>
  <c r="E98"/>
  <c r="E99"/>
  <c r="E100"/>
  <c r="E101"/>
  <c r="E102"/>
  <c r="E103"/>
  <c r="E104"/>
  <c r="E105"/>
  <c r="E106"/>
  <c r="E115"/>
  <c r="E116"/>
  <c r="E7"/>
  <c r="N9" i="79" s="1"/>
  <c r="E11" i="61"/>
  <c r="E15"/>
  <c r="E19"/>
  <c r="E23"/>
  <c r="N25" i="79" s="1"/>
  <c r="E27" i="61"/>
  <c r="E31"/>
  <c r="E35"/>
  <c r="E39"/>
  <c r="E43"/>
  <c r="E47"/>
  <c r="E51"/>
  <c r="E55"/>
  <c r="E59"/>
  <c r="E63"/>
  <c r="E67"/>
  <c r="E71"/>
  <c r="E75"/>
  <c r="E79"/>
  <c r="E83"/>
  <c r="N85" i="79" s="1"/>
  <c r="E87" i="61"/>
  <c r="E91"/>
  <c r="E95"/>
  <c r="E96"/>
  <c r="E97"/>
  <c r="E108"/>
  <c r="E109"/>
  <c r="E110"/>
  <c r="E114"/>
  <c r="E118"/>
  <c r="E119"/>
  <c r="E120"/>
  <c r="E91" i="60"/>
  <c r="E92"/>
  <c r="E106"/>
  <c r="N108" i="79"/>
  <c r="E107" i="60"/>
  <c r="E108"/>
  <c r="E109"/>
  <c r="E110"/>
  <c r="N112" i="79"/>
  <c r="E111" i="60"/>
  <c r="E112"/>
  <c r="E38"/>
  <c r="E40"/>
  <c r="N42" i="79" s="1"/>
  <c r="E41" i="60"/>
  <c r="E100"/>
  <c r="N102" i="79" s="1"/>
  <c r="E60" i="60"/>
  <c r="E61"/>
  <c r="E62"/>
  <c r="E63"/>
  <c r="E64"/>
  <c r="N66" i="79"/>
  <c r="E75" i="60"/>
  <c r="N77" i="79" s="1"/>
  <c r="E76" i="60"/>
  <c r="E77"/>
  <c r="E78"/>
  <c r="E79"/>
  <c r="N81" i="79"/>
  <c r="E80" i="60"/>
  <c r="N82" i="79"/>
  <c r="E94" i="60"/>
  <c r="E95"/>
  <c r="N97" i="79"/>
  <c r="E96" i="60"/>
  <c r="N98" i="79" s="1"/>
  <c r="E102" i="60"/>
  <c r="N104" i="79"/>
  <c r="E103" i="60"/>
  <c r="E104"/>
  <c r="N106" i="79"/>
  <c r="E114" i="60"/>
  <c r="N116" i="79"/>
  <c r="E115" i="60"/>
  <c r="N117" i="79"/>
  <c r="E116" i="60"/>
  <c r="N118" i="79"/>
  <c r="E5" i="60"/>
  <c r="E7"/>
  <c r="E10"/>
  <c r="E19"/>
  <c r="N21" i="79"/>
  <c r="E20" i="60"/>
  <c r="E21"/>
  <c r="E22"/>
  <c r="E23"/>
  <c r="E24"/>
  <c r="N26" i="79" s="1"/>
  <c r="E25" i="60"/>
  <c r="E26"/>
  <c r="E27"/>
  <c r="N29" i="79"/>
  <c r="E32" i="60"/>
  <c r="N34" i="79"/>
  <c r="E33" i="60"/>
  <c r="N35" i="79"/>
  <c r="E34" i="60"/>
  <c r="E36"/>
  <c r="E37"/>
  <c r="E44"/>
  <c r="E45"/>
  <c r="F4"/>
  <c r="E13"/>
  <c r="E120"/>
  <c r="N122" i="79"/>
  <c r="E31" i="60"/>
  <c r="N33" i="79" s="1"/>
  <c r="E35" i="60"/>
  <c r="N37" i="79"/>
  <c r="E39" i="60"/>
  <c r="N41" i="79" s="1"/>
  <c r="E43" i="60"/>
  <c r="N45" i="79"/>
  <c r="E47" i="60"/>
  <c r="N49" i="79" s="1"/>
  <c r="E90" i="60"/>
  <c r="E98"/>
  <c r="N100" i="79"/>
  <c r="C4" i="58"/>
  <c r="DW5" i="56"/>
  <c r="DV5"/>
  <c r="DU5"/>
  <c r="DT5"/>
  <c r="DS5"/>
  <c r="DR5"/>
  <c r="DQ5"/>
  <c r="DP5"/>
  <c r="DO5"/>
  <c r="DN5"/>
  <c r="DM5"/>
  <c r="DL5"/>
  <c r="DK5"/>
  <c r="DJ5"/>
  <c r="DI5"/>
  <c r="DH5"/>
  <c r="DG5"/>
  <c r="DF5"/>
  <c r="DE5"/>
  <c r="DD5"/>
  <c r="DC5"/>
  <c r="DB5"/>
  <c r="DA5"/>
  <c r="CZ5"/>
  <c r="CY5"/>
  <c r="CX5"/>
  <c r="CW5"/>
  <c r="CV5"/>
  <c r="CU5"/>
  <c r="CT5"/>
  <c r="CS5"/>
  <c r="CR5"/>
  <c r="CQ5"/>
  <c r="CP5"/>
  <c r="CO5"/>
  <c r="CN5"/>
  <c r="CM5"/>
  <c r="CL5"/>
  <c r="CK5"/>
  <c r="CJ5"/>
  <c r="CI5"/>
  <c r="CH5"/>
  <c r="CG5"/>
  <c r="CF5"/>
  <c r="CE5"/>
  <c r="CD5"/>
  <c r="CC5"/>
  <c r="CB5"/>
  <c r="CA5"/>
  <c r="BZ5"/>
  <c r="BY5"/>
  <c r="BX5"/>
  <c r="BW5"/>
  <c r="BV5"/>
  <c r="BU5"/>
  <c r="BT5"/>
  <c r="BS5"/>
  <c r="BR5"/>
  <c r="BQ5"/>
  <c r="BP5"/>
  <c r="BO5"/>
  <c r="BN5"/>
  <c r="BM5"/>
  <c r="BL5"/>
  <c r="BK5"/>
  <c r="BJ5"/>
  <c r="BI5"/>
  <c r="BH5"/>
  <c r="BG5"/>
  <c r="BF5"/>
  <c r="BE5"/>
  <c r="BD5"/>
  <c r="BC5"/>
  <c r="BB5"/>
  <c r="BA5"/>
  <c r="AZ5"/>
  <c r="AY5"/>
  <c r="AX5"/>
  <c r="AW5"/>
  <c r="AV5"/>
  <c r="AU5"/>
  <c r="AT5"/>
  <c r="AS5"/>
  <c r="AR5"/>
  <c r="AQ5"/>
  <c r="AP5"/>
  <c r="AO5"/>
  <c r="AN5"/>
  <c r="AM5"/>
  <c r="AL5"/>
  <c r="AK5"/>
  <c r="AJ5"/>
  <c r="AI5"/>
  <c r="AH5"/>
  <c r="AG5"/>
  <c r="AF5"/>
  <c r="AE5"/>
  <c r="AD5"/>
  <c r="AC5"/>
  <c r="AB5"/>
  <c r="AA5"/>
  <c r="Z5"/>
  <c r="Y5"/>
  <c r="X5"/>
  <c r="W5"/>
  <c r="V5"/>
  <c r="U5"/>
  <c r="T5"/>
  <c r="S5"/>
  <c r="R5"/>
  <c r="Q5"/>
  <c r="P5"/>
  <c r="O5"/>
  <c r="N5"/>
  <c r="M5"/>
  <c r="L5"/>
  <c r="K5"/>
  <c r="J5"/>
  <c r="I5"/>
  <c r="H5"/>
  <c r="E124" i="57"/>
  <c r="M126" i="79"/>
  <c r="D124" i="57"/>
  <c r="L126" i="79"/>
  <c r="E123" i="57"/>
  <c r="M125" i="79"/>
  <c r="D123" i="57"/>
  <c r="L125" i="79"/>
  <c r="E122" i="57"/>
  <c r="M124" i="79"/>
  <c r="D122" i="57"/>
  <c r="L124" i="79"/>
  <c r="E121" i="57"/>
  <c r="M123" i="79"/>
  <c r="D121" i="57"/>
  <c r="L123" i="79"/>
  <c r="E120" i="57"/>
  <c r="M122" i="79"/>
  <c r="D120" i="57"/>
  <c r="L122" i="79"/>
  <c r="O122" s="1"/>
  <c r="E119" i="57"/>
  <c r="M121" i="79"/>
  <c r="D119" i="57"/>
  <c r="L121" i="79"/>
  <c r="E118" i="57"/>
  <c r="M120" i="79"/>
  <c r="D118" i="57"/>
  <c r="L120" i="79"/>
  <c r="E117" i="57"/>
  <c r="M119" i="79"/>
  <c r="D117" i="57"/>
  <c r="L119" i="79"/>
  <c r="E116" i="57"/>
  <c r="M118" i="79"/>
  <c r="D116" i="57"/>
  <c r="L118" i="79"/>
  <c r="O118" s="1"/>
  <c r="E115" i="57"/>
  <c r="M117" i="79" s="1"/>
  <c r="D115" i="57"/>
  <c r="L117" i="79" s="1"/>
  <c r="O117" s="1"/>
  <c r="E114" i="57"/>
  <c r="M116" i="79" s="1"/>
  <c r="D114" i="57"/>
  <c r="L116" i="79" s="1"/>
  <c r="E113" i="57"/>
  <c r="M115" i="79"/>
  <c r="D113" i="57"/>
  <c r="L115" i="79"/>
  <c r="E112" i="57"/>
  <c r="M114" i="79"/>
  <c r="D112" i="57"/>
  <c r="L114" i="79"/>
  <c r="E111" i="57"/>
  <c r="M113" i="79"/>
  <c r="D111" i="57"/>
  <c r="L113" i="79"/>
  <c r="E110" i="57"/>
  <c r="M112" i="79"/>
  <c r="D110" i="57"/>
  <c r="L112" i="79"/>
  <c r="E109" i="57"/>
  <c r="M111" i="79"/>
  <c r="D109" i="57"/>
  <c r="L111" i="79"/>
  <c r="E108" i="57"/>
  <c r="M110" i="79"/>
  <c r="D108" i="57"/>
  <c r="L110" i="79"/>
  <c r="E107" i="57"/>
  <c r="M109" i="79"/>
  <c r="D107" i="57"/>
  <c r="L109" i="79"/>
  <c r="E106" i="57"/>
  <c r="M108" i="79"/>
  <c r="D106" i="57"/>
  <c r="L108" i="79"/>
  <c r="E105" i="57"/>
  <c r="M107" i="79"/>
  <c r="D105" i="57"/>
  <c r="L107" i="79"/>
  <c r="E104" i="57"/>
  <c r="M106" i="79"/>
  <c r="D104" i="57"/>
  <c r="L106" i="79"/>
  <c r="O106" s="1"/>
  <c r="E103" i="57"/>
  <c r="M105" i="79" s="1"/>
  <c r="D103" i="57"/>
  <c r="L105" i="79" s="1"/>
  <c r="E102" i="57"/>
  <c r="M104" i="79" s="1"/>
  <c r="D102" i="57"/>
  <c r="L104" i="79" s="1"/>
  <c r="E101" i="57"/>
  <c r="M103" i="79" s="1"/>
  <c r="D101" i="57"/>
  <c r="L103" i="79" s="1"/>
  <c r="E100" i="57"/>
  <c r="M102" i="79" s="1"/>
  <c r="D100" i="57"/>
  <c r="L102" i="79" s="1"/>
  <c r="E99" i="57"/>
  <c r="M101" i="79"/>
  <c r="D99" i="57"/>
  <c r="L101" i="79"/>
  <c r="E98" i="57"/>
  <c r="M100" i="79"/>
  <c r="D98" i="57"/>
  <c r="L100" i="79"/>
  <c r="O100" s="1"/>
  <c r="E97" i="57"/>
  <c r="M99" i="79"/>
  <c r="D97" i="57"/>
  <c r="L99" i="79"/>
  <c r="O99" s="1"/>
  <c r="E96" i="57"/>
  <c r="M98" i="79" s="1"/>
  <c r="D96" i="57"/>
  <c r="L98" i="79" s="1"/>
  <c r="O98" s="1"/>
  <c r="E95" i="57"/>
  <c r="M97" i="79" s="1"/>
  <c r="D95" i="57"/>
  <c r="L97" i="79" s="1"/>
  <c r="O97" s="1"/>
  <c r="E94" i="57"/>
  <c r="M96" i="79" s="1"/>
  <c r="D94" i="57"/>
  <c r="L96" i="79" s="1"/>
  <c r="E93" i="57"/>
  <c r="M95" i="79" s="1"/>
  <c r="D93" i="57"/>
  <c r="L95" i="79" s="1"/>
  <c r="E92" i="57"/>
  <c r="M94" i="79" s="1"/>
  <c r="D92" i="57"/>
  <c r="L94" i="79" s="1"/>
  <c r="E91" i="57"/>
  <c r="M93" i="79" s="1"/>
  <c r="D91" i="57"/>
  <c r="L93" i="79" s="1"/>
  <c r="E90" i="57"/>
  <c r="M92" i="79" s="1"/>
  <c r="D90" i="57"/>
  <c r="L92" i="79" s="1"/>
  <c r="E89" i="57"/>
  <c r="M91" i="79" s="1"/>
  <c r="D89" i="57"/>
  <c r="L91" i="79" s="1"/>
  <c r="E88" i="57"/>
  <c r="M90" i="79" s="1"/>
  <c r="D88" i="57"/>
  <c r="L90" i="79" s="1"/>
  <c r="E87" i="57"/>
  <c r="M89" i="79" s="1"/>
  <c r="D87" i="57"/>
  <c r="L89" i="79" s="1"/>
  <c r="E86" i="57"/>
  <c r="M88" i="79" s="1"/>
  <c r="D86" i="57"/>
  <c r="L88" i="79" s="1"/>
  <c r="E85" i="57"/>
  <c r="M87" i="79" s="1"/>
  <c r="D85" i="57"/>
  <c r="L87" i="79" s="1"/>
  <c r="E84" i="57"/>
  <c r="M86" i="79" s="1"/>
  <c r="D84" i="57"/>
  <c r="L86" i="79" s="1"/>
  <c r="E83" i="57"/>
  <c r="M85" i="79" s="1"/>
  <c r="D83" i="57"/>
  <c r="L85" i="79" s="1"/>
  <c r="O85" s="1"/>
  <c r="E82" i="57"/>
  <c r="M84" i="79" s="1"/>
  <c r="D82" i="57"/>
  <c r="L84" i="79" s="1"/>
  <c r="O84" s="1"/>
  <c r="E81" i="57"/>
  <c r="M83" i="79"/>
  <c r="D81" i="57"/>
  <c r="L83" i="79"/>
  <c r="E80" i="57"/>
  <c r="M82" i="79"/>
  <c r="D80" i="57"/>
  <c r="L82" i="79"/>
  <c r="E79" i="57"/>
  <c r="M81" i="79"/>
  <c r="D79" i="57"/>
  <c r="L81" i="79"/>
  <c r="E78" i="57"/>
  <c r="M80" i="79"/>
  <c r="D78" i="57"/>
  <c r="L80" i="79"/>
  <c r="E77" i="57"/>
  <c r="M79" i="79"/>
  <c r="D77" i="57"/>
  <c r="L79" i="79"/>
  <c r="E76" i="57"/>
  <c r="M78" i="79"/>
  <c r="D76" i="57"/>
  <c r="L78" i="79"/>
  <c r="E75" i="57"/>
  <c r="M77" i="79"/>
  <c r="D75" i="57"/>
  <c r="L77" i="79"/>
  <c r="E74" i="57"/>
  <c r="M76" i="79"/>
  <c r="D74" i="57"/>
  <c r="L76" i="79"/>
  <c r="E73" i="57"/>
  <c r="M75" i="79"/>
  <c r="D73" i="57"/>
  <c r="L75" i="79"/>
  <c r="E72" i="57"/>
  <c r="M74" i="79"/>
  <c r="D72" i="57"/>
  <c r="L74" i="79"/>
  <c r="E71" i="57"/>
  <c r="M73" i="79"/>
  <c r="D71" i="57"/>
  <c r="L73" i="79"/>
  <c r="E70" i="57"/>
  <c r="M72" i="79"/>
  <c r="D70" i="57"/>
  <c r="L72" i="79"/>
  <c r="E69" i="57"/>
  <c r="M71" i="79"/>
  <c r="D69" i="57"/>
  <c r="L71" i="79"/>
  <c r="O71" s="1"/>
  <c r="E68" i="57"/>
  <c r="M70" i="79" s="1"/>
  <c r="D68" i="57"/>
  <c r="L70" i="79" s="1"/>
  <c r="E67" i="57"/>
  <c r="M69" i="79" s="1"/>
  <c r="D67" i="57"/>
  <c r="L69" i="79" s="1"/>
  <c r="E66" i="57"/>
  <c r="M68" i="79" s="1"/>
  <c r="D66" i="57"/>
  <c r="L68" i="79" s="1"/>
  <c r="E65" i="57"/>
  <c r="M67" i="79" s="1"/>
  <c r="D65" i="57"/>
  <c r="L67" i="79" s="1"/>
  <c r="E64" i="57"/>
  <c r="M66" i="79" s="1"/>
  <c r="D64" i="57"/>
  <c r="L66" i="79" s="1"/>
  <c r="O66" s="1"/>
  <c r="E63" i="57"/>
  <c r="M65" i="79" s="1"/>
  <c r="D63" i="57"/>
  <c r="L65" i="79" s="1"/>
  <c r="E62" i="57"/>
  <c r="M64" i="79" s="1"/>
  <c r="D62" i="57"/>
  <c r="L64" i="79" s="1"/>
  <c r="E61" i="57"/>
  <c r="M63" i="79" s="1"/>
  <c r="D61" i="57"/>
  <c r="L63" i="79" s="1"/>
  <c r="E60" i="57"/>
  <c r="M62" i="79" s="1"/>
  <c r="D60" i="57"/>
  <c r="L62" i="79" s="1"/>
  <c r="E59" i="57"/>
  <c r="M61" i="79" s="1"/>
  <c r="D59" i="57"/>
  <c r="L61" i="79" s="1"/>
  <c r="O61" s="1"/>
  <c r="E58" i="57"/>
  <c r="M60" i="79" s="1"/>
  <c r="D58" i="57"/>
  <c r="L60" i="79" s="1"/>
  <c r="O60" s="1"/>
  <c r="E57" i="57"/>
  <c r="M59" i="79" s="1"/>
  <c r="D57" i="57"/>
  <c r="L59" i="79" s="1"/>
  <c r="E56" i="57"/>
  <c r="M58" i="79" s="1"/>
  <c r="D56" i="57"/>
  <c r="L58" i="79" s="1"/>
  <c r="E55" i="57"/>
  <c r="M57" i="79" s="1"/>
  <c r="D55" i="57"/>
  <c r="L57" i="79" s="1"/>
  <c r="E54" i="57"/>
  <c r="M56" i="79" s="1"/>
  <c r="D54" i="57"/>
  <c r="L56" i="79" s="1"/>
  <c r="E53" i="57"/>
  <c r="M55" i="79" s="1"/>
  <c r="D53" i="57"/>
  <c r="L55" i="79" s="1"/>
  <c r="E52" i="57"/>
  <c r="M54" i="79" s="1"/>
  <c r="D52" i="57"/>
  <c r="L54" i="79" s="1"/>
  <c r="E51" i="57"/>
  <c r="M53" i="79" s="1"/>
  <c r="D51" i="57"/>
  <c r="L53" i="79" s="1"/>
  <c r="O53" s="1"/>
  <c r="E50" i="57"/>
  <c r="M52" i="79" s="1"/>
  <c r="D50" i="57"/>
  <c r="L52" i="79" s="1"/>
  <c r="E49" i="57"/>
  <c r="M51" i="79" s="1"/>
  <c r="D49" i="57"/>
  <c r="L51" i="79" s="1"/>
  <c r="E48" i="57"/>
  <c r="M50" i="79" s="1"/>
  <c r="D48" i="57"/>
  <c r="L50" i="79" s="1"/>
  <c r="E47" i="57"/>
  <c r="M49" i="79" s="1"/>
  <c r="D47" i="57"/>
  <c r="L49" i="79" s="1"/>
  <c r="O49" s="1"/>
  <c r="E46" i="57"/>
  <c r="M48" i="79" s="1"/>
  <c r="D46" i="57"/>
  <c r="L48" i="79" s="1"/>
  <c r="E45" i="57"/>
  <c r="M47" i="79" s="1"/>
  <c r="D45" i="57"/>
  <c r="L47" i="79" s="1"/>
  <c r="E44" i="57"/>
  <c r="M46" i="79" s="1"/>
  <c r="D44" i="57"/>
  <c r="L46" i="79" s="1"/>
  <c r="E43" i="57"/>
  <c r="M45" i="79" s="1"/>
  <c r="D43" i="57"/>
  <c r="L45" i="79" s="1"/>
  <c r="O45" s="1"/>
  <c r="E42" i="57"/>
  <c r="M44" i="79" s="1"/>
  <c r="D42" i="57"/>
  <c r="L44" i="79" s="1"/>
  <c r="E41" i="57"/>
  <c r="M43" i="79" s="1"/>
  <c r="D41" i="57"/>
  <c r="L43" i="79" s="1"/>
  <c r="O43" s="1"/>
  <c r="E40" i="57"/>
  <c r="M42" i="79" s="1"/>
  <c r="D40" i="57"/>
  <c r="L42" i="79" s="1"/>
  <c r="O42" s="1"/>
  <c r="E39" i="57"/>
  <c r="M41" i="79" s="1"/>
  <c r="D39" i="57"/>
  <c r="L41" i="79" s="1"/>
  <c r="E38" i="57"/>
  <c r="M40" i="79" s="1"/>
  <c r="D38" i="57"/>
  <c r="L40" i="79" s="1"/>
  <c r="E37" i="57"/>
  <c r="M39" i="79" s="1"/>
  <c r="D37" i="57"/>
  <c r="L39" i="79" s="1"/>
  <c r="E36" i="57"/>
  <c r="M38" i="79" s="1"/>
  <c r="D36" i="57"/>
  <c r="L38" i="79" s="1"/>
  <c r="E35" i="57"/>
  <c r="M37" i="79" s="1"/>
  <c r="D35" i="57"/>
  <c r="L37" i="79" s="1"/>
  <c r="O37" s="1"/>
  <c r="E34" i="57"/>
  <c r="M36" i="79" s="1"/>
  <c r="D34" i="57"/>
  <c r="L36" i="79" s="1"/>
  <c r="E33" i="57"/>
  <c r="M35" i="79" s="1"/>
  <c r="D33" i="57"/>
  <c r="L35" i="79" s="1"/>
  <c r="O35" s="1"/>
  <c r="E32" i="57"/>
  <c r="M34" i="79" s="1"/>
  <c r="D32" i="57"/>
  <c r="L34" i="79" s="1"/>
  <c r="O34" s="1"/>
  <c r="E31" i="57"/>
  <c r="M33" i="79" s="1"/>
  <c r="D31" i="57"/>
  <c r="L33" i="79" s="1"/>
  <c r="O33" s="1"/>
  <c r="E30" i="57"/>
  <c r="M32" i="79"/>
  <c r="D30" i="57"/>
  <c r="L32" i="79"/>
  <c r="E29" i="57"/>
  <c r="M31" i="79"/>
  <c r="D29" i="57"/>
  <c r="L31" i="79"/>
  <c r="E28" i="57"/>
  <c r="M30" i="79"/>
  <c r="D28" i="57"/>
  <c r="L30" i="79"/>
  <c r="E27" i="57"/>
  <c r="M29" i="79"/>
  <c r="D27" i="57"/>
  <c r="L29" i="79"/>
  <c r="E26" i="57"/>
  <c r="M28" i="79"/>
  <c r="D26" i="57"/>
  <c r="L28" i="79"/>
  <c r="E25" i="57"/>
  <c r="M27" i="79"/>
  <c r="D25" i="57"/>
  <c r="L27" i="79"/>
  <c r="E24" i="57"/>
  <c r="M26" i="79"/>
  <c r="D24" i="57"/>
  <c r="L26" i="79"/>
  <c r="E23" i="57"/>
  <c r="M25" i="79"/>
  <c r="D23" i="57"/>
  <c r="L25" i="79"/>
  <c r="O25" s="1"/>
  <c r="E22" i="57"/>
  <c r="M24" i="79" s="1"/>
  <c r="D22" i="57"/>
  <c r="L24" i="79" s="1"/>
  <c r="E21" i="57"/>
  <c r="M23" i="79" s="1"/>
  <c r="D21" i="57"/>
  <c r="L23" i="79" s="1"/>
  <c r="E20" i="57"/>
  <c r="M22" i="79" s="1"/>
  <c r="D20" i="57"/>
  <c r="L22" i="79" s="1"/>
  <c r="E19" i="57"/>
  <c r="M21" i="79" s="1"/>
  <c r="D19" i="57"/>
  <c r="L21" i="79" s="1"/>
  <c r="O21" s="1"/>
  <c r="E18" i="57"/>
  <c r="M20" i="79" s="1"/>
  <c r="D18" i="57"/>
  <c r="L20" i="79" s="1"/>
  <c r="E17" i="57"/>
  <c r="M19" i="79" s="1"/>
  <c r="D17" i="57"/>
  <c r="L19" i="79" s="1"/>
  <c r="E16" i="57"/>
  <c r="M18" i="79" s="1"/>
  <c r="D16" i="57"/>
  <c r="L18" i="79" s="1"/>
  <c r="E15" i="57"/>
  <c r="M17" i="79" s="1"/>
  <c r="D15" i="57"/>
  <c r="L17" i="79" s="1"/>
  <c r="E14" i="57"/>
  <c r="M16" i="79" s="1"/>
  <c r="D14" i="57"/>
  <c r="L16" i="79" s="1"/>
  <c r="E13" i="57"/>
  <c r="M15" i="79" s="1"/>
  <c r="D13" i="57"/>
  <c r="L15" i="79" s="1"/>
  <c r="E12" i="57"/>
  <c r="M14" i="79" s="1"/>
  <c r="D12" i="57"/>
  <c r="L14" i="79" s="1"/>
  <c r="E11" i="57"/>
  <c r="M13" i="79" s="1"/>
  <c r="D11" i="57"/>
  <c r="L13" i="79" s="1"/>
  <c r="E10" i="57"/>
  <c r="M12" i="79" s="1"/>
  <c r="D10" i="57"/>
  <c r="L12" i="79" s="1"/>
  <c r="E9" i="57"/>
  <c r="M11" i="79" s="1"/>
  <c r="D9" i="57"/>
  <c r="L11" i="79" s="1"/>
  <c r="E8" i="57"/>
  <c r="M10" i="79" s="1"/>
  <c r="D8" i="57"/>
  <c r="L10" i="79" s="1"/>
  <c r="E7" i="57"/>
  <c r="M9" i="79" s="1"/>
  <c r="D7" i="57"/>
  <c r="L9" i="79" s="1"/>
  <c r="O9" s="1"/>
  <c r="E6" i="57"/>
  <c r="M8" i="79" s="1"/>
  <c r="D6" i="57"/>
  <c r="L8" i="79" s="1"/>
  <c r="E5" i="57"/>
  <c r="E4" s="1"/>
  <c r="D5"/>
  <c r="L7" i="79" s="1"/>
  <c r="K4" i="57"/>
  <c r="J4"/>
  <c r="I4"/>
  <c r="H4"/>
  <c r="G4"/>
  <c r="F4"/>
  <c r="C4"/>
  <c r="G125" i="56"/>
  <c r="E125" s="1"/>
  <c r="J126" i="79" s="1"/>
  <c r="F125" i="56"/>
  <c r="D125"/>
  <c r="I126" i="79" s="1"/>
  <c r="C125" i="56"/>
  <c r="H126" i="79" s="1"/>
  <c r="G124" i="56"/>
  <c r="F124"/>
  <c r="E124" s="1"/>
  <c r="J125" i="79" s="1"/>
  <c r="D124" i="56"/>
  <c r="I125" i="79"/>
  <c r="C124" i="56"/>
  <c r="H125" i="79"/>
  <c r="G123" i="56"/>
  <c r="F123"/>
  <c r="E123" s="1"/>
  <c r="J124" i="79" s="1"/>
  <c r="D123" i="56"/>
  <c r="I124" i="79"/>
  <c r="C123" i="56"/>
  <c r="H124" i="79"/>
  <c r="G122" i="56"/>
  <c r="F122"/>
  <c r="E122" s="1"/>
  <c r="J123" i="79" s="1"/>
  <c r="D122" i="56"/>
  <c r="I123" i="79"/>
  <c r="C122" i="56"/>
  <c r="H123" i="79"/>
  <c r="G121" i="56"/>
  <c r="F121"/>
  <c r="D121"/>
  <c r="I122" i="79"/>
  <c r="C121" i="56"/>
  <c r="H122" i="79"/>
  <c r="G120" i="56"/>
  <c r="F120"/>
  <c r="D120"/>
  <c r="I121" i="79"/>
  <c r="C120" i="56"/>
  <c r="H121" i="79"/>
  <c r="G119" i="56"/>
  <c r="F119"/>
  <c r="D119"/>
  <c r="I120" i="79"/>
  <c r="C119" i="56"/>
  <c r="H120" i="79"/>
  <c r="G118" i="56"/>
  <c r="F118"/>
  <c r="D118"/>
  <c r="I119" i="79"/>
  <c r="C118" i="56"/>
  <c r="H119" i="79"/>
  <c r="G117" i="56"/>
  <c r="F117"/>
  <c r="D117"/>
  <c r="I118" i="79"/>
  <c r="C117" i="56"/>
  <c r="H118" i="79"/>
  <c r="G116" i="56"/>
  <c r="F116"/>
  <c r="D116"/>
  <c r="I117" i="79"/>
  <c r="C116" i="56"/>
  <c r="H117" i="79"/>
  <c r="G115" i="56"/>
  <c r="F115"/>
  <c r="D115"/>
  <c r="I116" i="79"/>
  <c r="C115" i="56"/>
  <c r="H116" i="79"/>
  <c r="G114" i="56"/>
  <c r="F114"/>
  <c r="D114"/>
  <c r="I115" i="79"/>
  <c r="C114" i="56"/>
  <c r="H115" i="79"/>
  <c r="G113" i="56"/>
  <c r="F113"/>
  <c r="D113"/>
  <c r="I114" i="79"/>
  <c r="C113" i="56"/>
  <c r="H114" i="79"/>
  <c r="G112" i="56"/>
  <c r="F112"/>
  <c r="D112"/>
  <c r="I113" i="79" s="1"/>
  <c r="C112" i="56"/>
  <c r="H113" i="79"/>
  <c r="G111" i="56"/>
  <c r="F111"/>
  <c r="D111"/>
  <c r="I112" i="79"/>
  <c r="C111" i="56"/>
  <c r="H112" i="79" s="1"/>
  <c r="G110" i="56"/>
  <c r="F110"/>
  <c r="D110"/>
  <c r="I111" i="79" s="1"/>
  <c r="C110" i="56"/>
  <c r="H111" i="79" s="1"/>
  <c r="G109" i="56"/>
  <c r="F109"/>
  <c r="D109"/>
  <c r="I110" i="79" s="1"/>
  <c r="C109" i="56"/>
  <c r="H110" i="79" s="1"/>
  <c r="G108" i="56"/>
  <c r="F108"/>
  <c r="D108"/>
  <c r="I109" i="79" s="1"/>
  <c r="C108" i="56"/>
  <c r="H109" i="79" s="1"/>
  <c r="G107" i="56"/>
  <c r="F107"/>
  <c r="D107"/>
  <c r="I108" i="79" s="1"/>
  <c r="C107" i="56"/>
  <c r="H108" i="79" s="1"/>
  <c r="G106" i="56"/>
  <c r="F106"/>
  <c r="D106"/>
  <c r="I107" i="79" s="1"/>
  <c r="C106" i="56"/>
  <c r="H107" i="79" s="1"/>
  <c r="G105" i="56"/>
  <c r="F105"/>
  <c r="D105"/>
  <c r="I106" i="79" s="1"/>
  <c r="C105" i="56"/>
  <c r="H106" i="79" s="1"/>
  <c r="G104" i="56"/>
  <c r="F104"/>
  <c r="D104"/>
  <c r="I105" i="79" s="1"/>
  <c r="C104" i="56"/>
  <c r="H105" i="79" s="1"/>
  <c r="G103" i="56"/>
  <c r="F103"/>
  <c r="D103"/>
  <c r="I104" i="79" s="1"/>
  <c r="C103" i="56"/>
  <c r="H104" i="79" s="1"/>
  <c r="G102" i="56"/>
  <c r="F102"/>
  <c r="D102"/>
  <c r="I103" i="79" s="1"/>
  <c r="C102" i="56"/>
  <c r="H103" i="79" s="1"/>
  <c r="G101" i="56"/>
  <c r="E101" s="1"/>
  <c r="J102" i="79" s="1"/>
  <c r="F101" i="56"/>
  <c r="D101"/>
  <c r="I102" i="79" s="1"/>
  <c r="C101" i="56"/>
  <c r="H102" i="79" s="1"/>
  <c r="G100" i="56"/>
  <c r="E100" s="1"/>
  <c r="J101" i="79" s="1"/>
  <c r="F100" i="56"/>
  <c r="D100"/>
  <c r="I101" i="79" s="1"/>
  <c r="C100" i="56"/>
  <c r="H101" i="79" s="1"/>
  <c r="G99" i="56"/>
  <c r="E99" s="1"/>
  <c r="J100" i="79" s="1"/>
  <c r="F99" i="56"/>
  <c r="D99"/>
  <c r="I100" i="79" s="1"/>
  <c r="C99" i="56"/>
  <c r="H100" i="79" s="1"/>
  <c r="G98" i="56"/>
  <c r="F98"/>
  <c r="D98"/>
  <c r="I99" i="79" s="1"/>
  <c r="C98" i="56"/>
  <c r="H99" i="79" s="1"/>
  <c r="G97" i="56"/>
  <c r="F97"/>
  <c r="D97"/>
  <c r="I98" i="79" s="1"/>
  <c r="C97" i="56"/>
  <c r="H98" i="79" s="1"/>
  <c r="G96" i="56"/>
  <c r="F96"/>
  <c r="D96"/>
  <c r="I97" i="79" s="1"/>
  <c r="C96" i="56"/>
  <c r="H97" i="79" s="1"/>
  <c r="G95" i="56"/>
  <c r="F95"/>
  <c r="E95" s="1"/>
  <c r="J96" i="79" s="1"/>
  <c r="D95" i="56"/>
  <c r="I96" i="79" s="1"/>
  <c r="C95" i="56"/>
  <c r="H96" i="79" s="1"/>
  <c r="G94" i="56"/>
  <c r="F94"/>
  <c r="D94"/>
  <c r="I95" i="79" s="1"/>
  <c r="C94" i="56"/>
  <c r="H95" i="79" s="1"/>
  <c r="G93" i="56"/>
  <c r="F93"/>
  <c r="D93"/>
  <c r="I94" i="79" s="1"/>
  <c r="C93" i="56"/>
  <c r="H94" i="79" s="1"/>
  <c r="G92" i="56"/>
  <c r="F92"/>
  <c r="E92"/>
  <c r="J93" i="79" s="1"/>
  <c r="D92" i="56"/>
  <c r="I93" i="79" s="1"/>
  <c r="C92" i="56"/>
  <c r="H93" i="79" s="1"/>
  <c r="G91" i="56"/>
  <c r="F91"/>
  <c r="D91"/>
  <c r="I92" i="79" s="1"/>
  <c r="C91" i="56"/>
  <c r="H92" i="79" s="1"/>
  <c r="G90" i="56"/>
  <c r="E90" s="1"/>
  <c r="J91" i="79" s="1"/>
  <c r="F90" i="56"/>
  <c r="D90"/>
  <c r="I91" i="79" s="1"/>
  <c r="C90" i="56"/>
  <c r="H91" i="79" s="1"/>
  <c r="G89" i="56"/>
  <c r="F89"/>
  <c r="D89"/>
  <c r="I90" i="79" s="1"/>
  <c r="C89" i="56"/>
  <c r="H90" i="79" s="1"/>
  <c r="G88" i="56"/>
  <c r="F88"/>
  <c r="E88"/>
  <c r="J89" i="79" s="1"/>
  <c r="D88" i="56"/>
  <c r="I89" i="79" s="1"/>
  <c r="C88" i="56"/>
  <c r="H89" i="79" s="1"/>
  <c r="G87" i="56"/>
  <c r="F87"/>
  <c r="D87"/>
  <c r="I88" i="79" s="1"/>
  <c r="C87" i="56"/>
  <c r="H88" i="79" s="1"/>
  <c r="G86" i="56"/>
  <c r="F86"/>
  <c r="D86"/>
  <c r="I87" i="79" s="1"/>
  <c r="C86" i="56"/>
  <c r="H87" i="79" s="1"/>
  <c r="G85" i="56"/>
  <c r="F85"/>
  <c r="D85"/>
  <c r="I86" i="79" s="1"/>
  <c r="C85" i="56"/>
  <c r="H86" i="79" s="1"/>
  <c r="G84" i="56"/>
  <c r="F84"/>
  <c r="D84"/>
  <c r="I85" i="79" s="1"/>
  <c r="C84" i="56"/>
  <c r="H85" i="79" s="1"/>
  <c r="G83" i="56"/>
  <c r="F83"/>
  <c r="D83"/>
  <c r="I84" i="79" s="1"/>
  <c r="C83" i="56"/>
  <c r="H84" i="79" s="1"/>
  <c r="G82" i="56"/>
  <c r="F82"/>
  <c r="D82"/>
  <c r="I83" i="79" s="1"/>
  <c r="C82" i="56"/>
  <c r="H83" i="79" s="1"/>
  <c r="G81" i="56"/>
  <c r="F81"/>
  <c r="D81"/>
  <c r="I82" i="79" s="1"/>
  <c r="C81" i="56"/>
  <c r="H82" i="79" s="1"/>
  <c r="G80" i="56"/>
  <c r="F80"/>
  <c r="D80"/>
  <c r="I81" i="79" s="1"/>
  <c r="C80" i="56"/>
  <c r="H81" i="79" s="1"/>
  <c r="G79" i="56"/>
  <c r="F79"/>
  <c r="D79"/>
  <c r="I80" i="79" s="1"/>
  <c r="C79" i="56"/>
  <c r="H80" i="79" s="1"/>
  <c r="G78" i="56"/>
  <c r="F78"/>
  <c r="D78"/>
  <c r="I79" i="79" s="1"/>
  <c r="C78" i="56"/>
  <c r="H79" i="79" s="1"/>
  <c r="G77" i="56"/>
  <c r="F77"/>
  <c r="D77"/>
  <c r="I78" i="79" s="1"/>
  <c r="C77" i="56"/>
  <c r="H78" i="79" s="1"/>
  <c r="G76" i="56"/>
  <c r="E76" s="1"/>
  <c r="J77" i="79" s="1"/>
  <c r="F76" i="56"/>
  <c r="D76"/>
  <c r="I77" i="79" s="1"/>
  <c r="C76" i="56"/>
  <c r="H77" i="79" s="1"/>
  <c r="G75" i="56"/>
  <c r="F75"/>
  <c r="D75"/>
  <c r="I76" i="79" s="1"/>
  <c r="C75" i="56"/>
  <c r="H76" i="79" s="1"/>
  <c r="G74" i="56"/>
  <c r="F74"/>
  <c r="E74"/>
  <c r="J75" i="79" s="1"/>
  <c r="D74" i="56"/>
  <c r="I75" i="79" s="1"/>
  <c r="C74" i="56"/>
  <c r="H75" i="79" s="1"/>
  <c r="G73" i="56"/>
  <c r="F73"/>
  <c r="D73"/>
  <c r="I74" i="79" s="1"/>
  <c r="C73" i="56"/>
  <c r="H74" i="79" s="1"/>
  <c r="G72" i="56"/>
  <c r="F72"/>
  <c r="D72"/>
  <c r="I73" i="79" s="1"/>
  <c r="C72" i="56"/>
  <c r="H73" i="79" s="1"/>
  <c r="G71" i="56"/>
  <c r="F71"/>
  <c r="E71"/>
  <c r="J72" i="79" s="1"/>
  <c r="D71" i="56"/>
  <c r="I72" i="79" s="1"/>
  <c r="C71" i="56"/>
  <c r="H72" i="79" s="1"/>
  <c r="G70" i="56"/>
  <c r="F70"/>
  <c r="E70"/>
  <c r="J71" i="79" s="1"/>
  <c r="D70" i="56"/>
  <c r="I71" i="79" s="1"/>
  <c r="C70" i="56"/>
  <c r="H71" i="79" s="1"/>
  <c r="G69" i="56"/>
  <c r="F69"/>
  <c r="D69"/>
  <c r="I70" i="79" s="1"/>
  <c r="C69" i="56"/>
  <c r="H70" i="79" s="1"/>
  <c r="G68" i="56"/>
  <c r="F68"/>
  <c r="E68" s="1"/>
  <c r="J69" i="79" s="1"/>
  <c r="D68" i="56"/>
  <c r="I69" i="79" s="1"/>
  <c r="C68" i="56"/>
  <c r="H69" i="79" s="1"/>
  <c r="G67" i="56"/>
  <c r="E67" s="1"/>
  <c r="J68" i="79" s="1"/>
  <c r="F67" i="56"/>
  <c r="D67"/>
  <c r="I68" i="79" s="1"/>
  <c r="C67" i="56"/>
  <c r="H68" i="79" s="1"/>
  <c r="G66" i="56"/>
  <c r="F66"/>
  <c r="D66"/>
  <c r="I67" i="79" s="1"/>
  <c r="C66" i="56"/>
  <c r="H67" i="79" s="1"/>
  <c r="G65" i="56"/>
  <c r="F65"/>
  <c r="D65"/>
  <c r="I66" i="79" s="1"/>
  <c r="C65" i="56"/>
  <c r="H66" i="79" s="1"/>
  <c r="G64" i="56"/>
  <c r="E64" s="1"/>
  <c r="J65" i="79" s="1"/>
  <c r="F64" i="56"/>
  <c r="D64"/>
  <c r="I65" i="79" s="1"/>
  <c r="C64" i="56"/>
  <c r="H65" i="79" s="1"/>
  <c r="K65" s="1"/>
  <c r="G63" i="56"/>
  <c r="E63" s="1"/>
  <c r="J64" i="79" s="1"/>
  <c r="F63" i="56"/>
  <c r="D63"/>
  <c r="I64" i="79" s="1"/>
  <c r="C63" i="56"/>
  <c r="H64" i="79" s="1"/>
  <c r="G62" i="56"/>
  <c r="F62"/>
  <c r="D62"/>
  <c r="I63" i="79" s="1"/>
  <c r="C62" i="56"/>
  <c r="H63" i="79" s="1"/>
  <c r="G61" i="56"/>
  <c r="F61"/>
  <c r="D61"/>
  <c r="I62" i="79" s="1"/>
  <c r="C61" i="56"/>
  <c r="H62" i="79" s="1"/>
  <c r="G60" i="56"/>
  <c r="E60" s="1"/>
  <c r="J61" i="79" s="1"/>
  <c r="F60" i="56"/>
  <c r="D60"/>
  <c r="I61" i="79" s="1"/>
  <c r="C60" i="56"/>
  <c r="H61" i="79" s="1"/>
  <c r="K61" s="1"/>
  <c r="G59" i="56"/>
  <c r="F59"/>
  <c r="D59"/>
  <c r="I60" i="79" s="1"/>
  <c r="C59" i="56"/>
  <c r="H60" i="79" s="1"/>
  <c r="G58" i="56"/>
  <c r="F58"/>
  <c r="E58"/>
  <c r="J59" i="79" s="1"/>
  <c r="D58" i="56"/>
  <c r="I59" i="79" s="1"/>
  <c r="C58" i="56"/>
  <c r="H59" i="79" s="1"/>
  <c r="G57" i="56"/>
  <c r="F57"/>
  <c r="D57"/>
  <c r="I58" i="79" s="1"/>
  <c r="C57" i="56"/>
  <c r="H58" i="79" s="1"/>
  <c r="G56" i="56"/>
  <c r="E56" s="1"/>
  <c r="J57" i="79" s="1"/>
  <c r="F56" i="56"/>
  <c r="D56"/>
  <c r="I57" i="79" s="1"/>
  <c r="C56" i="56"/>
  <c r="H57" i="79" s="1"/>
  <c r="G55" i="56"/>
  <c r="F55"/>
  <c r="D55"/>
  <c r="I56" i="79" s="1"/>
  <c r="C55" i="56"/>
  <c r="H56" i="79" s="1"/>
  <c r="G54" i="56"/>
  <c r="F54"/>
  <c r="D54"/>
  <c r="I55" i="79" s="1"/>
  <c r="C54" i="56"/>
  <c r="H55" i="79" s="1"/>
  <c r="G53" i="56"/>
  <c r="F53"/>
  <c r="D53"/>
  <c r="I54" i="79" s="1"/>
  <c r="C53" i="56"/>
  <c r="H54" i="79" s="1"/>
  <c r="G52" i="56"/>
  <c r="F52"/>
  <c r="D52"/>
  <c r="I53" i="79" s="1"/>
  <c r="C52" i="56"/>
  <c r="H53" i="79" s="1"/>
  <c r="G51" i="56"/>
  <c r="F51"/>
  <c r="D51"/>
  <c r="I52" i="79" s="1"/>
  <c r="C51" i="56"/>
  <c r="H52" i="79" s="1"/>
  <c r="G50" i="56"/>
  <c r="F50"/>
  <c r="D50"/>
  <c r="I51" i="79" s="1"/>
  <c r="C50" i="56"/>
  <c r="H51" i="79" s="1"/>
  <c r="G49" i="56"/>
  <c r="F49"/>
  <c r="D49"/>
  <c r="I50" i="79" s="1"/>
  <c r="C49" i="56"/>
  <c r="H50" i="79" s="1"/>
  <c r="G48" i="56"/>
  <c r="F48"/>
  <c r="D48"/>
  <c r="I49" i="79" s="1"/>
  <c r="C48" i="56"/>
  <c r="H49" i="79" s="1"/>
  <c r="G47" i="56"/>
  <c r="F47"/>
  <c r="D47"/>
  <c r="I48" i="79" s="1"/>
  <c r="C47" i="56"/>
  <c r="H48" i="79" s="1"/>
  <c r="G46" i="56"/>
  <c r="F46"/>
  <c r="D46"/>
  <c r="I47" i="79" s="1"/>
  <c r="C46" i="56"/>
  <c r="H47" i="79" s="1"/>
  <c r="G45" i="56"/>
  <c r="F45"/>
  <c r="D45"/>
  <c r="I46" i="79" s="1"/>
  <c r="C45" i="56"/>
  <c r="H46" i="79" s="1"/>
  <c r="G44" i="56"/>
  <c r="F44"/>
  <c r="D44"/>
  <c r="I45" i="79" s="1"/>
  <c r="C44" i="56"/>
  <c r="H45" i="79" s="1"/>
  <c r="G43" i="56"/>
  <c r="F43"/>
  <c r="D43"/>
  <c r="I44" i="79" s="1"/>
  <c r="C43" i="56"/>
  <c r="H44" i="79" s="1"/>
  <c r="G42" i="56"/>
  <c r="F42"/>
  <c r="D42"/>
  <c r="I43" i="79" s="1"/>
  <c r="C42" i="56"/>
  <c r="H43" i="79" s="1"/>
  <c r="G41" i="56"/>
  <c r="F41"/>
  <c r="D41"/>
  <c r="I42" i="79" s="1"/>
  <c r="C41" i="56"/>
  <c r="H42" i="79" s="1"/>
  <c r="G40" i="56"/>
  <c r="F40"/>
  <c r="E40" s="1"/>
  <c r="J41" i="79" s="1"/>
  <c r="D40" i="56"/>
  <c r="I41" i="79" s="1"/>
  <c r="C40" i="56"/>
  <c r="H41" i="79" s="1"/>
  <c r="G39" i="56"/>
  <c r="F39"/>
  <c r="D39"/>
  <c r="I40" i="79" s="1"/>
  <c r="C39" i="56"/>
  <c r="H40" i="79" s="1"/>
  <c r="G38" i="56"/>
  <c r="F38"/>
  <c r="D38"/>
  <c r="I39" i="79" s="1"/>
  <c r="C38" i="56"/>
  <c r="H39" i="79" s="1"/>
  <c r="G37" i="56"/>
  <c r="F37"/>
  <c r="D37"/>
  <c r="I38" i="79" s="1"/>
  <c r="C37" i="56"/>
  <c r="H38" i="79" s="1"/>
  <c r="G36" i="56"/>
  <c r="F36"/>
  <c r="D36"/>
  <c r="I37" i="79" s="1"/>
  <c r="C36" i="56"/>
  <c r="H37" i="79" s="1"/>
  <c r="G35" i="56"/>
  <c r="E35" s="1"/>
  <c r="J36" i="79" s="1"/>
  <c r="F35" i="56"/>
  <c r="D35"/>
  <c r="I36" i="79" s="1"/>
  <c r="C35" i="56"/>
  <c r="H36" i="79" s="1"/>
  <c r="G34" i="56"/>
  <c r="F34"/>
  <c r="D34"/>
  <c r="I35" i="79" s="1"/>
  <c r="C34" i="56"/>
  <c r="H35" i="79" s="1"/>
  <c r="G33" i="56"/>
  <c r="F33"/>
  <c r="D33"/>
  <c r="I34" i="79" s="1"/>
  <c r="C33" i="56"/>
  <c r="H34" i="79" s="1"/>
  <c r="G32" i="56"/>
  <c r="F32"/>
  <c r="D32"/>
  <c r="I33" i="79" s="1"/>
  <c r="C32" i="56"/>
  <c r="H33" i="79" s="1"/>
  <c r="G31" i="56"/>
  <c r="F31"/>
  <c r="D31"/>
  <c r="I32" i="79" s="1"/>
  <c r="C31" i="56"/>
  <c r="H32" i="79" s="1"/>
  <c r="G30" i="56"/>
  <c r="F30"/>
  <c r="D30"/>
  <c r="I31" i="79" s="1"/>
  <c r="C30" i="56"/>
  <c r="H31" i="79" s="1"/>
  <c r="G29" i="56"/>
  <c r="F29"/>
  <c r="D29"/>
  <c r="I30" i="79" s="1"/>
  <c r="C29" i="56"/>
  <c r="H30" i="79" s="1"/>
  <c r="G28" i="56"/>
  <c r="F28"/>
  <c r="D28"/>
  <c r="I29" i="79" s="1"/>
  <c r="C28" i="56"/>
  <c r="H29" i="79" s="1"/>
  <c r="G27" i="56"/>
  <c r="F27"/>
  <c r="D27"/>
  <c r="I28" i="79" s="1"/>
  <c r="C27" i="56"/>
  <c r="H28" i="79" s="1"/>
  <c r="G26" i="56"/>
  <c r="F26"/>
  <c r="D26"/>
  <c r="I27" i="79" s="1"/>
  <c r="C26" i="56"/>
  <c r="H27" i="79" s="1"/>
  <c r="G25" i="56"/>
  <c r="F25"/>
  <c r="D25"/>
  <c r="I26" i="79" s="1"/>
  <c r="C25" i="56"/>
  <c r="H26" i="79" s="1"/>
  <c r="G24" i="56"/>
  <c r="E24" s="1"/>
  <c r="J25" i="79" s="1"/>
  <c r="F24" i="56"/>
  <c r="D24"/>
  <c r="I25" i="79" s="1"/>
  <c r="C24" i="56"/>
  <c r="H25" i="79" s="1"/>
  <c r="G23" i="56"/>
  <c r="E23" s="1"/>
  <c r="J24" i="79" s="1"/>
  <c r="F23" i="56"/>
  <c r="D23"/>
  <c r="I24" i="79" s="1"/>
  <c r="C23" i="56"/>
  <c r="H24" i="79" s="1"/>
  <c r="G22" i="56"/>
  <c r="E22" s="1"/>
  <c r="J23" i="79" s="1"/>
  <c r="F22" i="56"/>
  <c r="D22"/>
  <c r="I23" i="79" s="1"/>
  <c r="C22" i="56"/>
  <c r="H23" i="79" s="1"/>
  <c r="G21" i="56"/>
  <c r="F21"/>
  <c r="D21"/>
  <c r="I22" i="79" s="1"/>
  <c r="C21" i="56"/>
  <c r="H22" i="79" s="1"/>
  <c r="G20" i="56"/>
  <c r="F20"/>
  <c r="E20" s="1"/>
  <c r="J21" i="79" s="1"/>
  <c r="D20" i="56"/>
  <c r="I21" i="79" s="1"/>
  <c r="C20" i="56"/>
  <c r="H21" i="79" s="1"/>
  <c r="G19" i="56"/>
  <c r="F19"/>
  <c r="D19"/>
  <c r="I20" i="79" s="1"/>
  <c r="C19" i="56"/>
  <c r="H20" i="79" s="1"/>
  <c r="G18" i="56"/>
  <c r="E18" s="1"/>
  <c r="J19" i="79" s="1"/>
  <c r="F18" i="56"/>
  <c r="D18"/>
  <c r="I19" i="79" s="1"/>
  <c r="C18" i="56"/>
  <c r="H19" i="79" s="1"/>
  <c r="G17" i="56"/>
  <c r="F17"/>
  <c r="D17"/>
  <c r="I18" i="79" s="1"/>
  <c r="C17" i="56"/>
  <c r="H18" i="79" s="1"/>
  <c r="G16" i="56"/>
  <c r="F16"/>
  <c r="E16"/>
  <c r="J17" i="79" s="1"/>
  <c r="D16" i="56"/>
  <c r="I17" i="79" s="1"/>
  <c r="C16" i="56"/>
  <c r="H17" i="79" s="1"/>
  <c r="G15" i="56"/>
  <c r="F15"/>
  <c r="E15"/>
  <c r="J16" i="79" s="1"/>
  <c r="D15" i="56"/>
  <c r="I16" i="79" s="1"/>
  <c r="C15" i="56"/>
  <c r="H16" i="79" s="1"/>
  <c r="G14" i="56"/>
  <c r="F14"/>
  <c r="E14" s="1"/>
  <c r="J15" i="79" s="1"/>
  <c r="D14" i="56"/>
  <c r="I15" i="79" s="1"/>
  <c r="C14" i="56"/>
  <c r="H15" i="79" s="1"/>
  <c r="G13" i="56"/>
  <c r="F13"/>
  <c r="D13"/>
  <c r="I14" i="79" s="1"/>
  <c r="C13" i="56"/>
  <c r="H14" i="79" s="1"/>
  <c r="G12" i="56"/>
  <c r="F12"/>
  <c r="D12"/>
  <c r="I13" i="79" s="1"/>
  <c r="C12" i="56"/>
  <c r="H13" i="79" s="1"/>
  <c r="G11" i="56"/>
  <c r="F11"/>
  <c r="D11"/>
  <c r="I12" i="79" s="1"/>
  <c r="C11" i="56"/>
  <c r="H12" i="79" s="1"/>
  <c r="G10" i="56"/>
  <c r="F10"/>
  <c r="D10"/>
  <c r="I11" i="79" s="1"/>
  <c r="C10" i="56"/>
  <c r="H11" i="79" s="1"/>
  <c r="G9" i="56"/>
  <c r="F9"/>
  <c r="D9"/>
  <c r="I10" i="79" s="1"/>
  <c r="C9" i="56"/>
  <c r="H10" i="79" s="1"/>
  <c r="G8" i="56"/>
  <c r="F8"/>
  <c r="D8"/>
  <c r="I9" i="79" s="1"/>
  <c r="C8" i="56"/>
  <c r="H9" i="79" s="1"/>
  <c r="G7" i="56"/>
  <c r="F7"/>
  <c r="D7"/>
  <c r="I8" i="79" s="1"/>
  <c r="C7" i="56"/>
  <c r="H8" i="79" s="1"/>
  <c r="G6" i="56"/>
  <c r="F6"/>
  <c r="D6"/>
  <c r="I7" i="79" s="1"/>
  <c r="C6" i="56"/>
  <c r="H7" i="79" s="1"/>
  <c r="Y4" i="55"/>
  <c r="X4"/>
  <c r="W4"/>
  <c r="V4"/>
  <c r="U4"/>
  <c r="T4"/>
  <c r="S4"/>
  <c r="R4"/>
  <c r="Q4"/>
  <c r="P4"/>
  <c r="O4"/>
  <c r="N4"/>
  <c r="M4"/>
  <c r="L4"/>
  <c r="G124"/>
  <c r="E124" s="1"/>
  <c r="F124"/>
  <c r="D124"/>
  <c r="C124"/>
  <c r="G123"/>
  <c r="E123"/>
  <c r="F123"/>
  <c r="D123"/>
  <c r="C123"/>
  <c r="G122"/>
  <c r="F122"/>
  <c r="D122"/>
  <c r="C122"/>
  <c r="G121"/>
  <c r="F121"/>
  <c r="E121"/>
  <c r="D121"/>
  <c r="C121"/>
  <c r="G120"/>
  <c r="F120"/>
  <c r="D120"/>
  <c r="C120"/>
  <c r="G119"/>
  <c r="F119"/>
  <c r="E119" s="1"/>
  <c r="D119"/>
  <c r="C119"/>
  <c r="G118"/>
  <c r="E118" s="1"/>
  <c r="F118"/>
  <c r="D118"/>
  <c r="C118"/>
  <c r="G117"/>
  <c r="F117"/>
  <c r="D117"/>
  <c r="C117"/>
  <c r="G116"/>
  <c r="F116"/>
  <c r="D116"/>
  <c r="C116"/>
  <c r="G115"/>
  <c r="F115"/>
  <c r="D115"/>
  <c r="C115"/>
  <c r="G114"/>
  <c r="F114"/>
  <c r="D114"/>
  <c r="C114"/>
  <c r="G113"/>
  <c r="F113"/>
  <c r="E113" s="1"/>
  <c r="D113"/>
  <c r="C113"/>
  <c r="G112"/>
  <c r="F112"/>
  <c r="E112" s="1"/>
  <c r="D112"/>
  <c r="C112"/>
  <c r="G111"/>
  <c r="F111"/>
  <c r="D111"/>
  <c r="C111"/>
  <c r="G110"/>
  <c r="E110" s="1"/>
  <c r="F110"/>
  <c r="D110"/>
  <c r="C110"/>
  <c r="G109"/>
  <c r="F109"/>
  <c r="D109"/>
  <c r="C109"/>
  <c r="G108"/>
  <c r="F108"/>
  <c r="D108"/>
  <c r="C108"/>
  <c r="G107"/>
  <c r="F107"/>
  <c r="E107"/>
  <c r="D107"/>
  <c r="C107"/>
  <c r="G106"/>
  <c r="F106"/>
  <c r="D106"/>
  <c r="C106"/>
  <c r="G105"/>
  <c r="F105"/>
  <c r="D105"/>
  <c r="C105"/>
  <c r="G104"/>
  <c r="F104"/>
  <c r="D104"/>
  <c r="C104"/>
  <c r="G103"/>
  <c r="F103"/>
  <c r="E103" s="1"/>
  <c r="D103"/>
  <c r="C103"/>
  <c r="G102"/>
  <c r="E102" s="1"/>
  <c r="F102"/>
  <c r="D102"/>
  <c r="C102"/>
  <c r="G101"/>
  <c r="F101"/>
  <c r="E101" s="1"/>
  <c r="D101"/>
  <c r="C101"/>
  <c r="G100"/>
  <c r="F100"/>
  <c r="E100" s="1"/>
  <c r="D100"/>
  <c r="C100"/>
  <c r="G99"/>
  <c r="F99"/>
  <c r="D99"/>
  <c r="C99"/>
  <c r="G98"/>
  <c r="F98"/>
  <c r="D98"/>
  <c r="C98"/>
  <c r="G97"/>
  <c r="F97"/>
  <c r="E97"/>
  <c r="D97"/>
  <c r="C97"/>
  <c r="G96"/>
  <c r="F96"/>
  <c r="D96"/>
  <c r="C96"/>
  <c r="G95"/>
  <c r="F95"/>
  <c r="D95"/>
  <c r="C95"/>
  <c r="G94"/>
  <c r="F94"/>
  <c r="E94" s="1"/>
  <c r="D94"/>
  <c r="C94"/>
  <c r="G93"/>
  <c r="F93"/>
  <c r="D93"/>
  <c r="C93"/>
  <c r="G92"/>
  <c r="F92"/>
  <c r="E92" s="1"/>
  <c r="D92"/>
  <c r="C92"/>
  <c r="G91"/>
  <c r="F91"/>
  <c r="E91" s="1"/>
  <c r="D91"/>
  <c r="C91"/>
  <c r="G90"/>
  <c r="F90"/>
  <c r="D90"/>
  <c r="C90"/>
  <c r="G89"/>
  <c r="E89"/>
  <c r="F89"/>
  <c r="D89"/>
  <c r="C89"/>
  <c r="G88"/>
  <c r="F88"/>
  <c r="D88"/>
  <c r="C88"/>
  <c r="G87"/>
  <c r="F87"/>
  <c r="E87"/>
  <c r="D87"/>
  <c r="C87"/>
  <c r="G86"/>
  <c r="F86"/>
  <c r="E86" s="1"/>
  <c r="D86"/>
  <c r="C86"/>
  <c r="G85"/>
  <c r="F85"/>
  <c r="D85"/>
  <c r="C85"/>
  <c r="G84"/>
  <c r="F84"/>
  <c r="E84" s="1"/>
  <c r="D84"/>
  <c r="C84"/>
  <c r="G83"/>
  <c r="F83"/>
  <c r="D83"/>
  <c r="C83"/>
  <c r="G82"/>
  <c r="F82"/>
  <c r="D82"/>
  <c r="C82"/>
  <c r="G81"/>
  <c r="E81" s="1"/>
  <c r="F81"/>
  <c r="D81"/>
  <c r="C81"/>
  <c r="G80"/>
  <c r="E80"/>
  <c r="F80"/>
  <c r="D80"/>
  <c r="C80"/>
  <c r="G79"/>
  <c r="F79"/>
  <c r="E79"/>
  <c r="D79"/>
  <c r="C79"/>
  <c r="G78"/>
  <c r="F78"/>
  <c r="E78" s="1"/>
  <c r="D78"/>
  <c r="C78"/>
  <c r="G77"/>
  <c r="F77"/>
  <c r="D77"/>
  <c r="C77"/>
  <c r="G76"/>
  <c r="F76"/>
  <c r="E76" s="1"/>
  <c r="D76"/>
  <c r="C76"/>
  <c r="G75"/>
  <c r="F75"/>
  <c r="D75"/>
  <c r="C75"/>
  <c r="G74"/>
  <c r="F74"/>
  <c r="D74"/>
  <c r="C74"/>
  <c r="G73"/>
  <c r="E73" s="1"/>
  <c r="F73"/>
  <c r="D73"/>
  <c r="C73"/>
  <c r="G72"/>
  <c r="F72"/>
  <c r="D72"/>
  <c r="C72"/>
  <c r="G71"/>
  <c r="E71"/>
  <c r="F71"/>
  <c r="D71"/>
  <c r="C71"/>
  <c r="G70"/>
  <c r="E70" s="1"/>
  <c r="F70"/>
  <c r="D70"/>
  <c r="C70"/>
  <c r="G69"/>
  <c r="F69"/>
  <c r="E69"/>
  <c r="D69"/>
  <c r="C69"/>
  <c r="G68"/>
  <c r="F68"/>
  <c r="D68"/>
  <c r="C68"/>
  <c r="G67"/>
  <c r="F67"/>
  <c r="D67"/>
  <c r="C67"/>
  <c r="G66"/>
  <c r="F66"/>
  <c r="D66"/>
  <c r="C66"/>
  <c r="G65"/>
  <c r="F65"/>
  <c r="D65"/>
  <c r="C65"/>
  <c r="G64"/>
  <c r="F64"/>
  <c r="E64" s="1"/>
  <c r="D64"/>
  <c r="C64"/>
  <c r="G63"/>
  <c r="F63"/>
  <c r="D63"/>
  <c r="C63"/>
  <c r="G62"/>
  <c r="E62" s="1"/>
  <c r="F62"/>
  <c r="D62"/>
  <c r="C62"/>
  <c r="G61"/>
  <c r="F61"/>
  <c r="D61"/>
  <c r="C61"/>
  <c r="G60"/>
  <c r="F60"/>
  <c r="D60"/>
  <c r="C60"/>
  <c r="G59"/>
  <c r="F59"/>
  <c r="E59" s="1"/>
  <c r="D59"/>
  <c r="C59"/>
  <c r="G58"/>
  <c r="F58"/>
  <c r="D58"/>
  <c r="C58"/>
  <c r="G57"/>
  <c r="E57"/>
  <c r="F57"/>
  <c r="D57"/>
  <c r="C57"/>
  <c r="G56"/>
  <c r="F56"/>
  <c r="D56"/>
  <c r="C56"/>
  <c r="G55"/>
  <c r="F55"/>
  <c r="E55"/>
  <c r="D55"/>
  <c r="C55"/>
  <c r="G54"/>
  <c r="F54"/>
  <c r="E54" s="1"/>
  <c r="D54"/>
  <c r="C54"/>
  <c r="G53"/>
  <c r="F53"/>
  <c r="D53"/>
  <c r="C53"/>
  <c r="G52"/>
  <c r="F52"/>
  <c r="E52" s="1"/>
  <c r="D52"/>
  <c r="C52"/>
  <c r="G51"/>
  <c r="F51"/>
  <c r="D51"/>
  <c r="C51"/>
  <c r="G50"/>
  <c r="F50"/>
  <c r="D50"/>
  <c r="C50"/>
  <c r="G49"/>
  <c r="E49" s="1"/>
  <c r="F49"/>
  <c r="D49"/>
  <c r="C49"/>
  <c r="G48"/>
  <c r="E48"/>
  <c r="F48"/>
  <c r="D48"/>
  <c r="C48"/>
  <c r="G47"/>
  <c r="F47"/>
  <c r="D47"/>
  <c r="C47"/>
  <c r="G46"/>
  <c r="E46" s="1"/>
  <c r="F46"/>
  <c r="D46"/>
  <c r="C46"/>
  <c r="G45"/>
  <c r="F45"/>
  <c r="D45"/>
  <c r="C45"/>
  <c r="G44"/>
  <c r="F44"/>
  <c r="D44"/>
  <c r="C44"/>
  <c r="G43"/>
  <c r="F43"/>
  <c r="E43" s="1"/>
  <c r="D43"/>
  <c r="C43"/>
  <c r="G42"/>
  <c r="F42"/>
  <c r="D42"/>
  <c r="C42"/>
  <c r="G41"/>
  <c r="F41"/>
  <c r="D41"/>
  <c r="C41"/>
  <c r="G40"/>
  <c r="F40"/>
  <c r="D40"/>
  <c r="C40"/>
  <c r="G39"/>
  <c r="F39"/>
  <c r="D39"/>
  <c r="C39"/>
  <c r="G38"/>
  <c r="F38"/>
  <c r="E38" s="1"/>
  <c r="D38"/>
  <c r="C38"/>
  <c r="G37"/>
  <c r="F37"/>
  <c r="E37" s="1"/>
  <c r="D37"/>
  <c r="C37"/>
  <c r="G36"/>
  <c r="E36" s="1"/>
  <c r="F36"/>
  <c r="D36"/>
  <c r="C36"/>
  <c r="G35"/>
  <c r="F35"/>
  <c r="D35"/>
  <c r="C35"/>
  <c r="G34"/>
  <c r="F34"/>
  <c r="D34"/>
  <c r="C34"/>
  <c r="G33"/>
  <c r="E33"/>
  <c r="F33"/>
  <c r="D33"/>
  <c r="C33"/>
  <c r="G32"/>
  <c r="F32"/>
  <c r="D32"/>
  <c r="C32"/>
  <c r="G31"/>
  <c r="F31"/>
  <c r="E31"/>
  <c r="D31"/>
  <c r="C31"/>
  <c r="G30"/>
  <c r="F30"/>
  <c r="E30" s="1"/>
  <c r="D30"/>
  <c r="C30"/>
  <c r="G29"/>
  <c r="F29"/>
  <c r="D29"/>
  <c r="C29"/>
  <c r="G28"/>
  <c r="F28"/>
  <c r="E28" s="1"/>
  <c r="D28"/>
  <c r="C28"/>
  <c r="G27"/>
  <c r="E27" s="1"/>
  <c r="F27"/>
  <c r="D27"/>
  <c r="C27"/>
  <c r="G26"/>
  <c r="F26"/>
  <c r="D26"/>
  <c r="C26"/>
  <c r="G25"/>
  <c r="F25"/>
  <c r="D25"/>
  <c r="C25"/>
  <c r="G24"/>
  <c r="F24"/>
  <c r="D24"/>
  <c r="C24"/>
  <c r="G23"/>
  <c r="F23"/>
  <c r="D23"/>
  <c r="C23"/>
  <c r="G22"/>
  <c r="F22"/>
  <c r="E22" s="1"/>
  <c r="D22"/>
  <c r="C22"/>
  <c r="G21"/>
  <c r="F21"/>
  <c r="E21" s="1"/>
  <c r="D21"/>
  <c r="C21"/>
  <c r="G20"/>
  <c r="F20"/>
  <c r="E20"/>
  <c r="D20"/>
  <c r="C20"/>
  <c r="G19"/>
  <c r="F19"/>
  <c r="D19"/>
  <c r="C19"/>
  <c r="G18"/>
  <c r="F18"/>
  <c r="D18"/>
  <c r="C18"/>
  <c r="G17"/>
  <c r="F17"/>
  <c r="E17" s="1"/>
  <c r="D17"/>
  <c r="C17"/>
  <c r="G16"/>
  <c r="E16" s="1"/>
  <c r="F16"/>
  <c r="D16"/>
  <c r="C16"/>
  <c r="G15"/>
  <c r="F15"/>
  <c r="D15"/>
  <c r="C15"/>
  <c r="G14"/>
  <c r="F14"/>
  <c r="E14" s="1"/>
  <c r="D14"/>
  <c r="C14"/>
  <c r="G13"/>
  <c r="F13"/>
  <c r="D13"/>
  <c r="C13"/>
  <c r="G12"/>
  <c r="F12"/>
  <c r="D12"/>
  <c r="C12"/>
  <c r="G11"/>
  <c r="E11"/>
  <c r="F11"/>
  <c r="D11"/>
  <c r="C11"/>
  <c r="G10"/>
  <c r="F10"/>
  <c r="E10"/>
  <c r="D10"/>
  <c r="C10"/>
  <c r="G9"/>
  <c r="F9"/>
  <c r="E9" s="1"/>
  <c r="D9"/>
  <c r="C9"/>
  <c r="G8"/>
  <c r="F8"/>
  <c r="D8"/>
  <c r="C8"/>
  <c r="G7"/>
  <c r="E7" s="1"/>
  <c r="F7"/>
  <c r="D7"/>
  <c r="C7"/>
  <c r="C4" s="1"/>
  <c r="G6"/>
  <c r="E6"/>
  <c r="F6"/>
  <c r="D6"/>
  <c r="C6"/>
  <c r="G5"/>
  <c r="F5"/>
  <c r="D5"/>
  <c r="C5"/>
  <c r="S4" i="54"/>
  <c r="R4"/>
  <c r="Q4"/>
  <c r="P4"/>
  <c r="O4"/>
  <c r="N4"/>
  <c r="M4"/>
  <c r="L4"/>
  <c r="K4"/>
  <c r="J4"/>
  <c r="I4"/>
  <c r="H4"/>
  <c r="E18" i="55"/>
  <c r="E26"/>
  <c r="E34"/>
  <c r="E42"/>
  <c r="E50"/>
  <c r="E58"/>
  <c r="E66"/>
  <c r="E74"/>
  <c r="E82"/>
  <c r="E90"/>
  <c r="E98"/>
  <c r="E106"/>
  <c r="E114"/>
  <c r="E122"/>
  <c r="G124" i="54"/>
  <c r="F124"/>
  <c r="D124"/>
  <c r="C124"/>
  <c r="G123"/>
  <c r="F123"/>
  <c r="D123"/>
  <c r="C123"/>
  <c r="G122"/>
  <c r="F122"/>
  <c r="D122"/>
  <c r="C122"/>
  <c r="G121"/>
  <c r="F121"/>
  <c r="D121"/>
  <c r="C121"/>
  <c r="G120"/>
  <c r="F120"/>
  <c r="D120"/>
  <c r="C120"/>
  <c r="G119"/>
  <c r="F119"/>
  <c r="D119"/>
  <c r="C119"/>
  <c r="G118"/>
  <c r="F118"/>
  <c r="D118"/>
  <c r="C118"/>
  <c r="G117"/>
  <c r="F117"/>
  <c r="D117"/>
  <c r="C117"/>
  <c r="G116"/>
  <c r="F116"/>
  <c r="D116"/>
  <c r="C116"/>
  <c r="G115"/>
  <c r="F115"/>
  <c r="D115"/>
  <c r="C115"/>
  <c r="G114"/>
  <c r="F114"/>
  <c r="D114"/>
  <c r="C114"/>
  <c r="G113"/>
  <c r="F113"/>
  <c r="D113"/>
  <c r="C113"/>
  <c r="G112"/>
  <c r="F112"/>
  <c r="D112"/>
  <c r="C112"/>
  <c r="G111"/>
  <c r="F111"/>
  <c r="D111"/>
  <c r="C111"/>
  <c r="G110"/>
  <c r="F110"/>
  <c r="E110" s="1"/>
  <c r="D110"/>
  <c r="C110"/>
  <c r="G109"/>
  <c r="F109"/>
  <c r="D109"/>
  <c r="C109"/>
  <c r="G108"/>
  <c r="F108"/>
  <c r="D108"/>
  <c r="C108"/>
  <c r="G107"/>
  <c r="F107"/>
  <c r="D107"/>
  <c r="C107"/>
  <c r="G106"/>
  <c r="F106"/>
  <c r="D106"/>
  <c r="C106"/>
  <c r="G105"/>
  <c r="F105"/>
  <c r="D105"/>
  <c r="C105"/>
  <c r="G104"/>
  <c r="F104"/>
  <c r="D104"/>
  <c r="C104"/>
  <c r="G103"/>
  <c r="F103"/>
  <c r="D103"/>
  <c r="C103"/>
  <c r="G102"/>
  <c r="F102"/>
  <c r="D102"/>
  <c r="C102"/>
  <c r="G101"/>
  <c r="E101" s="1"/>
  <c r="F101"/>
  <c r="D101"/>
  <c r="C101"/>
  <c r="G100"/>
  <c r="E100"/>
  <c r="F100"/>
  <c r="D100"/>
  <c r="C100"/>
  <c r="G99"/>
  <c r="F99"/>
  <c r="D99"/>
  <c r="C99"/>
  <c r="G98"/>
  <c r="F98"/>
  <c r="D98"/>
  <c r="C98"/>
  <c r="G97"/>
  <c r="F97"/>
  <c r="D97"/>
  <c r="C97"/>
  <c r="G96"/>
  <c r="F96"/>
  <c r="D96"/>
  <c r="C96"/>
  <c r="G95"/>
  <c r="F95"/>
  <c r="D95"/>
  <c r="C95"/>
  <c r="G94"/>
  <c r="F94"/>
  <c r="D94"/>
  <c r="C94"/>
  <c r="G93"/>
  <c r="F93"/>
  <c r="D93"/>
  <c r="C93"/>
  <c r="G92"/>
  <c r="F92"/>
  <c r="D92"/>
  <c r="C92"/>
  <c r="G91"/>
  <c r="F91"/>
  <c r="D91"/>
  <c r="C91"/>
  <c r="G90"/>
  <c r="F90"/>
  <c r="D90"/>
  <c r="C90"/>
  <c r="G89"/>
  <c r="F89"/>
  <c r="D89"/>
  <c r="C89"/>
  <c r="G88"/>
  <c r="F88"/>
  <c r="D88"/>
  <c r="C88"/>
  <c r="G87"/>
  <c r="F87"/>
  <c r="D87"/>
  <c r="C87"/>
  <c r="G86"/>
  <c r="F86"/>
  <c r="D86"/>
  <c r="C86"/>
  <c r="G85"/>
  <c r="F85"/>
  <c r="D85"/>
  <c r="C85"/>
  <c r="G84"/>
  <c r="F84"/>
  <c r="D84"/>
  <c r="C84"/>
  <c r="G83"/>
  <c r="F83"/>
  <c r="D83"/>
  <c r="C83"/>
  <c r="G82"/>
  <c r="F82"/>
  <c r="D82"/>
  <c r="C82"/>
  <c r="G81"/>
  <c r="F81"/>
  <c r="D81"/>
  <c r="C81"/>
  <c r="G80"/>
  <c r="F80"/>
  <c r="D80"/>
  <c r="C80"/>
  <c r="G79"/>
  <c r="F79"/>
  <c r="D79"/>
  <c r="C79"/>
  <c r="G78"/>
  <c r="F78"/>
  <c r="D78"/>
  <c r="C78"/>
  <c r="G77"/>
  <c r="F77"/>
  <c r="D77"/>
  <c r="C77"/>
  <c r="G76"/>
  <c r="F76"/>
  <c r="D76"/>
  <c r="C76"/>
  <c r="G75"/>
  <c r="F75"/>
  <c r="D75"/>
  <c r="C75"/>
  <c r="G74"/>
  <c r="F74"/>
  <c r="D74"/>
  <c r="C74"/>
  <c r="G73"/>
  <c r="F73"/>
  <c r="D73"/>
  <c r="C73"/>
  <c r="G72"/>
  <c r="F72"/>
  <c r="D72"/>
  <c r="C72"/>
  <c r="G71"/>
  <c r="F71"/>
  <c r="D71"/>
  <c r="C71"/>
  <c r="G70"/>
  <c r="F70"/>
  <c r="D70"/>
  <c r="C70"/>
  <c r="G69"/>
  <c r="F69"/>
  <c r="D69"/>
  <c r="C69"/>
  <c r="G68"/>
  <c r="F68"/>
  <c r="D68"/>
  <c r="C68"/>
  <c r="G67"/>
  <c r="F67"/>
  <c r="D67"/>
  <c r="C67"/>
  <c r="G66"/>
  <c r="F66"/>
  <c r="D66"/>
  <c r="C66"/>
  <c r="G65"/>
  <c r="F65"/>
  <c r="D65"/>
  <c r="C65"/>
  <c r="G64"/>
  <c r="F64"/>
  <c r="D64"/>
  <c r="C64"/>
  <c r="G63"/>
  <c r="F63"/>
  <c r="D63"/>
  <c r="C63"/>
  <c r="G62"/>
  <c r="F62"/>
  <c r="D62"/>
  <c r="C62"/>
  <c r="G61"/>
  <c r="F61"/>
  <c r="D61"/>
  <c r="C61"/>
  <c r="G60"/>
  <c r="F60"/>
  <c r="E60"/>
  <c r="D60"/>
  <c r="C60"/>
  <c r="G59"/>
  <c r="F59"/>
  <c r="D59"/>
  <c r="C59"/>
  <c r="G58"/>
  <c r="F58"/>
  <c r="D58"/>
  <c r="C58"/>
  <c r="G57"/>
  <c r="F57"/>
  <c r="D57"/>
  <c r="C57"/>
  <c r="G56"/>
  <c r="F56"/>
  <c r="D56"/>
  <c r="C56"/>
  <c r="G55"/>
  <c r="F55"/>
  <c r="D55"/>
  <c r="C55"/>
  <c r="G54"/>
  <c r="F54"/>
  <c r="D54"/>
  <c r="C54"/>
  <c r="G53"/>
  <c r="F53"/>
  <c r="D53"/>
  <c r="C53"/>
  <c r="G52"/>
  <c r="F52"/>
  <c r="D52"/>
  <c r="C52"/>
  <c r="G51"/>
  <c r="F51"/>
  <c r="D51"/>
  <c r="C51"/>
  <c r="G50"/>
  <c r="F50"/>
  <c r="D50"/>
  <c r="C50"/>
  <c r="G49"/>
  <c r="F49"/>
  <c r="D49"/>
  <c r="C49"/>
  <c r="G48"/>
  <c r="F48"/>
  <c r="D48"/>
  <c r="C48"/>
  <c r="G47"/>
  <c r="F47"/>
  <c r="D47"/>
  <c r="C47"/>
  <c r="G46"/>
  <c r="F46"/>
  <c r="D46"/>
  <c r="C46"/>
  <c r="G45"/>
  <c r="F45"/>
  <c r="D45"/>
  <c r="C45"/>
  <c r="G44"/>
  <c r="F44"/>
  <c r="D44"/>
  <c r="C44"/>
  <c r="G43"/>
  <c r="F43"/>
  <c r="D43"/>
  <c r="C43"/>
  <c r="G42"/>
  <c r="F42"/>
  <c r="D42"/>
  <c r="C42"/>
  <c r="G41"/>
  <c r="F41"/>
  <c r="D41"/>
  <c r="C41"/>
  <c r="G40"/>
  <c r="F40"/>
  <c r="D40"/>
  <c r="C40"/>
  <c r="G39"/>
  <c r="F39"/>
  <c r="D39"/>
  <c r="C39"/>
  <c r="G38"/>
  <c r="F38"/>
  <c r="D38"/>
  <c r="C38"/>
  <c r="G37"/>
  <c r="F37"/>
  <c r="D37"/>
  <c r="C37"/>
  <c r="G36"/>
  <c r="F36"/>
  <c r="D36"/>
  <c r="C36"/>
  <c r="G35"/>
  <c r="F35"/>
  <c r="D35"/>
  <c r="C35"/>
  <c r="G34"/>
  <c r="F34"/>
  <c r="D34"/>
  <c r="C34"/>
  <c r="G33"/>
  <c r="F33"/>
  <c r="D33"/>
  <c r="C33"/>
  <c r="G32"/>
  <c r="F32"/>
  <c r="D32"/>
  <c r="C32"/>
  <c r="G31"/>
  <c r="F31"/>
  <c r="D31"/>
  <c r="C31"/>
  <c r="G30"/>
  <c r="F30"/>
  <c r="E30" s="1"/>
  <c r="D30"/>
  <c r="C30"/>
  <c r="G29"/>
  <c r="F29"/>
  <c r="D29"/>
  <c r="C29"/>
  <c r="G28"/>
  <c r="E28" s="1"/>
  <c r="F28"/>
  <c r="D28"/>
  <c r="C28"/>
  <c r="G27"/>
  <c r="F27"/>
  <c r="D27"/>
  <c r="C27"/>
  <c r="G26"/>
  <c r="F26"/>
  <c r="E26" s="1"/>
  <c r="D26"/>
  <c r="C26"/>
  <c r="G25"/>
  <c r="F25"/>
  <c r="D25"/>
  <c r="C25"/>
  <c r="G24"/>
  <c r="F24"/>
  <c r="D24"/>
  <c r="C24"/>
  <c r="G23"/>
  <c r="F23"/>
  <c r="D23"/>
  <c r="C23"/>
  <c r="G22"/>
  <c r="F22"/>
  <c r="E22"/>
  <c r="D22"/>
  <c r="C22"/>
  <c r="G21"/>
  <c r="F21"/>
  <c r="D21"/>
  <c r="C21"/>
  <c r="G20"/>
  <c r="F20"/>
  <c r="E20" s="1"/>
  <c r="D20"/>
  <c r="C20"/>
  <c r="G19"/>
  <c r="F19"/>
  <c r="D19"/>
  <c r="C19"/>
  <c r="G18"/>
  <c r="E18" s="1"/>
  <c r="F18"/>
  <c r="D18"/>
  <c r="C18"/>
  <c r="G17"/>
  <c r="F17"/>
  <c r="D17"/>
  <c r="C17"/>
  <c r="G16"/>
  <c r="F16"/>
  <c r="D16"/>
  <c r="C16"/>
  <c r="G15"/>
  <c r="F15"/>
  <c r="E15" s="1"/>
  <c r="D15"/>
  <c r="C15"/>
  <c r="G14"/>
  <c r="F14"/>
  <c r="E14"/>
  <c r="D14"/>
  <c r="C14"/>
  <c r="G13"/>
  <c r="F13"/>
  <c r="D13"/>
  <c r="C13"/>
  <c r="G12"/>
  <c r="F12"/>
  <c r="D12"/>
  <c r="C12"/>
  <c r="G11"/>
  <c r="F11"/>
  <c r="D11"/>
  <c r="C11"/>
  <c r="G10"/>
  <c r="F10"/>
  <c r="D10"/>
  <c r="C10"/>
  <c r="G9"/>
  <c r="F9"/>
  <c r="D9"/>
  <c r="C9"/>
  <c r="G8"/>
  <c r="F8"/>
  <c r="D8"/>
  <c r="C8"/>
  <c r="G7"/>
  <c r="F7"/>
  <c r="D7"/>
  <c r="C7"/>
  <c r="G6"/>
  <c r="F6"/>
  <c r="D6"/>
  <c r="C6"/>
  <c r="G5"/>
  <c r="F5"/>
  <c r="D5"/>
  <c r="C5"/>
  <c r="C4" s="1"/>
  <c r="M4" i="53"/>
  <c r="N4"/>
  <c r="C5"/>
  <c r="D7" i="79" s="1"/>
  <c r="L4" i="53"/>
  <c r="K4"/>
  <c r="J4"/>
  <c r="I4"/>
  <c r="H4"/>
  <c r="G124"/>
  <c r="F124"/>
  <c r="D124"/>
  <c r="E126" i="79"/>
  <c r="C124" i="53"/>
  <c r="D126" i="79"/>
  <c r="G123" i="53"/>
  <c r="F123"/>
  <c r="D123"/>
  <c r="E125" i="79"/>
  <c r="C123" i="53"/>
  <c r="D125" i="79"/>
  <c r="G122" i="53"/>
  <c r="F122"/>
  <c r="D122"/>
  <c r="E124" i="79"/>
  <c r="C122" i="53"/>
  <c r="D124" i="79"/>
  <c r="G121" i="53"/>
  <c r="E121"/>
  <c r="F121"/>
  <c r="D121"/>
  <c r="E123" i="79" s="1"/>
  <c r="C121" i="53"/>
  <c r="D123" i="79" s="1"/>
  <c r="G120" i="53"/>
  <c r="F120"/>
  <c r="D120"/>
  <c r="E122" i="79" s="1"/>
  <c r="C120" i="53"/>
  <c r="D122" i="79" s="1"/>
  <c r="G119" i="53"/>
  <c r="F119"/>
  <c r="D119"/>
  <c r="E121" i="79" s="1"/>
  <c r="C119" i="53"/>
  <c r="D121" i="79" s="1"/>
  <c r="G118" i="53"/>
  <c r="E118" s="1"/>
  <c r="F118"/>
  <c r="D118"/>
  <c r="E120" i="79" s="1"/>
  <c r="C118" i="53"/>
  <c r="D120" i="79" s="1"/>
  <c r="G117" i="53"/>
  <c r="F117"/>
  <c r="D117"/>
  <c r="E119" i="79" s="1"/>
  <c r="C117" i="53"/>
  <c r="D119" i="79" s="1"/>
  <c r="G116" i="53"/>
  <c r="E116" s="1"/>
  <c r="F116"/>
  <c r="D116"/>
  <c r="E118" i="79" s="1"/>
  <c r="C116" i="53"/>
  <c r="D118" i="79" s="1"/>
  <c r="G115" i="53"/>
  <c r="F115"/>
  <c r="D115"/>
  <c r="E117" i="79" s="1"/>
  <c r="C115" i="53"/>
  <c r="D117" i="79" s="1"/>
  <c r="G114" i="53"/>
  <c r="F114"/>
  <c r="D114"/>
  <c r="E116" i="79" s="1"/>
  <c r="C114" i="53"/>
  <c r="D116" i="79" s="1"/>
  <c r="G113" i="53"/>
  <c r="F113"/>
  <c r="D113"/>
  <c r="E115" i="79" s="1"/>
  <c r="C113" i="53"/>
  <c r="D115" i="79" s="1"/>
  <c r="G112" i="53"/>
  <c r="F112"/>
  <c r="D112"/>
  <c r="E114" i="79" s="1"/>
  <c r="C112" i="53"/>
  <c r="D114" i="79" s="1"/>
  <c r="G111" i="53"/>
  <c r="F111"/>
  <c r="D111"/>
  <c r="E113" i="79" s="1"/>
  <c r="C111" i="53"/>
  <c r="D113" i="79" s="1"/>
  <c r="G110" i="53"/>
  <c r="F110"/>
  <c r="D110"/>
  <c r="E112" i="79" s="1"/>
  <c r="C110" i="53"/>
  <c r="D112" i="79" s="1"/>
  <c r="G109" i="53"/>
  <c r="E109" s="1"/>
  <c r="F109"/>
  <c r="D109"/>
  <c r="E111" i="79" s="1"/>
  <c r="C109" i="53"/>
  <c r="D111" i="79" s="1"/>
  <c r="G108" i="53"/>
  <c r="E108" s="1"/>
  <c r="F108"/>
  <c r="D108"/>
  <c r="E110" i="79" s="1"/>
  <c r="C108" i="53"/>
  <c r="D110" i="79" s="1"/>
  <c r="G107" i="53"/>
  <c r="F107"/>
  <c r="D107"/>
  <c r="E109" i="79" s="1"/>
  <c r="C107" i="53"/>
  <c r="D109" i="79" s="1"/>
  <c r="G106" i="53"/>
  <c r="F106"/>
  <c r="E106"/>
  <c r="D106"/>
  <c r="E108" i="79"/>
  <c r="C106" i="53"/>
  <c r="D108" i="79"/>
  <c r="G105" i="53"/>
  <c r="F105"/>
  <c r="D105"/>
  <c r="E107" i="79"/>
  <c r="C105" i="53"/>
  <c r="D107" i="79"/>
  <c r="G104" i="53"/>
  <c r="F104"/>
  <c r="D104"/>
  <c r="E106" i="79"/>
  <c r="C104" i="53"/>
  <c r="D106" i="79"/>
  <c r="G103" i="53"/>
  <c r="F103"/>
  <c r="D103"/>
  <c r="E105" i="79"/>
  <c r="C103" i="53"/>
  <c r="D105" i="79"/>
  <c r="G102" i="53"/>
  <c r="F102"/>
  <c r="D102"/>
  <c r="E104" i="79"/>
  <c r="C102" i="53"/>
  <c r="D104" i="79"/>
  <c r="G101" i="53"/>
  <c r="F101"/>
  <c r="E101" s="1"/>
  <c r="D101"/>
  <c r="E103" i="79"/>
  <c r="C101" i="53"/>
  <c r="D103" i="79"/>
  <c r="G100" i="53"/>
  <c r="F100"/>
  <c r="E100" s="1"/>
  <c r="D100"/>
  <c r="E102" i="79"/>
  <c r="C100" i="53"/>
  <c r="D102" i="79"/>
  <c r="G99" i="53"/>
  <c r="F99"/>
  <c r="D99"/>
  <c r="E101" i="79"/>
  <c r="C99" i="53"/>
  <c r="D101" i="79"/>
  <c r="G98" i="53"/>
  <c r="F98"/>
  <c r="D98"/>
  <c r="E100" i="79"/>
  <c r="C98" i="53"/>
  <c r="D100" i="79"/>
  <c r="G97" i="53"/>
  <c r="F97"/>
  <c r="E97" s="1"/>
  <c r="D97"/>
  <c r="E99" i="79"/>
  <c r="C97" i="53"/>
  <c r="D99" i="79"/>
  <c r="G96" i="53"/>
  <c r="F96"/>
  <c r="D96"/>
  <c r="E98" i="79"/>
  <c r="C96" i="53"/>
  <c r="D98" i="79"/>
  <c r="G95" i="53"/>
  <c r="F95"/>
  <c r="E95" s="1"/>
  <c r="D95"/>
  <c r="E97" i="79"/>
  <c r="C95" i="53"/>
  <c r="D97" i="79"/>
  <c r="G94" i="53"/>
  <c r="F94"/>
  <c r="D94"/>
  <c r="E96" i="79"/>
  <c r="C94" i="53"/>
  <c r="D96" i="79"/>
  <c r="G93" i="53"/>
  <c r="F93"/>
  <c r="E93" s="1"/>
  <c r="D93"/>
  <c r="E95" i="79"/>
  <c r="C93" i="53"/>
  <c r="D95" i="79"/>
  <c r="G92" i="53"/>
  <c r="F92"/>
  <c r="D92"/>
  <c r="E94" i="79"/>
  <c r="C92" i="53"/>
  <c r="D94" i="79"/>
  <c r="G91" i="53"/>
  <c r="F91"/>
  <c r="D91"/>
  <c r="E93" i="79"/>
  <c r="C91" i="53"/>
  <c r="D93" i="79"/>
  <c r="G90" i="53"/>
  <c r="F90"/>
  <c r="D90"/>
  <c r="E92" i="79"/>
  <c r="C90" i="53"/>
  <c r="D92" i="79"/>
  <c r="G89" i="53"/>
  <c r="F89"/>
  <c r="D89"/>
  <c r="E91" i="79"/>
  <c r="C89" i="53"/>
  <c r="D91" i="79"/>
  <c r="G88" i="53"/>
  <c r="F88"/>
  <c r="E88" s="1"/>
  <c r="D88"/>
  <c r="E90" i="79"/>
  <c r="C88" i="53"/>
  <c r="D90" i="79"/>
  <c r="G87" i="53"/>
  <c r="F87"/>
  <c r="D87"/>
  <c r="E89" i="79"/>
  <c r="C87" i="53"/>
  <c r="D89" i="79"/>
  <c r="G86" i="53"/>
  <c r="F86"/>
  <c r="D86"/>
  <c r="E88" i="79"/>
  <c r="C86" i="53"/>
  <c r="D88" i="79"/>
  <c r="G85" i="53"/>
  <c r="F85"/>
  <c r="E85" s="1"/>
  <c r="D85"/>
  <c r="E87" i="79"/>
  <c r="C85" i="53"/>
  <c r="D87" i="79"/>
  <c r="G84" i="53"/>
  <c r="F84"/>
  <c r="D84"/>
  <c r="E86" i="79"/>
  <c r="C84" i="53"/>
  <c r="D86" i="79"/>
  <c r="G83" i="53"/>
  <c r="F83"/>
  <c r="D83"/>
  <c r="E85" i="79"/>
  <c r="C83" i="53"/>
  <c r="D85" i="79"/>
  <c r="G82" i="53"/>
  <c r="F82"/>
  <c r="E82" s="1"/>
  <c r="D82"/>
  <c r="E84" i="79" s="1"/>
  <c r="C82" i="53"/>
  <c r="D84" i="79" s="1"/>
  <c r="G81" i="53"/>
  <c r="F81"/>
  <c r="E81"/>
  <c r="D81"/>
  <c r="E83" i="79"/>
  <c r="C81" i="53"/>
  <c r="D83" i="79"/>
  <c r="G80" i="53"/>
  <c r="F80"/>
  <c r="E80" s="1"/>
  <c r="D80"/>
  <c r="E82" i="79"/>
  <c r="C80" i="53"/>
  <c r="D82" i="79"/>
  <c r="G79" i="53"/>
  <c r="F79"/>
  <c r="D79"/>
  <c r="E81" i="79"/>
  <c r="C79" i="53"/>
  <c r="D81" i="79"/>
  <c r="G78" i="53"/>
  <c r="F78"/>
  <c r="D78"/>
  <c r="E80" i="79"/>
  <c r="C78" i="53"/>
  <c r="D80" i="79"/>
  <c r="G77" i="53"/>
  <c r="F77"/>
  <c r="E77" s="1"/>
  <c r="D77"/>
  <c r="E79" i="79"/>
  <c r="C77" i="53"/>
  <c r="D79" i="79"/>
  <c r="G76" i="53"/>
  <c r="F76"/>
  <c r="D76"/>
  <c r="E78" i="79"/>
  <c r="C76" i="53"/>
  <c r="D78" i="79"/>
  <c r="G75" i="53"/>
  <c r="F75"/>
  <c r="D75"/>
  <c r="E77" i="79"/>
  <c r="C75" i="53"/>
  <c r="D77" i="79"/>
  <c r="G74" i="53"/>
  <c r="F74"/>
  <c r="D74"/>
  <c r="E76" i="79"/>
  <c r="C74" i="53"/>
  <c r="D76" i="79"/>
  <c r="G73" i="53"/>
  <c r="F73"/>
  <c r="D73"/>
  <c r="E75" i="79"/>
  <c r="C73" i="53"/>
  <c r="D75" i="79"/>
  <c r="G72" i="53"/>
  <c r="F72"/>
  <c r="E72" s="1"/>
  <c r="D72"/>
  <c r="E74" i="79"/>
  <c r="C72" i="53"/>
  <c r="D74" i="79"/>
  <c r="G71" i="53"/>
  <c r="F71"/>
  <c r="D71"/>
  <c r="E73" i="79"/>
  <c r="C71" i="53"/>
  <c r="D73" i="79"/>
  <c r="G70" i="53"/>
  <c r="F70"/>
  <c r="D70"/>
  <c r="E72" i="79"/>
  <c r="C70" i="53"/>
  <c r="D72" i="79"/>
  <c r="G69" i="53"/>
  <c r="F69"/>
  <c r="E69" s="1"/>
  <c r="D69"/>
  <c r="E71" i="79"/>
  <c r="C69" i="53"/>
  <c r="D71" i="79"/>
  <c r="G68" i="53"/>
  <c r="F68"/>
  <c r="D68"/>
  <c r="E70" i="79"/>
  <c r="C68" i="53"/>
  <c r="D70" i="79"/>
  <c r="G67" i="53"/>
  <c r="F67"/>
  <c r="D67"/>
  <c r="E69" i="79"/>
  <c r="C67" i="53"/>
  <c r="D69" i="79"/>
  <c r="G66" i="53"/>
  <c r="E66"/>
  <c r="F66"/>
  <c r="D66"/>
  <c r="E68" i="79" s="1"/>
  <c r="C66" i="53"/>
  <c r="D68" i="79" s="1"/>
  <c r="G65" i="53"/>
  <c r="E65" s="1"/>
  <c r="F65"/>
  <c r="D65"/>
  <c r="E67" i="79"/>
  <c r="C65" i="53"/>
  <c r="D67" i="79"/>
  <c r="G64" i="53"/>
  <c r="F64"/>
  <c r="E64" s="1"/>
  <c r="D64"/>
  <c r="E66" i="79"/>
  <c r="C64" i="53"/>
  <c r="D66" i="79"/>
  <c r="G63" i="53"/>
  <c r="F63"/>
  <c r="D63"/>
  <c r="E65" i="79"/>
  <c r="C63" i="53"/>
  <c r="D65" i="79"/>
  <c r="G62" i="53"/>
  <c r="F62"/>
  <c r="D62"/>
  <c r="E64" i="79"/>
  <c r="C62" i="53"/>
  <c r="D64" i="79"/>
  <c r="G61" i="53"/>
  <c r="F61"/>
  <c r="E61" s="1"/>
  <c r="D61"/>
  <c r="E63" i="79"/>
  <c r="C61" i="53"/>
  <c r="D63" i="79"/>
  <c r="G60" i="53"/>
  <c r="F60"/>
  <c r="D60"/>
  <c r="E62" i="79"/>
  <c r="C60" i="53"/>
  <c r="D62" i="79"/>
  <c r="G59" i="53"/>
  <c r="F59"/>
  <c r="D59"/>
  <c r="E61" i="79"/>
  <c r="C59" i="53"/>
  <c r="D61" i="79"/>
  <c r="G58" i="53"/>
  <c r="F58"/>
  <c r="D58"/>
  <c r="E60" i="79"/>
  <c r="C58" i="53"/>
  <c r="D60" i="79"/>
  <c r="G57" i="53"/>
  <c r="F57"/>
  <c r="D57"/>
  <c r="E59" i="79"/>
  <c r="C57" i="53"/>
  <c r="D59" i="79"/>
  <c r="G56" i="53"/>
  <c r="F56"/>
  <c r="E56" s="1"/>
  <c r="D56"/>
  <c r="E58" i="79"/>
  <c r="C56" i="53"/>
  <c r="D58" i="79"/>
  <c r="G55" i="53"/>
  <c r="F55"/>
  <c r="D55"/>
  <c r="E57" i="79"/>
  <c r="C55" i="53"/>
  <c r="D57" i="79"/>
  <c r="G54" i="53"/>
  <c r="F54"/>
  <c r="D54"/>
  <c r="E56" i="79"/>
  <c r="C54" i="53"/>
  <c r="D56" i="79"/>
  <c r="G53" i="53"/>
  <c r="F53"/>
  <c r="E53" s="1"/>
  <c r="D53"/>
  <c r="E55" i="79"/>
  <c r="C53" i="53"/>
  <c r="D55" i="79"/>
  <c r="G52" i="53"/>
  <c r="F52"/>
  <c r="D52"/>
  <c r="E54" i="79"/>
  <c r="C52" i="53"/>
  <c r="D54" i="79"/>
  <c r="G51" i="53"/>
  <c r="F51"/>
  <c r="D51"/>
  <c r="E53" i="79"/>
  <c r="C51" i="53"/>
  <c r="D53" i="79"/>
  <c r="G50" i="53"/>
  <c r="F50"/>
  <c r="D50"/>
  <c r="E52" i="79"/>
  <c r="C50" i="53"/>
  <c r="D52" i="79"/>
  <c r="G49" i="53"/>
  <c r="F49"/>
  <c r="D49"/>
  <c r="E51" i="79"/>
  <c r="C49" i="53"/>
  <c r="D51" i="79"/>
  <c r="G48" i="53"/>
  <c r="F48"/>
  <c r="E48" s="1"/>
  <c r="D48"/>
  <c r="E50" i="79"/>
  <c r="C48" i="53"/>
  <c r="D50" i="79"/>
  <c r="G47" i="53"/>
  <c r="F47"/>
  <c r="D47"/>
  <c r="E49" i="79"/>
  <c r="C47" i="53"/>
  <c r="D49" i="79"/>
  <c r="G46" i="53"/>
  <c r="F46"/>
  <c r="D46"/>
  <c r="E48" i="79"/>
  <c r="C46" i="53"/>
  <c r="D48" i="79"/>
  <c r="G45" i="53"/>
  <c r="F45"/>
  <c r="D45"/>
  <c r="E47" i="79"/>
  <c r="C45" i="53"/>
  <c r="D47" i="79"/>
  <c r="G44" i="53"/>
  <c r="F44"/>
  <c r="D44"/>
  <c r="E46" i="79"/>
  <c r="C44" i="53"/>
  <c r="D46" i="79"/>
  <c r="G43" i="53"/>
  <c r="F43"/>
  <c r="D43"/>
  <c r="E45" i="79"/>
  <c r="C43" i="53"/>
  <c r="D45" i="79"/>
  <c r="G42" i="53"/>
  <c r="F42"/>
  <c r="D42"/>
  <c r="E44" i="79"/>
  <c r="C42" i="53"/>
  <c r="D44" i="79"/>
  <c r="G41" i="53"/>
  <c r="F41"/>
  <c r="D41"/>
  <c r="E43" i="79"/>
  <c r="C41" i="53"/>
  <c r="D43" i="79"/>
  <c r="G40" i="53"/>
  <c r="F40"/>
  <c r="D40"/>
  <c r="E42" i="79"/>
  <c r="C40" i="53"/>
  <c r="D42" i="79"/>
  <c r="G39" i="53"/>
  <c r="F39"/>
  <c r="D39"/>
  <c r="E41" i="79"/>
  <c r="C39" i="53"/>
  <c r="D41" i="79"/>
  <c r="G38" i="53"/>
  <c r="F38"/>
  <c r="D38"/>
  <c r="E40" i="79"/>
  <c r="C38" i="53"/>
  <c r="D40" i="79"/>
  <c r="G37" i="53"/>
  <c r="F37"/>
  <c r="D37"/>
  <c r="E39" i="79"/>
  <c r="C37" i="53"/>
  <c r="D39" i="79"/>
  <c r="G36" i="53"/>
  <c r="F36"/>
  <c r="D36"/>
  <c r="E38" i="79"/>
  <c r="C36" i="53"/>
  <c r="D38" i="79"/>
  <c r="G35" i="53"/>
  <c r="F35"/>
  <c r="D35"/>
  <c r="E37" i="79"/>
  <c r="C35" i="53"/>
  <c r="D37" i="79"/>
  <c r="G34" i="53"/>
  <c r="F34"/>
  <c r="D34"/>
  <c r="E36" i="79"/>
  <c r="C34" i="53"/>
  <c r="D36" i="79"/>
  <c r="G33" i="53"/>
  <c r="F33"/>
  <c r="D33"/>
  <c r="E35" i="79"/>
  <c r="C33" i="53"/>
  <c r="D35" i="79"/>
  <c r="G32" i="53"/>
  <c r="F32"/>
  <c r="E32" s="1"/>
  <c r="D32"/>
  <c r="E34" i="79"/>
  <c r="C32" i="53"/>
  <c r="D34" i="79"/>
  <c r="G31" i="53"/>
  <c r="F31"/>
  <c r="D31"/>
  <c r="E33" i="79"/>
  <c r="C31" i="53"/>
  <c r="D33" i="79"/>
  <c r="G30" i="53"/>
  <c r="F30"/>
  <c r="D30"/>
  <c r="E32" i="79"/>
  <c r="C30" i="53"/>
  <c r="D32" i="79"/>
  <c r="G29" i="53"/>
  <c r="F29"/>
  <c r="D29"/>
  <c r="E31" i="79"/>
  <c r="C29" i="53"/>
  <c r="D31" i="79"/>
  <c r="G28" i="53"/>
  <c r="F28"/>
  <c r="D28"/>
  <c r="E30" i="79"/>
  <c r="C28" i="53"/>
  <c r="D30" i="79"/>
  <c r="G27" i="53"/>
  <c r="F27"/>
  <c r="D27"/>
  <c r="E29" i="79"/>
  <c r="C27" i="53"/>
  <c r="D29" i="79"/>
  <c r="G26" i="53"/>
  <c r="F26"/>
  <c r="D26"/>
  <c r="E28" i="79"/>
  <c r="C26" i="53"/>
  <c r="D28" i="79"/>
  <c r="G25" i="53"/>
  <c r="F25"/>
  <c r="D25"/>
  <c r="E27" i="79"/>
  <c r="C25" i="53"/>
  <c r="D27" i="79"/>
  <c r="G24" i="53"/>
  <c r="F24"/>
  <c r="D24"/>
  <c r="E26" i="79"/>
  <c r="C24" i="53"/>
  <c r="D26" i="79"/>
  <c r="G23" i="53"/>
  <c r="F23"/>
  <c r="D23"/>
  <c r="E25" i="79"/>
  <c r="C23" i="53"/>
  <c r="D25" i="79"/>
  <c r="G22" i="53"/>
  <c r="F22"/>
  <c r="E22" s="1"/>
  <c r="D22"/>
  <c r="E24" i="79"/>
  <c r="C22" i="53"/>
  <c r="D24" i="79"/>
  <c r="G21" i="53"/>
  <c r="F21"/>
  <c r="D21"/>
  <c r="E23" i="79"/>
  <c r="C21" i="53"/>
  <c r="D23" i="79"/>
  <c r="G20" i="53"/>
  <c r="F20"/>
  <c r="E20" s="1"/>
  <c r="D20"/>
  <c r="E22" i="79"/>
  <c r="C20" i="53"/>
  <c r="D22" i="79"/>
  <c r="G19" i="53"/>
  <c r="F19"/>
  <c r="D19"/>
  <c r="E21" i="79"/>
  <c r="C19" i="53"/>
  <c r="D21" i="79"/>
  <c r="G18" i="53"/>
  <c r="F18"/>
  <c r="D18"/>
  <c r="E20" i="79"/>
  <c r="C18" i="53"/>
  <c r="D20" i="79"/>
  <c r="G17" i="53"/>
  <c r="F17"/>
  <c r="D17"/>
  <c r="E19" i="79"/>
  <c r="C17" i="53"/>
  <c r="D19" i="79"/>
  <c r="G16" i="53"/>
  <c r="F16"/>
  <c r="E16" s="1"/>
  <c r="D16"/>
  <c r="E18" i="79"/>
  <c r="C16" i="53"/>
  <c r="D18" i="79"/>
  <c r="G15" i="53"/>
  <c r="F15"/>
  <c r="D15"/>
  <c r="E17" i="79"/>
  <c r="C15" i="53"/>
  <c r="D17" i="79"/>
  <c r="G14" i="53"/>
  <c r="F14"/>
  <c r="D14"/>
  <c r="E16" i="79"/>
  <c r="C14" i="53"/>
  <c r="D16" i="79"/>
  <c r="G13" i="53"/>
  <c r="F13"/>
  <c r="D13"/>
  <c r="E15" i="79"/>
  <c r="C13" i="53"/>
  <c r="D15" i="79"/>
  <c r="G12" i="53"/>
  <c r="F12"/>
  <c r="D12"/>
  <c r="E14" i="79"/>
  <c r="C12" i="53"/>
  <c r="D14" i="79"/>
  <c r="G11" i="53"/>
  <c r="F11"/>
  <c r="D11"/>
  <c r="E13" i="79"/>
  <c r="C11" i="53"/>
  <c r="D13" i="79"/>
  <c r="G10" i="53"/>
  <c r="F10"/>
  <c r="D10"/>
  <c r="E12" i="79"/>
  <c r="C10" i="53"/>
  <c r="D12" i="79"/>
  <c r="G9" i="53"/>
  <c r="F9"/>
  <c r="D9"/>
  <c r="E11" i="79"/>
  <c r="C9" i="53"/>
  <c r="D11" i="79"/>
  <c r="G8" i="53"/>
  <c r="F8"/>
  <c r="D8"/>
  <c r="E10" i="79"/>
  <c r="C8" i="53"/>
  <c r="D10" i="79"/>
  <c r="G7" i="53"/>
  <c r="F7"/>
  <c r="D7"/>
  <c r="E9" i="79"/>
  <c r="C7" i="53"/>
  <c r="D9" i="79"/>
  <c r="G6" i="53"/>
  <c r="F6"/>
  <c r="E6" s="1"/>
  <c r="D6"/>
  <c r="E8" i="79"/>
  <c r="C6" i="53"/>
  <c r="D8" i="79"/>
  <c r="G5" i="53"/>
  <c r="G4"/>
  <c r="F5"/>
  <c r="D5"/>
  <c r="E7" i="79" s="1"/>
  <c r="E38" i="53"/>
  <c r="E54"/>
  <c r="E62"/>
  <c r="E70"/>
  <c r="E78"/>
  <c r="E86"/>
  <c r="E94"/>
  <c r="E96"/>
  <c r="E99"/>
  <c r="E102"/>
  <c r="E110"/>
  <c r="F112" i="79" s="1"/>
  <c r="E117" i="53"/>
  <c r="E98"/>
  <c r="E44"/>
  <c r="E52"/>
  <c r="E60"/>
  <c r="E68"/>
  <c r="E76"/>
  <c r="E84"/>
  <c r="E92"/>
  <c r="E104"/>
  <c r="E112"/>
  <c r="E120"/>
  <c r="E5" i="52"/>
  <c r="D5"/>
  <c r="C5"/>
  <c r="O124" i="25"/>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AD4"/>
  <c r="O4" s="1"/>
  <c r="I36" i="1" s="1"/>
  <c r="AC4" i="25"/>
  <c r="M124" i="32"/>
  <c r="N126" i="24"/>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N32"/>
  <c r="N31"/>
  <c r="N30"/>
  <c r="N29"/>
  <c r="N28"/>
  <c r="N27"/>
  <c r="N26"/>
  <c r="N25"/>
  <c r="N24"/>
  <c r="N23"/>
  <c r="N22"/>
  <c r="N21"/>
  <c r="N20"/>
  <c r="N19"/>
  <c r="N18"/>
  <c r="N17"/>
  <c r="N16"/>
  <c r="N15"/>
  <c r="N14"/>
  <c r="N13"/>
  <c r="N12"/>
  <c r="N11"/>
  <c r="N10"/>
  <c r="N9"/>
  <c r="N8"/>
  <c r="N7"/>
  <c r="D125" i="46"/>
  <c r="C123"/>
  <c r="F122"/>
  <c r="E122"/>
  <c r="D122"/>
  <c r="F121"/>
  <c r="E121"/>
  <c r="D121"/>
  <c r="F120"/>
  <c r="E120"/>
  <c r="D120"/>
  <c r="F119"/>
  <c r="E119"/>
  <c r="D119"/>
  <c r="F118"/>
  <c r="E118"/>
  <c r="D118"/>
  <c r="F117"/>
  <c r="E117"/>
  <c r="D117"/>
  <c r="F116"/>
  <c r="E116"/>
  <c r="D116"/>
  <c r="F115"/>
  <c r="E115"/>
  <c r="D115"/>
  <c r="F114"/>
  <c r="E114"/>
  <c r="D114"/>
  <c r="F113"/>
  <c r="E113"/>
  <c r="D113"/>
  <c r="F112"/>
  <c r="E112"/>
  <c r="D112"/>
  <c r="F111"/>
  <c r="E111"/>
  <c r="D111"/>
  <c r="F110"/>
  <c r="E110"/>
  <c r="D110"/>
  <c r="F109"/>
  <c r="E109"/>
  <c r="D109"/>
  <c r="F108"/>
  <c r="E108"/>
  <c r="D108"/>
  <c r="F107"/>
  <c r="E107"/>
  <c r="D107"/>
  <c r="F106"/>
  <c r="E106"/>
  <c r="D106"/>
  <c r="F105"/>
  <c r="E105"/>
  <c r="D105"/>
  <c r="F104"/>
  <c r="E104"/>
  <c r="D104"/>
  <c r="F103"/>
  <c r="E103"/>
  <c r="D103"/>
  <c r="F102"/>
  <c r="E102"/>
  <c r="D102"/>
  <c r="F101"/>
  <c r="E101"/>
  <c r="D101"/>
  <c r="F100"/>
  <c r="E100"/>
  <c r="D100"/>
  <c r="F99"/>
  <c r="E99"/>
  <c r="D99"/>
  <c r="F98"/>
  <c r="E98"/>
  <c r="D98"/>
  <c r="F97"/>
  <c r="E97"/>
  <c r="D97"/>
  <c r="F96"/>
  <c r="E96"/>
  <c r="D96"/>
  <c r="F95"/>
  <c r="E95"/>
  <c r="D95"/>
  <c r="F94"/>
  <c r="E94"/>
  <c r="D94"/>
  <c r="F93"/>
  <c r="E93"/>
  <c r="D93"/>
  <c r="F92"/>
  <c r="E92"/>
  <c r="D92"/>
  <c r="F91"/>
  <c r="E91"/>
  <c r="D91"/>
  <c r="F90"/>
  <c r="E90"/>
  <c r="D90"/>
  <c r="F89"/>
  <c r="E89"/>
  <c r="D89"/>
  <c r="F88"/>
  <c r="E88"/>
  <c r="D88"/>
  <c r="F87"/>
  <c r="E87"/>
  <c r="D87"/>
  <c r="F86"/>
  <c r="E86"/>
  <c r="D86"/>
  <c r="F85"/>
  <c r="E85"/>
  <c r="D85"/>
  <c r="F84"/>
  <c r="E84"/>
  <c r="D84"/>
  <c r="F83"/>
  <c r="E83"/>
  <c r="D83"/>
  <c r="F82"/>
  <c r="E82"/>
  <c r="D82"/>
  <c r="F81"/>
  <c r="E81"/>
  <c r="D81"/>
  <c r="F80"/>
  <c r="E80"/>
  <c r="D80"/>
  <c r="F79"/>
  <c r="E79"/>
  <c r="D79"/>
  <c r="F78"/>
  <c r="E78"/>
  <c r="D78"/>
  <c r="F77"/>
  <c r="E77"/>
  <c r="D77"/>
  <c r="F76"/>
  <c r="E76"/>
  <c r="D76"/>
  <c r="F75"/>
  <c r="E75"/>
  <c r="D75"/>
  <c r="F74"/>
  <c r="E74"/>
  <c r="D74"/>
  <c r="F73"/>
  <c r="E73"/>
  <c r="D73"/>
  <c r="F72"/>
  <c r="E72"/>
  <c r="D72"/>
  <c r="F71"/>
  <c r="E71"/>
  <c r="D71"/>
  <c r="F70"/>
  <c r="E70"/>
  <c r="D70"/>
  <c r="F69"/>
  <c r="E69"/>
  <c r="D69"/>
  <c r="F68"/>
  <c r="E68"/>
  <c r="D68"/>
  <c r="F67"/>
  <c r="E67"/>
  <c r="D67"/>
  <c r="F66"/>
  <c r="E66"/>
  <c r="D66"/>
  <c r="F65"/>
  <c r="E65"/>
  <c r="D65"/>
  <c r="F64"/>
  <c r="E64"/>
  <c r="D64"/>
  <c r="F63"/>
  <c r="E63"/>
  <c r="D63"/>
  <c r="F62"/>
  <c r="E62"/>
  <c r="D62"/>
  <c r="F61"/>
  <c r="E61"/>
  <c r="D61"/>
  <c r="F60"/>
  <c r="E60"/>
  <c r="D60"/>
  <c r="F59"/>
  <c r="E59"/>
  <c r="D59"/>
  <c r="F58"/>
  <c r="E58"/>
  <c r="D58"/>
  <c r="F57"/>
  <c r="E57"/>
  <c r="D57"/>
  <c r="F56"/>
  <c r="E56"/>
  <c r="D56"/>
  <c r="F55"/>
  <c r="E55"/>
  <c r="D55"/>
  <c r="F54"/>
  <c r="E54"/>
  <c r="D54"/>
  <c r="F53"/>
  <c r="E53"/>
  <c r="D53"/>
  <c r="F52"/>
  <c r="E52"/>
  <c r="D52"/>
  <c r="F51"/>
  <c r="E51"/>
  <c r="D51"/>
  <c r="F50"/>
  <c r="E50"/>
  <c r="D50"/>
  <c r="F49"/>
  <c r="E49"/>
  <c r="D49"/>
  <c r="F48"/>
  <c r="E48"/>
  <c r="D48"/>
  <c r="F47"/>
  <c r="E47"/>
  <c r="D47"/>
  <c r="F46"/>
  <c r="E46"/>
  <c r="D46"/>
  <c r="F45"/>
  <c r="E45"/>
  <c r="D45"/>
  <c r="F44"/>
  <c r="E44"/>
  <c r="D44"/>
  <c r="F43"/>
  <c r="E43"/>
  <c r="D43"/>
  <c r="F42"/>
  <c r="E42"/>
  <c r="D42"/>
  <c r="F41"/>
  <c r="E41"/>
  <c r="D41"/>
  <c r="F40"/>
  <c r="E40"/>
  <c r="D40"/>
  <c r="F39"/>
  <c r="E39"/>
  <c r="D39"/>
  <c r="F38"/>
  <c r="E38"/>
  <c r="D38"/>
  <c r="F37"/>
  <c r="E37"/>
  <c r="D37"/>
  <c r="F36"/>
  <c r="E36"/>
  <c r="D36"/>
  <c r="F35"/>
  <c r="E35"/>
  <c r="D35"/>
  <c r="F34"/>
  <c r="E34"/>
  <c r="D34"/>
  <c r="F33"/>
  <c r="E33"/>
  <c r="D33"/>
  <c r="F32"/>
  <c r="E32"/>
  <c r="D32"/>
  <c r="F31"/>
  <c r="E31"/>
  <c r="D31"/>
  <c r="F30"/>
  <c r="E30"/>
  <c r="D30"/>
  <c r="F29"/>
  <c r="E29"/>
  <c r="D29"/>
  <c r="F28"/>
  <c r="E28"/>
  <c r="D28"/>
  <c r="F27"/>
  <c r="E27"/>
  <c r="D27"/>
  <c r="F26"/>
  <c r="E26"/>
  <c r="D26"/>
  <c r="F25"/>
  <c r="E25"/>
  <c r="D25"/>
  <c r="F24"/>
  <c r="E24"/>
  <c r="D24"/>
  <c r="F23"/>
  <c r="E23"/>
  <c r="D23"/>
  <c r="F22"/>
  <c r="E22"/>
  <c r="D22"/>
  <c r="F21"/>
  <c r="E21"/>
  <c r="D21"/>
  <c r="F20"/>
  <c r="E20"/>
  <c r="D20"/>
  <c r="F19"/>
  <c r="E19"/>
  <c r="D19"/>
  <c r="F18"/>
  <c r="E18"/>
  <c r="D18"/>
  <c r="F17"/>
  <c r="E17"/>
  <c r="D17"/>
  <c r="F16"/>
  <c r="E16"/>
  <c r="D16"/>
  <c r="F15"/>
  <c r="E15"/>
  <c r="D15"/>
  <c r="F14"/>
  <c r="E14"/>
  <c r="D14"/>
  <c r="F13"/>
  <c r="E13"/>
  <c r="D13"/>
  <c r="F12"/>
  <c r="E12"/>
  <c r="D12"/>
  <c r="F11"/>
  <c r="E11"/>
  <c r="D11"/>
  <c r="F10"/>
  <c r="E10"/>
  <c r="D10"/>
  <c r="F9"/>
  <c r="E9"/>
  <c r="D9"/>
  <c r="F8"/>
  <c r="E8"/>
  <c r="D8"/>
  <c r="F7"/>
  <c r="E7"/>
  <c r="D7"/>
  <c r="F6"/>
  <c r="E6"/>
  <c r="D6"/>
  <c r="F5"/>
  <c r="E5"/>
  <c r="D5"/>
  <c r="F4"/>
  <c r="E4"/>
  <c r="D4"/>
  <c r="F3"/>
  <c r="E3"/>
  <c r="E123"/>
  <c r="D3"/>
  <c r="C7" i="41"/>
  <c r="O124" i="36"/>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O7"/>
  <c r="O6"/>
  <c r="O5"/>
  <c r="W123" i="41"/>
  <c r="S123"/>
  <c r="O123"/>
  <c r="W122"/>
  <c r="S122"/>
  <c r="O122"/>
  <c r="W121"/>
  <c r="S121"/>
  <c r="O121"/>
  <c r="W120"/>
  <c r="S120"/>
  <c r="O120"/>
  <c r="W119"/>
  <c r="S119"/>
  <c r="O119"/>
  <c r="W118"/>
  <c r="S118"/>
  <c r="O118"/>
  <c r="W117"/>
  <c r="S117"/>
  <c r="O117"/>
  <c r="W116"/>
  <c r="S116"/>
  <c r="O116"/>
  <c r="W115"/>
  <c r="S115"/>
  <c r="O115"/>
  <c r="W114"/>
  <c r="S114"/>
  <c r="O114"/>
  <c r="W113"/>
  <c r="S113"/>
  <c r="O113"/>
  <c r="W112"/>
  <c r="S112"/>
  <c r="O112"/>
  <c r="W111"/>
  <c r="S111"/>
  <c r="O111"/>
  <c r="W110"/>
  <c r="S110"/>
  <c r="O110"/>
  <c r="W109"/>
  <c r="S109"/>
  <c r="O109"/>
  <c r="W108"/>
  <c r="S108"/>
  <c r="O108"/>
  <c r="W107"/>
  <c r="S107"/>
  <c r="O107"/>
  <c r="W106"/>
  <c r="S106"/>
  <c r="O106"/>
  <c r="W105"/>
  <c r="S105"/>
  <c r="O105"/>
  <c r="W104"/>
  <c r="S104"/>
  <c r="O104"/>
  <c r="W103"/>
  <c r="S103"/>
  <c r="O103"/>
  <c r="W102"/>
  <c r="S102"/>
  <c r="O102"/>
  <c r="W101"/>
  <c r="S101"/>
  <c r="O101"/>
  <c r="W100"/>
  <c r="S100"/>
  <c r="O100"/>
  <c r="W99"/>
  <c r="S99"/>
  <c r="O99"/>
  <c r="W98"/>
  <c r="S98"/>
  <c r="O98"/>
  <c r="W97"/>
  <c r="S97"/>
  <c r="O97"/>
  <c r="W96"/>
  <c r="S96"/>
  <c r="O96"/>
  <c r="W95"/>
  <c r="S95"/>
  <c r="O95"/>
  <c r="W94"/>
  <c r="S94"/>
  <c r="O94"/>
  <c r="W93"/>
  <c r="S93"/>
  <c r="O93"/>
  <c r="W92"/>
  <c r="S92"/>
  <c r="O92"/>
  <c r="W91"/>
  <c r="S91"/>
  <c r="O91"/>
  <c r="W90"/>
  <c r="S90"/>
  <c r="O90"/>
  <c r="W89"/>
  <c r="S89"/>
  <c r="O89"/>
  <c r="W88"/>
  <c r="S88"/>
  <c r="O88"/>
  <c r="W87"/>
  <c r="S87"/>
  <c r="O87"/>
  <c r="W86"/>
  <c r="S86"/>
  <c r="O86"/>
  <c r="W85"/>
  <c r="S85"/>
  <c r="O85"/>
  <c r="W84"/>
  <c r="S84"/>
  <c r="O84"/>
  <c r="W83"/>
  <c r="S83"/>
  <c r="O83"/>
  <c r="W82"/>
  <c r="S82"/>
  <c r="O82"/>
  <c r="W81"/>
  <c r="S81"/>
  <c r="O81"/>
  <c r="W80"/>
  <c r="S80"/>
  <c r="O80"/>
  <c r="W79"/>
  <c r="S79"/>
  <c r="O79"/>
  <c r="W78"/>
  <c r="S78"/>
  <c r="O78"/>
  <c r="W77"/>
  <c r="S77"/>
  <c r="O77"/>
  <c r="W76"/>
  <c r="S76"/>
  <c r="O76"/>
  <c r="W75"/>
  <c r="S75"/>
  <c r="O75"/>
  <c r="W74"/>
  <c r="S74"/>
  <c r="O74"/>
  <c r="W73"/>
  <c r="S73"/>
  <c r="O73"/>
  <c r="W72"/>
  <c r="S72"/>
  <c r="O72"/>
  <c r="W71"/>
  <c r="S71"/>
  <c r="O71"/>
  <c r="W70"/>
  <c r="S70"/>
  <c r="O70"/>
  <c r="W69"/>
  <c r="S69"/>
  <c r="O69"/>
  <c r="W68"/>
  <c r="S68"/>
  <c r="O68"/>
  <c r="W67"/>
  <c r="S67"/>
  <c r="O67"/>
  <c r="W66"/>
  <c r="S66"/>
  <c r="O66"/>
  <c r="W65"/>
  <c r="S65"/>
  <c r="O65"/>
  <c r="W64"/>
  <c r="S64"/>
  <c r="O64"/>
  <c r="W63"/>
  <c r="S63"/>
  <c r="O63"/>
  <c r="W62"/>
  <c r="S62"/>
  <c r="O62"/>
  <c r="W61"/>
  <c r="S61"/>
  <c r="O61"/>
  <c r="W60"/>
  <c r="S60"/>
  <c r="O60"/>
  <c r="W59"/>
  <c r="S59"/>
  <c r="O59"/>
  <c r="W58"/>
  <c r="S58"/>
  <c r="O58"/>
  <c r="W57"/>
  <c r="S57"/>
  <c r="O57"/>
  <c r="W56"/>
  <c r="S56"/>
  <c r="O56"/>
  <c r="W55"/>
  <c r="S55"/>
  <c r="O55"/>
  <c r="W54"/>
  <c r="S54"/>
  <c r="O54"/>
  <c r="W53"/>
  <c r="S53"/>
  <c r="O53"/>
  <c r="W52"/>
  <c r="S52"/>
  <c r="O52"/>
  <c r="W51"/>
  <c r="S51"/>
  <c r="O51"/>
  <c r="W50"/>
  <c r="S50"/>
  <c r="O50"/>
  <c r="W49"/>
  <c r="S49"/>
  <c r="O49"/>
  <c r="W48"/>
  <c r="S48"/>
  <c r="O48"/>
  <c r="W47"/>
  <c r="S47"/>
  <c r="O47"/>
  <c r="W46"/>
  <c r="S46"/>
  <c r="O46"/>
  <c r="W45"/>
  <c r="S45"/>
  <c r="O45"/>
  <c r="W44"/>
  <c r="S44"/>
  <c r="O44"/>
  <c r="W43"/>
  <c r="S43"/>
  <c r="O43"/>
  <c r="W42"/>
  <c r="S42"/>
  <c r="O42"/>
  <c r="W41"/>
  <c r="S41"/>
  <c r="O41"/>
  <c r="W40"/>
  <c r="S40"/>
  <c r="O40"/>
  <c r="W39"/>
  <c r="S39"/>
  <c r="O39"/>
  <c r="W38"/>
  <c r="S38"/>
  <c r="O38"/>
  <c r="W37"/>
  <c r="S37"/>
  <c r="O37"/>
  <c r="W36"/>
  <c r="S36"/>
  <c r="O36"/>
  <c r="W35"/>
  <c r="S35"/>
  <c r="O35"/>
  <c r="W34"/>
  <c r="S34"/>
  <c r="O34"/>
  <c r="W33"/>
  <c r="S33"/>
  <c r="O33"/>
  <c r="W32"/>
  <c r="S32"/>
  <c r="O32"/>
  <c r="W31"/>
  <c r="S31"/>
  <c r="O31"/>
  <c r="W30"/>
  <c r="S30"/>
  <c r="O30"/>
  <c r="W29"/>
  <c r="S29"/>
  <c r="O29"/>
  <c r="W28"/>
  <c r="S28"/>
  <c r="O28"/>
  <c r="W27"/>
  <c r="S27"/>
  <c r="O27"/>
  <c r="W26"/>
  <c r="S26"/>
  <c r="O26"/>
  <c r="W25"/>
  <c r="S25"/>
  <c r="O25"/>
  <c r="W24"/>
  <c r="S24"/>
  <c r="O24"/>
  <c r="W23"/>
  <c r="S23"/>
  <c r="O23"/>
  <c r="W22"/>
  <c r="S22"/>
  <c r="O22"/>
  <c r="W21"/>
  <c r="S21"/>
  <c r="O21"/>
  <c r="W20"/>
  <c r="S20"/>
  <c r="O20"/>
  <c r="W19"/>
  <c r="S19"/>
  <c r="O19"/>
  <c r="W18"/>
  <c r="S18"/>
  <c r="O18"/>
  <c r="W17"/>
  <c r="S17"/>
  <c r="O17"/>
  <c r="W16"/>
  <c r="S16"/>
  <c r="O16"/>
  <c r="W15"/>
  <c r="S15"/>
  <c r="O15"/>
  <c r="W14"/>
  <c r="S14"/>
  <c r="O14"/>
  <c r="W13"/>
  <c r="S13"/>
  <c r="O13"/>
  <c r="W12"/>
  <c r="S12"/>
  <c r="O12"/>
  <c r="W11"/>
  <c r="S11"/>
  <c r="O11"/>
  <c r="W10"/>
  <c r="S10"/>
  <c r="O10"/>
  <c r="W9"/>
  <c r="S9"/>
  <c r="O9"/>
  <c r="W8"/>
  <c r="S8"/>
  <c r="O8"/>
  <c r="S7"/>
  <c r="O7"/>
  <c r="W6"/>
  <c r="S6"/>
  <c r="O6"/>
  <c r="W5"/>
  <c r="S5"/>
  <c r="O5"/>
  <c r="W4"/>
  <c r="S4"/>
  <c r="O4"/>
  <c r="K123"/>
  <c r="G123"/>
  <c r="C123"/>
  <c r="K122"/>
  <c r="G122"/>
  <c r="C122"/>
  <c r="K121"/>
  <c r="G121"/>
  <c r="C121"/>
  <c r="K120"/>
  <c r="G120"/>
  <c r="C120"/>
  <c r="K119"/>
  <c r="G119"/>
  <c r="C119"/>
  <c r="K118"/>
  <c r="G118"/>
  <c r="C118"/>
  <c r="K117"/>
  <c r="G117"/>
  <c r="C117"/>
  <c r="K116"/>
  <c r="G116"/>
  <c r="C116"/>
  <c r="K115"/>
  <c r="G115"/>
  <c r="C115"/>
  <c r="K114"/>
  <c r="G114"/>
  <c r="C114"/>
  <c r="K113"/>
  <c r="G113"/>
  <c r="C113"/>
  <c r="K112"/>
  <c r="G112"/>
  <c r="C112"/>
  <c r="K111"/>
  <c r="G111"/>
  <c r="C111"/>
  <c r="K110"/>
  <c r="G110"/>
  <c r="C110"/>
  <c r="K109"/>
  <c r="G109"/>
  <c r="C109"/>
  <c r="K108"/>
  <c r="G108"/>
  <c r="C108"/>
  <c r="K107"/>
  <c r="G107"/>
  <c r="C107"/>
  <c r="K106"/>
  <c r="G106"/>
  <c r="C106"/>
  <c r="K105"/>
  <c r="G105"/>
  <c r="C105"/>
  <c r="K104"/>
  <c r="G104"/>
  <c r="C104"/>
  <c r="K103"/>
  <c r="G103"/>
  <c r="C103"/>
  <c r="K102"/>
  <c r="G102"/>
  <c r="C102"/>
  <c r="K101"/>
  <c r="G101"/>
  <c r="C101"/>
  <c r="K100"/>
  <c r="G100"/>
  <c r="C100"/>
  <c r="K99"/>
  <c r="G99"/>
  <c r="C99"/>
  <c r="K98"/>
  <c r="G98"/>
  <c r="C98"/>
  <c r="K97"/>
  <c r="G97"/>
  <c r="C97"/>
  <c r="K96"/>
  <c r="G96"/>
  <c r="C96"/>
  <c r="K95"/>
  <c r="G95"/>
  <c r="C95"/>
  <c r="K94"/>
  <c r="G94"/>
  <c r="C94"/>
  <c r="K93"/>
  <c r="G93"/>
  <c r="C93"/>
  <c r="K92"/>
  <c r="G92"/>
  <c r="C92"/>
  <c r="K91"/>
  <c r="G91"/>
  <c r="C91"/>
  <c r="K90"/>
  <c r="G90"/>
  <c r="C90"/>
  <c r="K89"/>
  <c r="G89"/>
  <c r="C89"/>
  <c r="K88"/>
  <c r="G88"/>
  <c r="C88"/>
  <c r="K87"/>
  <c r="G87"/>
  <c r="C87"/>
  <c r="K86"/>
  <c r="G86"/>
  <c r="C86"/>
  <c r="K85"/>
  <c r="G85"/>
  <c r="C85"/>
  <c r="K84"/>
  <c r="G84"/>
  <c r="C84"/>
  <c r="K83"/>
  <c r="G83"/>
  <c r="C83"/>
  <c r="K82"/>
  <c r="G82"/>
  <c r="C82"/>
  <c r="K81"/>
  <c r="G81"/>
  <c r="C81"/>
  <c r="K80"/>
  <c r="G80"/>
  <c r="C80"/>
  <c r="K79"/>
  <c r="G79"/>
  <c r="C79"/>
  <c r="K78"/>
  <c r="G78"/>
  <c r="C78"/>
  <c r="K77"/>
  <c r="G77"/>
  <c r="C77"/>
  <c r="K76"/>
  <c r="G76"/>
  <c r="C76"/>
  <c r="K75"/>
  <c r="G75"/>
  <c r="C75"/>
  <c r="K74"/>
  <c r="G74"/>
  <c r="C74"/>
  <c r="K73"/>
  <c r="G73"/>
  <c r="C73"/>
  <c r="K72"/>
  <c r="G72"/>
  <c r="C72"/>
  <c r="K71"/>
  <c r="G71"/>
  <c r="C71"/>
  <c r="K70"/>
  <c r="G70"/>
  <c r="C70"/>
  <c r="K69"/>
  <c r="G69"/>
  <c r="C69"/>
  <c r="K68"/>
  <c r="G68"/>
  <c r="C68"/>
  <c r="K67"/>
  <c r="G67"/>
  <c r="C67"/>
  <c r="K66"/>
  <c r="G66"/>
  <c r="C66"/>
  <c r="K65"/>
  <c r="G65"/>
  <c r="C65"/>
  <c r="K64"/>
  <c r="G64"/>
  <c r="C64"/>
  <c r="K63"/>
  <c r="G63"/>
  <c r="C63"/>
  <c r="K62"/>
  <c r="G62"/>
  <c r="C62"/>
  <c r="K61"/>
  <c r="G61"/>
  <c r="C61"/>
  <c r="K60"/>
  <c r="G60"/>
  <c r="C60"/>
  <c r="K59"/>
  <c r="G59"/>
  <c r="C59"/>
  <c r="K58"/>
  <c r="G58"/>
  <c r="C58"/>
  <c r="K57"/>
  <c r="G57"/>
  <c r="C57"/>
  <c r="K56"/>
  <c r="G56"/>
  <c r="C56"/>
  <c r="K55"/>
  <c r="G55"/>
  <c r="C55"/>
  <c r="K54"/>
  <c r="G54"/>
  <c r="C54"/>
  <c r="K53"/>
  <c r="G53"/>
  <c r="C53"/>
  <c r="K52"/>
  <c r="G52"/>
  <c r="C52"/>
  <c r="K51"/>
  <c r="G51"/>
  <c r="C51"/>
  <c r="K50"/>
  <c r="G50"/>
  <c r="C50"/>
  <c r="K49"/>
  <c r="G49"/>
  <c r="C49"/>
  <c r="K48"/>
  <c r="G48"/>
  <c r="C48"/>
  <c r="K47"/>
  <c r="G47"/>
  <c r="C47"/>
  <c r="K46"/>
  <c r="G46"/>
  <c r="C46"/>
  <c r="K45"/>
  <c r="G45"/>
  <c r="C45"/>
  <c r="K44"/>
  <c r="G44"/>
  <c r="C44"/>
  <c r="K43"/>
  <c r="G43"/>
  <c r="C43"/>
  <c r="K42"/>
  <c r="G42"/>
  <c r="C42"/>
  <c r="K41"/>
  <c r="G41"/>
  <c r="C41"/>
  <c r="K40"/>
  <c r="G40"/>
  <c r="C40"/>
  <c r="K39"/>
  <c r="G39"/>
  <c r="C39"/>
  <c r="K38"/>
  <c r="G38"/>
  <c r="C38"/>
  <c r="K37"/>
  <c r="G37"/>
  <c r="C37"/>
  <c r="K36"/>
  <c r="G36"/>
  <c r="C36"/>
  <c r="K35"/>
  <c r="G35"/>
  <c r="C35"/>
  <c r="K34"/>
  <c r="G34"/>
  <c r="C34"/>
  <c r="K33"/>
  <c r="G33"/>
  <c r="C33"/>
  <c r="K32"/>
  <c r="G32"/>
  <c r="C32"/>
  <c r="K31"/>
  <c r="G31"/>
  <c r="C31"/>
  <c r="K30"/>
  <c r="G30"/>
  <c r="C30"/>
  <c r="K29"/>
  <c r="G29"/>
  <c r="C29"/>
  <c r="K28"/>
  <c r="G28"/>
  <c r="C28"/>
  <c r="K27"/>
  <c r="G27"/>
  <c r="C27"/>
  <c r="K26"/>
  <c r="G26"/>
  <c r="C26"/>
  <c r="K25"/>
  <c r="G25"/>
  <c r="C25"/>
  <c r="K24"/>
  <c r="G24"/>
  <c r="C24"/>
  <c r="K23"/>
  <c r="G23"/>
  <c r="C23"/>
  <c r="K22"/>
  <c r="G22"/>
  <c r="C22"/>
  <c r="K21"/>
  <c r="G21"/>
  <c r="C21"/>
  <c r="K20"/>
  <c r="G20"/>
  <c r="C20"/>
  <c r="K19"/>
  <c r="G19"/>
  <c r="C19"/>
  <c r="K18"/>
  <c r="G18"/>
  <c r="C18"/>
  <c r="K17"/>
  <c r="G17"/>
  <c r="C17"/>
  <c r="K16"/>
  <c r="G16"/>
  <c r="C16"/>
  <c r="K15"/>
  <c r="G15"/>
  <c r="C15"/>
  <c r="K14"/>
  <c r="G14"/>
  <c r="C14"/>
  <c r="K13"/>
  <c r="G13"/>
  <c r="C13"/>
  <c r="K12"/>
  <c r="G12"/>
  <c r="C12"/>
  <c r="K11"/>
  <c r="G11"/>
  <c r="C11"/>
  <c r="K10"/>
  <c r="G10"/>
  <c r="C10"/>
  <c r="K9"/>
  <c r="G9"/>
  <c r="C9"/>
  <c r="K8"/>
  <c r="G8"/>
  <c r="C8"/>
  <c r="K6"/>
  <c r="G6"/>
  <c r="C6"/>
  <c r="K5"/>
  <c r="G5"/>
  <c r="C5"/>
  <c r="K4"/>
  <c r="G4"/>
  <c r="C4"/>
  <c r="X123"/>
  <c r="T123"/>
  <c r="P123"/>
  <c r="L123"/>
  <c r="H123"/>
  <c r="D123"/>
  <c r="X122"/>
  <c r="T122"/>
  <c r="P122"/>
  <c r="L122"/>
  <c r="H122"/>
  <c r="D122"/>
  <c r="X121"/>
  <c r="T121"/>
  <c r="P121"/>
  <c r="L121"/>
  <c r="H121"/>
  <c r="D121"/>
  <c r="X120"/>
  <c r="T120"/>
  <c r="P120"/>
  <c r="L120"/>
  <c r="H120"/>
  <c r="D120"/>
  <c r="X119"/>
  <c r="T119"/>
  <c r="P119"/>
  <c r="L119"/>
  <c r="H119"/>
  <c r="D119"/>
  <c r="X118"/>
  <c r="T118"/>
  <c r="P118"/>
  <c r="L118"/>
  <c r="H118"/>
  <c r="D118"/>
  <c r="X117"/>
  <c r="T117"/>
  <c r="P117"/>
  <c r="L117"/>
  <c r="H117"/>
  <c r="D117"/>
  <c r="X116"/>
  <c r="T116"/>
  <c r="P116"/>
  <c r="L116"/>
  <c r="H116"/>
  <c r="D116"/>
  <c r="X115"/>
  <c r="T115"/>
  <c r="P115"/>
  <c r="L115"/>
  <c r="H115"/>
  <c r="D115"/>
  <c r="X114"/>
  <c r="T114"/>
  <c r="P114"/>
  <c r="L114"/>
  <c r="H114"/>
  <c r="D114"/>
  <c r="X113"/>
  <c r="T113"/>
  <c r="P113"/>
  <c r="L113"/>
  <c r="H113"/>
  <c r="D113"/>
  <c r="X112"/>
  <c r="T112"/>
  <c r="P112"/>
  <c r="L112"/>
  <c r="H112"/>
  <c r="D112"/>
  <c r="X111"/>
  <c r="T111"/>
  <c r="P111"/>
  <c r="L111"/>
  <c r="H111"/>
  <c r="D111"/>
  <c r="X110"/>
  <c r="T110"/>
  <c r="P110"/>
  <c r="L110"/>
  <c r="H110"/>
  <c r="D110"/>
  <c r="X109"/>
  <c r="T109"/>
  <c r="P109"/>
  <c r="L109"/>
  <c r="H109"/>
  <c r="D109"/>
  <c r="X108"/>
  <c r="T108"/>
  <c r="P108"/>
  <c r="L108"/>
  <c r="H108"/>
  <c r="D108"/>
  <c r="X107"/>
  <c r="T107"/>
  <c r="P107"/>
  <c r="L107"/>
  <c r="H107"/>
  <c r="D107"/>
  <c r="X106"/>
  <c r="T106"/>
  <c r="P106"/>
  <c r="L106"/>
  <c r="H106"/>
  <c r="D106"/>
  <c r="X105"/>
  <c r="T105"/>
  <c r="P105"/>
  <c r="L105"/>
  <c r="H105"/>
  <c r="D105"/>
  <c r="X104"/>
  <c r="T104"/>
  <c r="P104"/>
  <c r="L104"/>
  <c r="H104"/>
  <c r="D104"/>
  <c r="X103"/>
  <c r="T103"/>
  <c r="P103"/>
  <c r="L103"/>
  <c r="H103"/>
  <c r="D103"/>
  <c r="X102"/>
  <c r="T102"/>
  <c r="P102"/>
  <c r="L102"/>
  <c r="H102"/>
  <c r="D102"/>
  <c r="X101"/>
  <c r="T101"/>
  <c r="P101"/>
  <c r="L101"/>
  <c r="H101"/>
  <c r="D101"/>
  <c r="X100"/>
  <c r="T100"/>
  <c r="P100"/>
  <c r="L100"/>
  <c r="H100"/>
  <c r="D100"/>
  <c r="X99"/>
  <c r="T99"/>
  <c r="P99"/>
  <c r="L99"/>
  <c r="H99"/>
  <c r="D99"/>
  <c r="X98"/>
  <c r="T98"/>
  <c r="P98"/>
  <c r="L98"/>
  <c r="H98"/>
  <c r="D98"/>
  <c r="X97"/>
  <c r="T97"/>
  <c r="P97"/>
  <c r="L97"/>
  <c r="H97"/>
  <c r="D97"/>
  <c r="X96"/>
  <c r="T96"/>
  <c r="P96"/>
  <c r="L96"/>
  <c r="H96"/>
  <c r="D96"/>
  <c r="X95"/>
  <c r="T95"/>
  <c r="P95"/>
  <c r="L95"/>
  <c r="H95"/>
  <c r="D95"/>
  <c r="X94"/>
  <c r="T94"/>
  <c r="P94"/>
  <c r="L94"/>
  <c r="H94"/>
  <c r="D94"/>
  <c r="X93"/>
  <c r="T93"/>
  <c r="P93"/>
  <c r="L93"/>
  <c r="H93"/>
  <c r="D93"/>
  <c r="X92"/>
  <c r="T92"/>
  <c r="P92"/>
  <c r="L92"/>
  <c r="H92"/>
  <c r="D92"/>
  <c r="X91"/>
  <c r="T91"/>
  <c r="P91"/>
  <c r="L91"/>
  <c r="H91"/>
  <c r="D91"/>
  <c r="X90"/>
  <c r="T90"/>
  <c r="P90"/>
  <c r="L90"/>
  <c r="H90"/>
  <c r="D90"/>
  <c r="X89"/>
  <c r="T89"/>
  <c r="P89"/>
  <c r="L89"/>
  <c r="H89"/>
  <c r="D89"/>
  <c r="X88"/>
  <c r="T88"/>
  <c r="P88"/>
  <c r="L88"/>
  <c r="H88"/>
  <c r="D88"/>
  <c r="X87"/>
  <c r="T87"/>
  <c r="P87"/>
  <c r="L87"/>
  <c r="H87"/>
  <c r="D87"/>
  <c r="X86"/>
  <c r="T86"/>
  <c r="P86"/>
  <c r="L86"/>
  <c r="H86"/>
  <c r="D86"/>
  <c r="X85"/>
  <c r="T85"/>
  <c r="P85"/>
  <c r="L85"/>
  <c r="H85"/>
  <c r="D85"/>
  <c r="X84"/>
  <c r="T84"/>
  <c r="P84"/>
  <c r="L84"/>
  <c r="H84"/>
  <c r="D84"/>
  <c r="X83"/>
  <c r="T83"/>
  <c r="P83"/>
  <c r="L83"/>
  <c r="H83"/>
  <c r="D83"/>
  <c r="X82"/>
  <c r="T82"/>
  <c r="P82"/>
  <c r="L82"/>
  <c r="H82"/>
  <c r="D82"/>
  <c r="X81"/>
  <c r="T81"/>
  <c r="P81"/>
  <c r="L81"/>
  <c r="H81"/>
  <c r="D81"/>
  <c r="X80"/>
  <c r="T80"/>
  <c r="P80"/>
  <c r="L80"/>
  <c r="H80"/>
  <c r="D80"/>
  <c r="X79"/>
  <c r="T79"/>
  <c r="P79"/>
  <c r="L79"/>
  <c r="H79"/>
  <c r="D79"/>
  <c r="X78"/>
  <c r="T78"/>
  <c r="P78"/>
  <c r="L78"/>
  <c r="H78"/>
  <c r="D78"/>
  <c r="X77"/>
  <c r="T77"/>
  <c r="P77"/>
  <c r="L77"/>
  <c r="H77"/>
  <c r="D77"/>
  <c r="X76"/>
  <c r="T76"/>
  <c r="P76"/>
  <c r="L76"/>
  <c r="H76"/>
  <c r="D76"/>
  <c r="X75"/>
  <c r="T75"/>
  <c r="P75"/>
  <c r="L75"/>
  <c r="H75"/>
  <c r="D75"/>
  <c r="X74"/>
  <c r="T74"/>
  <c r="P74"/>
  <c r="L74"/>
  <c r="H74"/>
  <c r="D74"/>
  <c r="X73"/>
  <c r="T73"/>
  <c r="P73"/>
  <c r="L73"/>
  <c r="H73"/>
  <c r="D73"/>
  <c r="X72"/>
  <c r="T72"/>
  <c r="P72"/>
  <c r="L72"/>
  <c r="H72"/>
  <c r="D72"/>
  <c r="X71"/>
  <c r="T71"/>
  <c r="P71"/>
  <c r="L71"/>
  <c r="H71"/>
  <c r="D71"/>
  <c r="X70"/>
  <c r="T70"/>
  <c r="P70"/>
  <c r="L70"/>
  <c r="H70"/>
  <c r="D70"/>
  <c r="X69"/>
  <c r="T69"/>
  <c r="P69"/>
  <c r="L69"/>
  <c r="H69"/>
  <c r="D69"/>
  <c r="X68"/>
  <c r="T68"/>
  <c r="P68"/>
  <c r="L68"/>
  <c r="H68"/>
  <c r="D68"/>
  <c r="X67"/>
  <c r="T67"/>
  <c r="P67"/>
  <c r="L67"/>
  <c r="H67"/>
  <c r="D67"/>
  <c r="X66"/>
  <c r="T66"/>
  <c r="P66"/>
  <c r="L66"/>
  <c r="H66"/>
  <c r="D66"/>
  <c r="X65"/>
  <c r="T65"/>
  <c r="P65"/>
  <c r="L65"/>
  <c r="H65"/>
  <c r="D65"/>
  <c r="X64"/>
  <c r="T64"/>
  <c r="P64"/>
  <c r="L64"/>
  <c r="H64"/>
  <c r="D64"/>
  <c r="X63"/>
  <c r="T63"/>
  <c r="P63"/>
  <c r="L63"/>
  <c r="H63"/>
  <c r="D63"/>
  <c r="X62"/>
  <c r="T62"/>
  <c r="P62"/>
  <c r="L62"/>
  <c r="H62"/>
  <c r="D62"/>
  <c r="X61"/>
  <c r="T61"/>
  <c r="P61"/>
  <c r="L61"/>
  <c r="H61"/>
  <c r="D61"/>
  <c r="X60"/>
  <c r="T60"/>
  <c r="P60"/>
  <c r="L60"/>
  <c r="H60"/>
  <c r="D60"/>
  <c r="X59"/>
  <c r="T59"/>
  <c r="P59"/>
  <c r="L59"/>
  <c r="H59"/>
  <c r="D59"/>
  <c r="X58"/>
  <c r="T58"/>
  <c r="P58"/>
  <c r="L58"/>
  <c r="H58"/>
  <c r="D58"/>
  <c r="X57"/>
  <c r="T57"/>
  <c r="P57"/>
  <c r="L57"/>
  <c r="H57"/>
  <c r="D57"/>
  <c r="X56"/>
  <c r="T56"/>
  <c r="P56"/>
  <c r="L56"/>
  <c r="H56"/>
  <c r="D56"/>
  <c r="X55"/>
  <c r="T55"/>
  <c r="P55"/>
  <c r="L55"/>
  <c r="H55"/>
  <c r="D55"/>
  <c r="X54"/>
  <c r="T54"/>
  <c r="P54"/>
  <c r="L54"/>
  <c r="H54"/>
  <c r="D54"/>
  <c r="X53"/>
  <c r="T53"/>
  <c r="P53"/>
  <c r="L53"/>
  <c r="H53"/>
  <c r="D53"/>
  <c r="X52"/>
  <c r="T52"/>
  <c r="P52"/>
  <c r="L52"/>
  <c r="H52"/>
  <c r="D52"/>
  <c r="X51"/>
  <c r="T51"/>
  <c r="P51"/>
  <c r="L51"/>
  <c r="H51"/>
  <c r="D51"/>
  <c r="X50"/>
  <c r="T50"/>
  <c r="P50"/>
  <c r="L50"/>
  <c r="H50"/>
  <c r="D50"/>
  <c r="X49"/>
  <c r="T49"/>
  <c r="P49"/>
  <c r="L49"/>
  <c r="H49"/>
  <c r="D49"/>
  <c r="X48"/>
  <c r="T48"/>
  <c r="P48"/>
  <c r="L48"/>
  <c r="H48"/>
  <c r="D48"/>
  <c r="X47"/>
  <c r="T47"/>
  <c r="P47"/>
  <c r="L47"/>
  <c r="H47"/>
  <c r="D47"/>
  <c r="X46"/>
  <c r="T46"/>
  <c r="P46"/>
  <c r="L46"/>
  <c r="H46"/>
  <c r="D46"/>
  <c r="X45"/>
  <c r="T45"/>
  <c r="P45"/>
  <c r="L45"/>
  <c r="H45"/>
  <c r="D45"/>
  <c r="X44"/>
  <c r="T44"/>
  <c r="P44"/>
  <c r="L44"/>
  <c r="H44"/>
  <c r="D44"/>
  <c r="X43"/>
  <c r="T43"/>
  <c r="P43"/>
  <c r="L43"/>
  <c r="H43"/>
  <c r="D43"/>
  <c r="X42"/>
  <c r="T42"/>
  <c r="P42"/>
  <c r="L42"/>
  <c r="H42"/>
  <c r="D42"/>
  <c r="X41"/>
  <c r="T41"/>
  <c r="P41"/>
  <c r="L41"/>
  <c r="H41"/>
  <c r="D41"/>
  <c r="X40"/>
  <c r="T40"/>
  <c r="P40"/>
  <c r="L40"/>
  <c r="H40"/>
  <c r="D40"/>
  <c r="X39"/>
  <c r="T39"/>
  <c r="P39"/>
  <c r="L39"/>
  <c r="H39"/>
  <c r="D39"/>
  <c r="X38"/>
  <c r="T38"/>
  <c r="P38"/>
  <c r="L38"/>
  <c r="H38"/>
  <c r="D38"/>
  <c r="X37"/>
  <c r="T37"/>
  <c r="P37"/>
  <c r="L37"/>
  <c r="H37"/>
  <c r="D37"/>
  <c r="X36"/>
  <c r="T36"/>
  <c r="P36"/>
  <c r="L36"/>
  <c r="H36"/>
  <c r="D36"/>
  <c r="X35"/>
  <c r="T35"/>
  <c r="P35"/>
  <c r="L35"/>
  <c r="H35"/>
  <c r="D35"/>
  <c r="X34"/>
  <c r="T34"/>
  <c r="P34"/>
  <c r="L34"/>
  <c r="H34"/>
  <c r="D34"/>
  <c r="X33"/>
  <c r="T33"/>
  <c r="P33"/>
  <c r="L33"/>
  <c r="H33"/>
  <c r="D33"/>
  <c r="X32"/>
  <c r="T32"/>
  <c r="P32"/>
  <c r="L32"/>
  <c r="H32"/>
  <c r="D32"/>
  <c r="X31"/>
  <c r="T31"/>
  <c r="P31"/>
  <c r="L31"/>
  <c r="H31"/>
  <c r="D31"/>
  <c r="X30"/>
  <c r="T30"/>
  <c r="P30"/>
  <c r="L30"/>
  <c r="H30"/>
  <c r="D30"/>
  <c r="X29"/>
  <c r="T29"/>
  <c r="P29"/>
  <c r="L29"/>
  <c r="H29"/>
  <c r="D29"/>
  <c r="X28"/>
  <c r="T28"/>
  <c r="P28"/>
  <c r="L28"/>
  <c r="H28"/>
  <c r="D28"/>
  <c r="X27"/>
  <c r="T27"/>
  <c r="P27"/>
  <c r="L27"/>
  <c r="H27"/>
  <c r="D27"/>
  <c r="X26"/>
  <c r="T26"/>
  <c r="P26"/>
  <c r="L26"/>
  <c r="H26"/>
  <c r="D26"/>
  <c r="X25"/>
  <c r="T25"/>
  <c r="P25"/>
  <c r="L25"/>
  <c r="H25"/>
  <c r="D25"/>
  <c r="X24"/>
  <c r="T24"/>
  <c r="P24"/>
  <c r="L24"/>
  <c r="H24"/>
  <c r="D24"/>
  <c r="X23"/>
  <c r="T23"/>
  <c r="P23"/>
  <c r="L23"/>
  <c r="H23"/>
  <c r="D23"/>
  <c r="X22"/>
  <c r="T22"/>
  <c r="P22"/>
  <c r="L22"/>
  <c r="H22"/>
  <c r="D22"/>
  <c r="X21"/>
  <c r="T21"/>
  <c r="P21"/>
  <c r="L21"/>
  <c r="H21"/>
  <c r="D21"/>
  <c r="X20"/>
  <c r="T20"/>
  <c r="P20"/>
  <c r="L20"/>
  <c r="H20"/>
  <c r="D20"/>
  <c r="X19"/>
  <c r="T19"/>
  <c r="P19"/>
  <c r="L19"/>
  <c r="H19"/>
  <c r="D19"/>
  <c r="X18"/>
  <c r="T18"/>
  <c r="P18"/>
  <c r="L18"/>
  <c r="H18"/>
  <c r="D18"/>
  <c r="X17"/>
  <c r="T17"/>
  <c r="P17"/>
  <c r="L17"/>
  <c r="H17"/>
  <c r="D17"/>
  <c r="X16"/>
  <c r="T16"/>
  <c r="P16"/>
  <c r="L16"/>
  <c r="H16"/>
  <c r="D16"/>
  <c r="X15"/>
  <c r="T15"/>
  <c r="P15"/>
  <c r="L15"/>
  <c r="H15"/>
  <c r="D15"/>
  <c r="X14"/>
  <c r="T14"/>
  <c r="P14"/>
  <c r="L14"/>
  <c r="H14"/>
  <c r="D14"/>
  <c r="X13"/>
  <c r="T13"/>
  <c r="P13"/>
  <c r="L13"/>
  <c r="H13"/>
  <c r="D13"/>
  <c r="X12"/>
  <c r="T12"/>
  <c r="P12"/>
  <c r="L12"/>
  <c r="H12"/>
  <c r="D12"/>
  <c r="X11"/>
  <c r="T11"/>
  <c r="P11"/>
  <c r="L11"/>
  <c r="H11"/>
  <c r="D11"/>
  <c r="X10"/>
  <c r="T10"/>
  <c r="P10"/>
  <c r="L10"/>
  <c r="H10"/>
  <c r="D10"/>
  <c r="X9"/>
  <c r="T9"/>
  <c r="P9"/>
  <c r="L9"/>
  <c r="H9"/>
  <c r="D9"/>
  <c r="X8"/>
  <c r="T8"/>
  <c r="P8"/>
  <c r="L8"/>
  <c r="H8"/>
  <c r="D8"/>
  <c r="X7"/>
  <c r="T7"/>
  <c r="P7"/>
  <c r="L7"/>
  <c r="H7"/>
  <c r="D7"/>
  <c r="E7" s="1"/>
  <c r="X6"/>
  <c r="T6"/>
  <c r="P6"/>
  <c r="L6"/>
  <c r="H6"/>
  <c r="D6"/>
  <c r="X5"/>
  <c r="T5"/>
  <c r="P5"/>
  <c r="L5"/>
  <c r="H5"/>
  <c r="D5"/>
  <c r="X4"/>
  <c r="T4"/>
  <c r="P4"/>
  <c r="L4"/>
  <c r="H4"/>
  <c r="D4"/>
  <c r="X123" i="40"/>
  <c r="T123"/>
  <c r="P123"/>
  <c r="L123"/>
  <c r="H123"/>
  <c r="D123"/>
  <c r="X122"/>
  <c r="T122"/>
  <c r="P122"/>
  <c r="L122"/>
  <c r="H122"/>
  <c r="D122"/>
  <c r="X121"/>
  <c r="T121"/>
  <c r="P121"/>
  <c r="L121"/>
  <c r="H121"/>
  <c r="D121"/>
  <c r="X120"/>
  <c r="T120"/>
  <c r="P120"/>
  <c r="L120"/>
  <c r="H120"/>
  <c r="D120"/>
  <c r="X119"/>
  <c r="T119"/>
  <c r="P119"/>
  <c r="L119"/>
  <c r="H119"/>
  <c r="D119"/>
  <c r="X118"/>
  <c r="T118"/>
  <c r="P118"/>
  <c r="L118"/>
  <c r="H118"/>
  <c r="D118"/>
  <c r="X117"/>
  <c r="T117"/>
  <c r="P117"/>
  <c r="L117"/>
  <c r="H117"/>
  <c r="D117"/>
  <c r="X116"/>
  <c r="T116"/>
  <c r="P116"/>
  <c r="L116"/>
  <c r="H116"/>
  <c r="D116"/>
  <c r="X115"/>
  <c r="T115"/>
  <c r="P115"/>
  <c r="L115"/>
  <c r="H115"/>
  <c r="D115"/>
  <c r="X114"/>
  <c r="T114"/>
  <c r="P114"/>
  <c r="L114"/>
  <c r="H114"/>
  <c r="D114"/>
  <c r="X113"/>
  <c r="T113"/>
  <c r="P113"/>
  <c r="L113"/>
  <c r="H113"/>
  <c r="D113"/>
  <c r="X112"/>
  <c r="T112"/>
  <c r="P112"/>
  <c r="L112"/>
  <c r="H112"/>
  <c r="D112"/>
  <c r="X111"/>
  <c r="T111"/>
  <c r="P111"/>
  <c r="L111"/>
  <c r="H111"/>
  <c r="D111"/>
  <c r="X110"/>
  <c r="T110"/>
  <c r="P110"/>
  <c r="L110"/>
  <c r="H110"/>
  <c r="D110"/>
  <c r="X109"/>
  <c r="T109"/>
  <c r="P109"/>
  <c r="L109"/>
  <c r="H109"/>
  <c r="D109"/>
  <c r="X108"/>
  <c r="T108"/>
  <c r="P108"/>
  <c r="L108"/>
  <c r="H108"/>
  <c r="D108"/>
  <c r="X107"/>
  <c r="T107"/>
  <c r="P107"/>
  <c r="L107"/>
  <c r="H107"/>
  <c r="D107"/>
  <c r="X106"/>
  <c r="T106"/>
  <c r="P106"/>
  <c r="L106"/>
  <c r="H106"/>
  <c r="D106"/>
  <c r="X105"/>
  <c r="T105"/>
  <c r="P105"/>
  <c r="L105"/>
  <c r="H105"/>
  <c r="D105"/>
  <c r="X104"/>
  <c r="T104"/>
  <c r="P104"/>
  <c r="L104"/>
  <c r="H104"/>
  <c r="D104"/>
  <c r="X103"/>
  <c r="T103"/>
  <c r="P103"/>
  <c r="L103"/>
  <c r="H103"/>
  <c r="D103"/>
  <c r="X102"/>
  <c r="T102"/>
  <c r="P102"/>
  <c r="L102"/>
  <c r="H102"/>
  <c r="D102"/>
  <c r="X101"/>
  <c r="T101"/>
  <c r="P101"/>
  <c r="L101"/>
  <c r="H101"/>
  <c r="D101"/>
  <c r="X100"/>
  <c r="T100"/>
  <c r="P100"/>
  <c r="L100"/>
  <c r="H100"/>
  <c r="D100"/>
  <c r="X99"/>
  <c r="T99"/>
  <c r="P99"/>
  <c r="L99"/>
  <c r="H99"/>
  <c r="D99"/>
  <c r="X98"/>
  <c r="T98"/>
  <c r="P98"/>
  <c r="L98"/>
  <c r="H98"/>
  <c r="D98"/>
  <c r="X97"/>
  <c r="T97"/>
  <c r="P97"/>
  <c r="L97"/>
  <c r="H97"/>
  <c r="D97"/>
  <c r="X96"/>
  <c r="T96"/>
  <c r="P96"/>
  <c r="L96"/>
  <c r="H96"/>
  <c r="D96"/>
  <c r="X95"/>
  <c r="T95"/>
  <c r="P95"/>
  <c r="L95"/>
  <c r="H95"/>
  <c r="D95"/>
  <c r="X94"/>
  <c r="T94"/>
  <c r="P94"/>
  <c r="L94"/>
  <c r="H94"/>
  <c r="D94"/>
  <c r="X93"/>
  <c r="T93"/>
  <c r="P93"/>
  <c r="L93"/>
  <c r="H93"/>
  <c r="D93"/>
  <c r="X92"/>
  <c r="T92"/>
  <c r="P92"/>
  <c r="L92"/>
  <c r="H92"/>
  <c r="D92"/>
  <c r="X91"/>
  <c r="T91"/>
  <c r="P91"/>
  <c r="L91"/>
  <c r="H91"/>
  <c r="D91"/>
  <c r="X90"/>
  <c r="T90"/>
  <c r="P90"/>
  <c r="L90"/>
  <c r="H90"/>
  <c r="D90"/>
  <c r="X89"/>
  <c r="T89"/>
  <c r="P89"/>
  <c r="L89"/>
  <c r="H89"/>
  <c r="D89"/>
  <c r="X88"/>
  <c r="T88"/>
  <c r="P88"/>
  <c r="L88"/>
  <c r="H88"/>
  <c r="D88"/>
  <c r="X87"/>
  <c r="T87"/>
  <c r="P87"/>
  <c r="L87"/>
  <c r="H87"/>
  <c r="D87"/>
  <c r="X86"/>
  <c r="T86"/>
  <c r="P86"/>
  <c r="L86"/>
  <c r="H86"/>
  <c r="D86"/>
  <c r="X85"/>
  <c r="T85"/>
  <c r="P85"/>
  <c r="L85"/>
  <c r="H85"/>
  <c r="D85"/>
  <c r="X84"/>
  <c r="T84"/>
  <c r="P84"/>
  <c r="L84"/>
  <c r="H84"/>
  <c r="D84"/>
  <c r="X83"/>
  <c r="T83"/>
  <c r="P83"/>
  <c r="L83"/>
  <c r="H83"/>
  <c r="D83"/>
  <c r="X82"/>
  <c r="T82"/>
  <c r="P82"/>
  <c r="L82"/>
  <c r="H82"/>
  <c r="D82"/>
  <c r="X81"/>
  <c r="T81"/>
  <c r="P81"/>
  <c r="L81"/>
  <c r="H81"/>
  <c r="D81"/>
  <c r="X80"/>
  <c r="T80"/>
  <c r="P80"/>
  <c r="L80"/>
  <c r="H80"/>
  <c r="D80"/>
  <c r="X79"/>
  <c r="T79"/>
  <c r="P79"/>
  <c r="L79"/>
  <c r="H79"/>
  <c r="D79"/>
  <c r="X78"/>
  <c r="T78"/>
  <c r="P78"/>
  <c r="L78"/>
  <c r="H78"/>
  <c r="D78"/>
  <c r="X77"/>
  <c r="T77"/>
  <c r="P77"/>
  <c r="L77"/>
  <c r="H77"/>
  <c r="D77"/>
  <c r="X76"/>
  <c r="T76"/>
  <c r="P76"/>
  <c r="L76"/>
  <c r="H76"/>
  <c r="D76"/>
  <c r="X75"/>
  <c r="T75"/>
  <c r="P75"/>
  <c r="L75"/>
  <c r="H75"/>
  <c r="D75"/>
  <c r="X74"/>
  <c r="T74"/>
  <c r="P74"/>
  <c r="L74"/>
  <c r="H74"/>
  <c r="D74"/>
  <c r="X73"/>
  <c r="T73"/>
  <c r="P73"/>
  <c r="L73"/>
  <c r="H73"/>
  <c r="D73"/>
  <c r="X72"/>
  <c r="T72"/>
  <c r="P72"/>
  <c r="L72"/>
  <c r="H72"/>
  <c r="D72"/>
  <c r="X71"/>
  <c r="T71"/>
  <c r="P71"/>
  <c r="L71"/>
  <c r="H71"/>
  <c r="D71"/>
  <c r="X70"/>
  <c r="T70"/>
  <c r="P70"/>
  <c r="L70"/>
  <c r="H70"/>
  <c r="D70"/>
  <c r="X69"/>
  <c r="T69"/>
  <c r="P69"/>
  <c r="L69"/>
  <c r="H69"/>
  <c r="D69"/>
  <c r="X68"/>
  <c r="T68"/>
  <c r="P68"/>
  <c r="L68"/>
  <c r="H68"/>
  <c r="D68"/>
  <c r="X67"/>
  <c r="T67"/>
  <c r="P67"/>
  <c r="L67"/>
  <c r="H67"/>
  <c r="D67"/>
  <c r="X66"/>
  <c r="T66"/>
  <c r="P66"/>
  <c r="L66"/>
  <c r="H66"/>
  <c r="D66"/>
  <c r="X65"/>
  <c r="T65"/>
  <c r="P65"/>
  <c r="L65"/>
  <c r="H65"/>
  <c r="D65"/>
  <c r="X64"/>
  <c r="T64"/>
  <c r="P64"/>
  <c r="L64"/>
  <c r="H64"/>
  <c r="D64"/>
  <c r="X63"/>
  <c r="T63"/>
  <c r="P63"/>
  <c r="L63"/>
  <c r="H63"/>
  <c r="D63"/>
  <c r="X62"/>
  <c r="T62"/>
  <c r="P62"/>
  <c r="L62"/>
  <c r="H62"/>
  <c r="D62"/>
  <c r="X61"/>
  <c r="T61"/>
  <c r="P61"/>
  <c r="L61"/>
  <c r="H61"/>
  <c r="D61"/>
  <c r="X60"/>
  <c r="T60"/>
  <c r="P60"/>
  <c r="L60"/>
  <c r="H60"/>
  <c r="D60"/>
  <c r="X59"/>
  <c r="T59"/>
  <c r="P59"/>
  <c r="L59"/>
  <c r="H59"/>
  <c r="D59"/>
  <c r="X58"/>
  <c r="T58"/>
  <c r="P58"/>
  <c r="L58"/>
  <c r="H58"/>
  <c r="D58"/>
  <c r="X57"/>
  <c r="T57"/>
  <c r="P57"/>
  <c r="L57"/>
  <c r="H57"/>
  <c r="D57"/>
  <c r="X56"/>
  <c r="T56"/>
  <c r="P56"/>
  <c r="L56"/>
  <c r="H56"/>
  <c r="D56"/>
  <c r="X55"/>
  <c r="T55"/>
  <c r="P55"/>
  <c r="L55"/>
  <c r="H55"/>
  <c r="D55"/>
  <c r="X54"/>
  <c r="T54"/>
  <c r="P54"/>
  <c r="L54"/>
  <c r="H54"/>
  <c r="D54"/>
  <c r="X53"/>
  <c r="T53"/>
  <c r="P53"/>
  <c r="L53"/>
  <c r="H53"/>
  <c r="D53"/>
  <c r="X52"/>
  <c r="T52"/>
  <c r="P52"/>
  <c r="L52"/>
  <c r="H52"/>
  <c r="D52"/>
  <c r="X51"/>
  <c r="T51"/>
  <c r="P51"/>
  <c r="L51"/>
  <c r="H51"/>
  <c r="D51"/>
  <c r="X50"/>
  <c r="T50"/>
  <c r="P50"/>
  <c r="L50"/>
  <c r="H50"/>
  <c r="D50"/>
  <c r="X49"/>
  <c r="T49"/>
  <c r="P49"/>
  <c r="L49"/>
  <c r="H49"/>
  <c r="D49"/>
  <c r="X48"/>
  <c r="T48"/>
  <c r="P48"/>
  <c r="L48"/>
  <c r="H48"/>
  <c r="D48"/>
  <c r="X47"/>
  <c r="T47"/>
  <c r="P47"/>
  <c r="L47"/>
  <c r="H47"/>
  <c r="D47"/>
  <c r="X46"/>
  <c r="T46"/>
  <c r="P46"/>
  <c r="L46"/>
  <c r="H46"/>
  <c r="D46"/>
  <c r="X45"/>
  <c r="T45"/>
  <c r="P45"/>
  <c r="L45"/>
  <c r="H45"/>
  <c r="D45"/>
  <c r="X44"/>
  <c r="T44"/>
  <c r="P44"/>
  <c r="L44"/>
  <c r="H44"/>
  <c r="D44"/>
  <c r="X43"/>
  <c r="T43"/>
  <c r="P43"/>
  <c r="L43"/>
  <c r="H43"/>
  <c r="D43"/>
  <c r="X42"/>
  <c r="T42"/>
  <c r="P42"/>
  <c r="L42"/>
  <c r="H42"/>
  <c r="D42"/>
  <c r="X41"/>
  <c r="T41"/>
  <c r="P41"/>
  <c r="L41"/>
  <c r="H41"/>
  <c r="D41"/>
  <c r="X40"/>
  <c r="T40"/>
  <c r="P40"/>
  <c r="L40"/>
  <c r="H40"/>
  <c r="D40"/>
  <c r="X39"/>
  <c r="T39"/>
  <c r="P39"/>
  <c r="L39"/>
  <c r="H39"/>
  <c r="D39"/>
  <c r="X38"/>
  <c r="T38"/>
  <c r="P38"/>
  <c r="L38"/>
  <c r="H38"/>
  <c r="D38"/>
  <c r="X37"/>
  <c r="T37"/>
  <c r="P37"/>
  <c r="L37"/>
  <c r="H37"/>
  <c r="D37"/>
  <c r="X36"/>
  <c r="T36"/>
  <c r="P36"/>
  <c r="L36"/>
  <c r="H36"/>
  <c r="D36"/>
  <c r="X35"/>
  <c r="T35"/>
  <c r="P35"/>
  <c r="L35"/>
  <c r="H35"/>
  <c r="D35"/>
  <c r="X34"/>
  <c r="T34"/>
  <c r="P34"/>
  <c r="L34"/>
  <c r="H34"/>
  <c r="D34"/>
  <c r="X33"/>
  <c r="T33"/>
  <c r="P33"/>
  <c r="L33"/>
  <c r="H33"/>
  <c r="D33"/>
  <c r="X32"/>
  <c r="T32"/>
  <c r="P32"/>
  <c r="L32"/>
  <c r="H32"/>
  <c r="D32"/>
  <c r="X31"/>
  <c r="T31"/>
  <c r="P31"/>
  <c r="L31"/>
  <c r="H31"/>
  <c r="D31"/>
  <c r="X30"/>
  <c r="T30"/>
  <c r="P30"/>
  <c r="L30"/>
  <c r="H30"/>
  <c r="D30"/>
  <c r="X29"/>
  <c r="T29"/>
  <c r="P29"/>
  <c r="L29"/>
  <c r="H29"/>
  <c r="D29"/>
  <c r="X28"/>
  <c r="T28"/>
  <c r="P28"/>
  <c r="L28"/>
  <c r="H28"/>
  <c r="D28"/>
  <c r="X27"/>
  <c r="T27"/>
  <c r="P27"/>
  <c r="L27"/>
  <c r="H27"/>
  <c r="D27"/>
  <c r="X26"/>
  <c r="T26"/>
  <c r="P26"/>
  <c r="L26"/>
  <c r="H26"/>
  <c r="D26"/>
  <c r="X25"/>
  <c r="T25"/>
  <c r="P25"/>
  <c r="L25"/>
  <c r="H25"/>
  <c r="D25"/>
  <c r="X24"/>
  <c r="T24"/>
  <c r="P24"/>
  <c r="L24"/>
  <c r="H24"/>
  <c r="D24"/>
  <c r="X23"/>
  <c r="T23"/>
  <c r="P23"/>
  <c r="L23"/>
  <c r="H23"/>
  <c r="D23"/>
  <c r="X22"/>
  <c r="T22"/>
  <c r="P22"/>
  <c r="L22"/>
  <c r="H22"/>
  <c r="D22"/>
  <c r="X21"/>
  <c r="T21"/>
  <c r="P21"/>
  <c r="L21"/>
  <c r="H21"/>
  <c r="D21"/>
  <c r="X20"/>
  <c r="T20"/>
  <c r="P20"/>
  <c r="L20"/>
  <c r="H20"/>
  <c r="D20"/>
  <c r="X19"/>
  <c r="T19"/>
  <c r="P19"/>
  <c r="L19"/>
  <c r="H19"/>
  <c r="D19"/>
  <c r="X18"/>
  <c r="T18"/>
  <c r="P18"/>
  <c r="L18"/>
  <c r="H18"/>
  <c r="D18"/>
  <c r="X17"/>
  <c r="T17"/>
  <c r="P17"/>
  <c r="L17"/>
  <c r="H17"/>
  <c r="D17"/>
  <c r="X16"/>
  <c r="T16"/>
  <c r="P16"/>
  <c r="L16"/>
  <c r="H16"/>
  <c r="D16"/>
  <c r="X15"/>
  <c r="T15"/>
  <c r="P15"/>
  <c r="L15"/>
  <c r="H15"/>
  <c r="D15"/>
  <c r="X14"/>
  <c r="T14"/>
  <c r="P14"/>
  <c r="L14"/>
  <c r="H14"/>
  <c r="D14"/>
  <c r="X13"/>
  <c r="T13"/>
  <c r="P13"/>
  <c r="L13"/>
  <c r="H13"/>
  <c r="D13"/>
  <c r="X12"/>
  <c r="T12"/>
  <c r="P12"/>
  <c r="L12"/>
  <c r="H12"/>
  <c r="D12"/>
  <c r="X11"/>
  <c r="T11"/>
  <c r="P11"/>
  <c r="L11"/>
  <c r="H11"/>
  <c r="D11"/>
  <c r="X10"/>
  <c r="T10"/>
  <c r="P10"/>
  <c r="L10"/>
  <c r="H10"/>
  <c r="D10"/>
  <c r="X9"/>
  <c r="T9"/>
  <c r="P9"/>
  <c r="L9"/>
  <c r="H9"/>
  <c r="D9"/>
  <c r="X8"/>
  <c r="T8"/>
  <c r="P8"/>
  <c r="L8"/>
  <c r="H8"/>
  <c r="D8"/>
  <c r="X7"/>
  <c r="T7"/>
  <c r="P7"/>
  <c r="L7"/>
  <c r="H7"/>
  <c r="D7"/>
  <c r="X6"/>
  <c r="T6"/>
  <c r="P6"/>
  <c r="L6"/>
  <c r="H6"/>
  <c r="D6"/>
  <c r="X5"/>
  <c r="T5"/>
  <c r="P5"/>
  <c r="L5"/>
  <c r="H5"/>
  <c r="D5"/>
  <c r="X4"/>
  <c r="T4"/>
  <c r="P4"/>
  <c r="L4"/>
  <c r="H4"/>
  <c r="D4"/>
  <c r="X123" i="39"/>
  <c r="T123"/>
  <c r="P123"/>
  <c r="S123"/>
  <c r="O123"/>
  <c r="L123"/>
  <c r="H123"/>
  <c r="D123"/>
  <c r="G123"/>
  <c r="C123"/>
  <c r="X122"/>
  <c r="T122"/>
  <c r="P122"/>
  <c r="S122"/>
  <c r="O122"/>
  <c r="L122"/>
  <c r="H122"/>
  <c r="D122"/>
  <c r="G122"/>
  <c r="C122"/>
  <c r="X121"/>
  <c r="T121"/>
  <c r="P121"/>
  <c r="S121"/>
  <c r="O121"/>
  <c r="L121"/>
  <c r="H121"/>
  <c r="D121"/>
  <c r="G121"/>
  <c r="C121"/>
  <c r="X120"/>
  <c r="T120"/>
  <c r="P120"/>
  <c r="S120"/>
  <c r="O120"/>
  <c r="L120"/>
  <c r="H120"/>
  <c r="D120"/>
  <c r="G120"/>
  <c r="C120"/>
  <c r="X119"/>
  <c r="T119"/>
  <c r="P119"/>
  <c r="S119"/>
  <c r="O119"/>
  <c r="L119"/>
  <c r="H119"/>
  <c r="D119"/>
  <c r="G119"/>
  <c r="C119"/>
  <c r="X118"/>
  <c r="T118"/>
  <c r="P118"/>
  <c r="S118"/>
  <c r="O118"/>
  <c r="L118"/>
  <c r="H118"/>
  <c r="D118"/>
  <c r="G118"/>
  <c r="C118"/>
  <c r="X117"/>
  <c r="T117"/>
  <c r="P117"/>
  <c r="S117"/>
  <c r="O117"/>
  <c r="Q117" s="1"/>
  <c r="L117"/>
  <c r="H117"/>
  <c r="D117"/>
  <c r="G117"/>
  <c r="I117" s="1"/>
  <c r="C117"/>
  <c r="X116"/>
  <c r="T116"/>
  <c r="P116"/>
  <c r="S116"/>
  <c r="O116"/>
  <c r="L116"/>
  <c r="H116"/>
  <c r="D116"/>
  <c r="G116"/>
  <c r="C116"/>
  <c r="X115"/>
  <c r="T115"/>
  <c r="P115"/>
  <c r="S115"/>
  <c r="O115"/>
  <c r="L115"/>
  <c r="H115"/>
  <c r="D115"/>
  <c r="G115"/>
  <c r="I115"/>
  <c r="C115"/>
  <c r="X114"/>
  <c r="T114"/>
  <c r="P114"/>
  <c r="S114"/>
  <c r="O114"/>
  <c r="Q114" s="1"/>
  <c r="L114"/>
  <c r="H114"/>
  <c r="D114"/>
  <c r="G114"/>
  <c r="I114" s="1"/>
  <c r="C114"/>
  <c r="X113"/>
  <c r="T113"/>
  <c r="P113"/>
  <c r="S113"/>
  <c r="O113"/>
  <c r="L113"/>
  <c r="H113"/>
  <c r="D113"/>
  <c r="G113"/>
  <c r="I113" s="1"/>
  <c r="C113"/>
  <c r="X112"/>
  <c r="T112"/>
  <c r="P112"/>
  <c r="S112"/>
  <c r="O112"/>
  <c r="Q112" s="1"/>
  <c r="L112"/>
  <c r="H112"/>
  <c r="D112"/>
  <c r="G112"/>
  <c r="I112" s="1"/>
  <c r="C112"/>
  <c r="X111"/>
  <c r="T111"/>
  <c r="P111"/>
  <c r="S111"/>
  <c r="O111"/>
  <c r="L111"/>
  <c r="H111"/>
  <c r="D111"/>
  <c r="G111"/>
  <c r="I111"/>
  <c r="C111"/>
  <c r="X110"/>
  <c r="T110"/>
  <c r="P110"/>
  <c r="S110"/>
  <c r="O110"/>
  <c r="L110"/>
  <c r="H110"/>
  <c r="D110"/>
  <c r="G110"/>
  <c r="I110" s="1"/>
  <c r="C110"/>
  <c r="X109"/>
  <c r="T109"/>
  <c r="P109"/>
  <c r="S109"/>
  <c r="O109"/>
  <c r="L109"/>
  <c r="H109"/>
  <c r="D109"/>
  <c r="G109"/>
  <c r="I109" s="1"/>
  <c r="C109"/>
  <c r="X108"/>
  <c r="T108"/>
  <c r="P108"/>
  <c r="S108"/>
  <c r="O108"/>
  <c r="L108"/>
  <c r="H108"/>
  <c r="D108"/>
  <c r="G108"/>
  <c r="C108"/>
  <c r="X107"/>
  <c r="T107"/>
  <c r="P107"/>
  <c r="S107"/>
  <c r="O107"/>
  <c r="L107"/>
  <c r="H107"/>
  <c r="D107"/>
  <c r="G107"/>
  <c r="I107" s="1"/>
  <c r="C107"/>
  <c r="X106"/>
  <c r="T106"/>
  <c r="P106"/>
  <c r="S106"/>
  <c r="O106"/>
  <c r="Q106"/>
  <c r="L106"/>
  <c r="H106"/>
  <c r="D106"/>
  <c r="G106"/>
  <c r="C106"/>
  <c r="X105"/>
  <c r="T105"/>
  <c r="P105"/>
  <c r="S105"/>
  <c r="O105"/>
  <c r="L105"/>
  <c r="H105"/>
  <c r="D105"/>
  <c r="G105"/>
  <c r="C105"/>
  <c r="X104"/>
  <c r="T104"/>
  <c r="P104"/>
  <c r="S104"/>
  <c r="O104"/>
  <c r="Q104" s="1"/>
  <c r="L104"/>
  <c r="H104"/>
  <c r="D104"/>
  <c r="G104"/>
  <c r="I104" s="1"/>
  <c r="C104"/>
  <c r="X103"/>
  <c r="T103"/>
  <c r="P103"/>
  <c r="S103"/>
  <c r="O103"/>
  <c r="L103"/>
  <c r="H103"/>
  <c r="D103"/>
  <c r="G103"/>
  <c r="I103" s="1"/>
  <c r="C103"/>
  <c r="X102"/>
  <c r="T102"/>
  <c r="P102"/>
  <c r="S102"/>
  <c r="O102"/>
  <c r="Q102"/>
  <c r="L102"/>
  <c r="H102"/>
  <c r="D102"/>
  <c r="G102"/>
  <c r="I102" s="1"/>
  <c r="C102"/>
  <c r="X101"/>
  <c r="T101"/>
  <c r="P101"/>
  <c r="S101"/>
  <c r="O101"/>
  <c r="L101"/>
  <c r="H101"/>
  <c r="D101"/>
  <c r="G101"/>
  <c r="C101"/>
  <c r="X100"/>
  <c r="T100"/>
  <c r="P100"/>
  <c r="S100"/>
  <c r="O100"/>
  <c r="L100"/>
  <c r="H100"/>
  <c r="D100"/>
  <c r="G100"/>
  <c r="I100" s="1"/>
  <c r="C100"/>
  <c r="X99"/>
  <c r="T99"/>
  <c r="P99"/>
  <c r="S99"/>
  <c r="O99"/>
  <c r="L99"/>
  <c r="H99"/>
  <c r="D99"/>
  <c r="G99"/>
  <c r="I99" s="1"/>
  <c r="C99"/>
  <c r="X98"/>
  <c r="T98"/>
  <c r="P98"/>
  <c r="S98"/>
  <c r="O98"/>
  <c r="L98"/>
  <c r="H98"/>
  <c r="D98"/>
  <c r="G98"/>
  <c r="C98"/>
  <c r="X97"/>
  <c r="T97"/>
  <c r="P97"/>
  <c r="S97"/>
  <c r="O97"/>
  <c r="L97"/>
  <c r="H97"/>
  <c r="D97"/>
  <c r="G97"/>
  <c r="I97" s="1"/>
  <c r="C97"/>
  <c r="X96"/>
  <c r="T96"/>
  <c r="P96"/>
  <c r="S96"/>
  <c r="O96"/>
  <c r="L96"/>
  <c r="H96"/>
  <c r="D96"/>
  <c r="G96"/>
  <c r="I96"/>
  <c r="C96"/>
  <c r="X95"/>
  <c r="T95"/>
  <c r="P95"/>
  <c r="S95"/>
  <c r="O95"/>
  <c r="L95"/>
  <c r="H95"/>
  <c r="D95"/>
  <c r="G95"/>
  <c r="C95"/>
  <c r="X94"/>
  <c r="T94"/>
  <c r="P94"/>
  <c r="S94"/>
  <c r="O94"/>
  <c r="L94"/>
  <c r="H94"/>
  <c r="D94"/>
  <c r="G94"/>
  <c r="C94"/>
  <c r="X93"/>
  <c r="T93"/>
  <c r="P93"/>
  <c r="S93"/>
  <c r="O93"/>
  <c r="L93"/>
  <c r="H93"/>
  <c r="D93"/>
  <c r="G93"/>
  <c r="C93"/>
  <c r="X92"/>
  <c r="T92"/>
  <c r="P92"/>
  <c r="S92"/>
  <c r="O92"/>
  <c r="L92"/>
  <c r="H92"/>
  <c r="D92"/>
  <c r="G92"/>
  <c r="I92" s="1"/>
  <c r="C92"/>
  <c r="X91"/>
  <c r="T91"/>
  <c r="P91"/>
  <c r="S91"/>
  <c r="O91"/>
  <c r="L91"/>
  <c r="H91"/>
  <c r="D91"/>
  <c r="G91"/>
  <c r="C91"/>
  <c r="X90"/>
  <c r="T90"/>
  <c r="P90"/>
  <c r="S90"/>
  <c r="O90"/>
  <c r="L90"/>
  <c r="H90"/>
  <c r="D90"/>
  <c r="G90"/>
  <c r="I90" s="1"/>
  <c r="C90"/>
  <c r="X89"/>
  <c r="T89"/>
  <c r="P89"/>
  <c r="S89"/>
  <c r="O89"/>
  <c r="L89"/>
  <c r="H89"/>
  <c r="D89"/>
  <c r="G89"/>
  <c r="I89" s="1"/>
  <c r="C89"/>
  <c r="X88"/>
  <c r="T88"/>
  <c r="P88"/>
  <c r="S88"/>
  <c r="O88"/>
  <c r="L88"/>
  <c r="H88"/>
  <c r="D88"/>
  <c r="G88"/>
  <c r="I88"/>
  <c r="C88"/>
  <c r="X87"/>
  <c r="T87"/>
  <c r="P87"/>
  <c r="S87"/>
  <c r="O87"/>
  <c r="L87"/>
  <c r="H87"/>
  <c r="D87"/>
  <c r="G87"/>
  <c r="I87" s="1"/>
  <c r="C87"/>
  <c r="X86"/>
  <c r="T86"/>
  <c r="P86"/>
  <c r="S86"/>
  <c r="O86"/>
  <c r="L86"/>
  <c r="H86"/>
  <c r="D86"/>
  <c r="G86"/>
  <c r="C86"/>
  <c r="X85"/>
  <c r="T85"/>
  <c r="P85"/>
  <c r="S85"/>
  <c r="O85"/>
  <c r="L85"/>
  <c r="H85"/>
  <c r="D85"/>
  <c r="G85"/>
  <c r="I85" s="1"/>
  <c r="C85"/>
  <c r="X84"/>
  <c r="T84"/>
  <c r="P84"/>
  <c r="S84"/>
  <c r="O84"/>
  <c r="L84"/>
  <c r="H84"/>
  <c r="D84"/>
  <c r="G84"/>
  <c r="I84" s="1"/>
  <c r="C84"/>
  <c r="X83"/>
  <c r="T83"/>
  <c r="P83"/>
  <c r="S83"/>
  <c r="O83"/>
  <c r="L83"/>
  <c r="H83"/>
  <c r="D83"/>
  <c r="G83"/>
  <c r="I83" s="1"/>
  <c r="C83"/>
  <c r="X82"/>
  <c r="T82"/>
  <c r="P82"/>
  <c r="S82"/>
  <c r="O82"/>
  <c r="L82"/>
  <c r="H82"/>
  <c r="D82"/>
  <c r="G82"/>
  <c r="C82"/>
  <c r="X81"/>
  <c r="T81"/>
  <c r="P81"/>
  <c r="S81"/>
  <c r="O81"/>
  <c r="L81"/>
  <c r="H81"/>
  <c r="D81"/>
  <c r="G81"/>
  <c r="I81" s="1"/>
  <c r="C81"/>
  <c r="X80"/>
  <c r="T80"/>
  <c r="P80"/>
  <c r="S80"/>
  <c r="O80"/>
  <c r="L80"/>
  <c r="H80"/>
  <c r="D80"/>
  <c r="G80"/>
  <c r="I80"/>
  <c r="C80"/>
  <c r="X79"/>
  <c r="T79"/>
  <c r="P79"/>
  <c r="S79"/>
  <c r="O79"/>
  <c r="L79"/>
  <c r="H79"/>
  <c r="D79"/>
  <c r="G79"/>
  <c r="C79"/>
  <c r="X78"/>
  <c r="T78"/>
  <c r="P78"/>
  <c r="S78"/>
  <c r="O78"/>
  <c r="L78"/>
  <c r="H78"/>
  <c r="D78"/>
  <c r="G78"/>
  <c r="I78" s="1"/>
  <c r="C78"/>
  <c r="X77"/>
  <c r="T77"/>
  <c r="P77"/>
  <c r="S77"/>
  <c r="O77"/>
  <c r="L77"/>
  <c r="H77"/>
  <c r="D77"/>
  <c r="G77"/>
  <c r="C77"/>
  <c r="X76"/>
  <c r="T76"/>
  <c r="P76"/>
  <c r="S76"/>
  <c r="O76"/>
  <c r="L76"/>
  <c r="H76"/>
  <c r="D76"/>
  <c r="G76"/>
  <c r="I76" s="1"/>
  <c r="C76"/>
  <c r="X75"/>
  <c r="T75"/>
  <c r="P75"/>
  <c r="S75"/>
  <c r="O75"/>
  <c r="L75"/>
  <c r="H75"/>
  <c r="D75"/>
  <c r="G75"/>
  <c r="C75"/>
  <c r="X74"/>
  <c r="T74"/>
  <c r="P74"/>
  <c r="S74"/>
  <c r="O74"/>
  <c r="Q74" s="1"/>
  <c r="L74"/>
  <c r="H74"/>
  <c r="D74"/>
  <c r="G74"/>
  <c r="I74"/>
  <c r="C74"/>
  <c r="X73"/>
  <c r="T73"/>
  <c r="P73"/>
  <c r="S73"/>
  <c r="O73"/>
  <c r="Q73" s="1"/>
  <c r="L73"/>
  <c r="H73"/>
  <c r="D73"/>
  <c r="G73"/>
  <c r="I73" s="1"/>
  <c r="C73"/>
  <c r="X72"/>
  <c r="T72"/>
  <c r="P72"/>
  <c r="S72"/>
  <c r="O72"/>
  <c r="L72"/>
  <c r="H72"/>
  <c r="D72"/>
  <c r="G72"/>
  <c r="I72" s="1"/>
  <c r="C72"/>
  <c r="X71"/>
  <c r="T71"/>
  <c r="P71"/>
  <c r="S71"/>
  <c r="O71"/>
  <c r="Q71" s="1"/>
  <c r="L71"/>
  <c r="H71"/>
  <c r="D71"/>
  <c r="G71"/>
  <c r="I71" s="1"/>
  <c r="C71"/>
  <c r="X70"/>
  <c r="T70"/>
  <c r="P70"/>
  <c r="S70"/>
  <c r="O70"/>
  <c r="L70"/>
  <c r="H70"/>
  <c r="D70"/>
  <c r="G70"/>
  <c r="C70"/>
  <c r="X69"/>
  <c r="T69"/>
  <c r="P69"/>
  <c r="S69"/>
  <c r="O69"/>
  <c r="Q69"/>
  <c r="L69"/>
  <c r="H69"/>
  <c r="D69"/>
  <c r="G69"/>
  <c r="C69"/>
  <c r="X68"/>
  <c r="T68"/>
  <c r="P68"/>
  <c r="S68"/>
  <c r="O68"/>
  <c r="L68"/>
  <c r="H68"/>
  <c r="D68"/>
  <c r="G68"/>
  <c r="C68"/>
  <c r="X67"/>
  <c r="T67"/>
  <c r="P67"/>
  <c r="S67"/>
  <c r="O67"/>
  <c r="L67"/>
  <c r="H67"/>
  <c r="D67"/>
  <c r="G67"/>
  <c r="C67"/>
  <c r="X66"/>
  <c r="T66"/>
  <c r="P66"/>
  <c r="S66"/>
  <c r="O66"/>
  <c r="L66"/>
  <c r="H66"/>
  <c r="D66"/>
  <c r="G66"/>
  <c r="C66"/>
  <c r="X65"/>
  <c r="T65"/>
  <c r="P65"/>
  <c r="S65"/>
  <c r="O65"/>
  <c r="L65"/>
  <c r="H65"/>
  <c r="D65"/>
  <c r="G65"/>
  <c r="I65" s="1"/>
  <c r="C65"/>
  <c r="X64"/>
  <c r="T64"/>
  <c r="P64"/>
  <c r="S64"/>
  <c r="O64"/>
  <c r="L64"/>
  <c r="H64"/>
  <c r="D64"/>
  <c r="G64"/>
  <c r="C64"/>
  <c r="X63"/>
  <c r="T63"/>
  <c r="P63"/>
  <c r="S63"/>
  <c r="O63"/>
  <c r="L63"/>
  <c r="H63"/>
  <c r="D63"/>
  <c r="G63"/>
  <c r="C63"/>
  <c r="X62"/>
  <c r="T62"/>
  <c r="P62"/>
  <c r="S62"/>
  <c r="O62"/>
  <c r="Q62" s="1"/>
  <c r="L62"/>
  <c r="H62"/>
  <c r="D62"/>
  <c r="G62"/>
  <c r="C62"/>
  <c r="X61"/>
  <c r="T61"/>
  <c r="P61"/>
  <c r="S61"/>
  <c r="O61"/>
  <c r="Q61"/>
  <c r="L61"/>
  <c r="H61"/>
  <c r="D61"/>
  <c r="G61"/>
  <c r="I61" s="1"/>
  <c r="C61"/>
  <c r="X60"/>
  <c r="T60"/>
  <c r="P60"/>
  <c r="S60"/>
  <c r="O60"/>
  <c r="L60"/>
  <c r="H60"/>
  <c r="D60"/>
  <c r="G60"/>
  <c r="C60"/>
  <c r="X59"/>
  <c r="T59"/>
  <c r="P59"/>
  <c r="S59"/>
  <c r="O59"/>
  <c r="L59"/>
  <c r="H59"/>
  <c r="D59"/>
  <c r="G59"/>
  <c r="I59" s="1"/>
  <c r="C59"/>
  <c r="X58"/>
  <c r="T58"/>
  <c r="P58"/>
  <c r="S58"/>
  <c r="O58"/>
  <c r="L58"/>
  <c r="H58"/>
  <c r="D58"/>
  <c r="G58"/>
  <c r="C58"/>
  <c r="X57"/>
  <c r="T57"/>
  <c r="P57"/>
  <c r="S57"/>
  <c r="O57"/>
  <c r="Q57" s="1"/>
  <c r="L57"/>
  <c r="H57"/>
  <c r="D57"/>
  <c r="G57"/>
  <c r="I57" s="1"/>
  <c r="C57"/>
  <c r="X56"/>
  <c r="T56"/>
  <c r="P56"/>
  <c r="S56"/>
  <c r="O56"/>
  <c r="L56"/>
  <c r="H56"/>
  <c r="D56"/>
  <c r="G56"/>
  <c r="C56"/>
  <c r="X55"/>
  <c r="T55"/>
  <c r="P55"/>
  <c r="S55"/>
  <c r="O55"/>
  <c r="Q55" s="1"/>
  <c r="L55"/>
  <c r="H55"/>
  <c r="D55"/>
  <c r="G55"/>
  <c r="I55" s="1"/>
  <c r="C55"/>
  <c r="X54"/>
  <c r="T54"/>
  <c r="P54"/>
  <c r="S54"/>
  <c r="O54"/>
  <c r="L54"/>
  <c r="H54"/>
  <c r="D54"/>
  <c r="G54"/>
  <c r="C54"/>
  <c r="X53"/>
  <c r="T53"/>
  <c r="P53"/>
  <c r="S53"/>
  <c r="O53"/>
  <c r="Q53" s="1"/>
  <c r="L53"/>
  <c r="H53"/>
  <c r="D53"/>
  <c r="G53"/>
  <c r="C53"/>
  <c r="X52"/>
  <c r="T52"/>
  <c r="P52"/>
  <c r="S52"/>
  <c r="O52"/>
  <c r="L52"/>
  <c r="H52"/>
  <c r="D52"/>
  <c r="G52"/>
  <c r="C52"/>
  <c r="X51"/>
  <c r="T51"/>
  <c r="P51"/>
  <c r="S51"/>
  <c r="O51"/>
  <c r="L51"/>
  <c r="H51"/>
  <c r="D51"/>
  <c r="G51"/>
  <c r="C51"/>
  <c r="X50"/>
  <c r="T50"/>
  <c r="P50"/>
  <c r="S50"/>
  <c r="O50"/>
  <c r="L50"/>
  <c r="H50"/>
  <c r="D50"/>
  <c r="G50"/>
  <c r="C50"/>
  <c r="X49"/>
  <c r="T49"/>
  <c r="P49"/>
  <c r="S49"/>
  <c r="O49"/>
  <c r="Q49" s="1"/>
  <c r="L49"/>
  <c r="H49"/>
  <c r="I49"/>
  <c r="D49"/>
  <c r="G49"/>
  <c r="C49"/>
  <c r="X48"/>
  <c r="T48"/>
  <c r="P48"/>
  <c r="S48"/>
  <c r="O48"/>
  <c r="L48"/>
  <c r="H48"/>
  <c r="D48"/>
  <c r="G48"/>
  <c r="C48"/>
  <c r="X47"/>
  <c r="T47"/>
  <c r="P47"/>
  <c r="S47"/>
  <c r="O47"/>
  <c r="L47"/>
  <c r="H47"/>
  <c r="D47"/>
  <c r="G47"/>
  <c r="C47"/>
  <c r="X46"/>
  <c r="T46"/>
  <c r="P46"/>
  <c r="S46"/>
  <c r="O46"/>
  <c r="L46"/>
  <c r="H46"/>
  <c r="D46"/>
  <c r="G46"/>
  <c r="C46"/>
  <c r="X45"/>
  <c r="T45"/>
  <c r="P45"/>
  <c r="S45"/>
  <c r="O45"/>
  <c r="L45"/>
  <c r="H45"/>
  <c r="D45"/>
  <c r="G45"/>
  <c r="C45"/>
  <c r="X44"/>
  <c r="T44"/>
  <c r="P44"/>
  <c r="S44"/>
  <c r="O44"/>
  <c r="L44"/>
  <c r="H44"/>
  <c r="D44"/>
  <c r="G44"/>
  <c r="C44"/>
  <c r="X43"/>
  <c r="T43"/>
  <c r="P43"/>
  <c r="S43"/>
  <c r="O43"/>
  <c r="L43"/>
  <c r="H43"/>
  <c r="D43"/>
  <c r="G43"/>
  <c r="C43"/>
  <c r="X42"/>
  <c r="T42"/>
  <c r="P42"/>
  <c r="S42"/>
  <c r="O42"/>
  <c r="L42"/>
  <c r="H42"/>
  <c r="D42"/>
  <c r="G42"/>
  <c r="C42"/>
  <c r="X41"/>
  <c r="T41"/>
  <c r="P41"/>
  <c r="S41"/>
  <c r="O41"/>
  <c r="L41"/>
  <c r="H41"/>
  <c r="D41"/>
  <c r="G41"/>
  <c r="I41" s="1"/>
  <c r="C41"/>
  <c r="X40"/>
  <c r="T40"/>
  <c r="P40"/>
  <c r="S40"/>
  <c r="O40"/>
  <c r="L40"/>
  <c r="H40"/>
  <c r="D40"/>
  <c r="G40"/>
  <c r="C40"/>
  <c r="X39"/>
  <c r="T39"/>
  <c r="P39"/>
  <c r="S39"/>
  <c r="O39"/>
  <c r="Q39" s="1"/>
  <c r="L39"/>
  <c r="H39"/>
  <c r="D39"/>
  <c r="G39"/>
  <c r="I39" s="1"/>
  <c r="C39"/>
  <c r="X38"/>
  <c r="T38"/>
  <c r="P38"/>
  <c r="S38"/>
  <c r="O38"/>
  <c r="L38"/>
  <c r="H38"/>
  <c r="D38"/>
  <c r="G38"/>
  <c r="C38"/>
  <c r="X37"/>
  <c r="T37"/>
  <c r="P37"/>
  <c r="S37"/>
  <c r="O37"/>
  <c r="L37"/>
  <c r="H37"/>
  <c r="D37"/>
  <c r="G37"/>
  <c r="C37"/>
  <c r="X36"/>
  <c r="T36"/>
  <c r="P36"/>
  <c r="S36"/>
  <c r="O36"/>
  <c r="L36"/>
  <c r="H36"/>
  <c r="D36"/>
  <c r="G36"/>
  <c r="C36"/>
  <c r="X35"/>
  <c r="T35"/>
  <c r="P35"/>
  <c r="S35"/>
  <c r="O35"/>
  <c r="Q35" s="1"/>
  <c r="L35"/>
  <c r="H35"/>
  <c r="D35"/>
  <c r="G35"/>
  <c r="I35" s="1"/>
  <c r="C35"/>
  <c r="X34"/>
  <c r="T34"/>
  <c r="P34"/>
  <c r="S34"/>
  <c r="O34"/>
  <c r="Q34"/>
  <c r="L34"/>
  <c r="H34"/>
  <c r="D34"/>
  <c r="G34"/>
  <c r="C34"/>
  <c r="X33"/>
  <c r="T33"/>
  <c r="P33"/>
  <c r="S33"/>
  <c r="O33"/>
  <c r="L33"/>
  <c r="H33"/>
  <c r="D33"/>
  <c r="G33"/>
  <c r="C33"/>
  <c r="X32"/>
  <c r="T32"/>
  <c r="P32"/>
  <c r="S32"/>
  <c r="O32"/>
  <c r="L32"/>
  <c r="H32"/>
  <c r="D32"/>
  <c r="G32"/>
  <c r="C32"/>
  <c r="X31"/>
  <c r="T31"/>
  <c r="P31"/>
  <c r="S31"/>
  <c r="O31"/>
  <c r="L31"/>
  <c r="H31"/>
  <c r="D31"/>
  <c r="G31"/>
  <c r="C31"/>
  <c r="X30"/>
  <c r="T30"/>
  <c r="P30"/>
  <c r="S30"/>
  <c r="O30"/>
  <c r="L30"/>
  <c r="H30"/>
  <c r="D30"/>
  <c r="G30"/>
  <c r="I30" s="1"/>
  <c r="C30"/>
  <c r="X29"/>
  <c r="T29"/>
  <c r="P29"/>
  <c r="S29"/>
  <c r="O29"/>
  <c r="L29"/>
  <c r="H29"/>
  <c r="D29"/>
  <c r="G29"/>
  <c r="C29"/>
  <c r="X28"/>
  <c r="T28"/>
  <c r="P28"/>
  <c r="S28"/>
  <c r="O28"/>
  <c r="Q28" s="1"/>
  <c r="L28"/>
  <c r="H28"/>
  <c r="D28"/>
  <c r="G28"/>
  <c r="C28"/>
  <c r="X27"/>
  <c r="T27"/>
  <c r="P27"/>
  <c r="S27"/>
  <c r="O27"/>
  <c r="L27"/>
  <c r="H27"/>
  <c r="D27"/>
  <c r="G27"/>
  <c r="I27" s="1"/>
  <c r="C27"/>
  <c r="X26"/>
  <c r="T26"/>
  <c r="P26"/>
  <c r="S26"/>
  <c r="O26"/>
  <c r="Q26" s="1"/>
  <c r="L26"/>
  <c r="H26"/>
  <c r="D26"/>
  <c r="G26"/>
  <c r="C26"/>
  <c r="X25"/>
  <c r="T25"/>
  <c r="P25"/>
  <c r="S25"/>
  <c r="O25"/>
  <c r="L25"/>
  <c r="H25"/>
  <c r="D25"/>
  <c r="G25"/>
  <c r="C25"/>
  <c r="X24"/>
  <c r="T24"/>
  <c r="P24"/>
  <c r="S24"/>
  <c r="O24"/>
  <c r="L24"/>
  <c r="H24"/>
  <c r="D24"/>
  <c r="G24"/>
  <c r="I24" s="1"/>
  <c r="C24"/>
  <c r="X23"/>
  <c r="T23"/>
  <c r="P23"/>
  <c r="S23"/>
  <c r="O23"/>
  <c r="L23"/>
  <c r="H23"/>
  <c r="D23"/>
  <c r="G23"/>
  <c r="C23"/>
  <c r="X22"/>
  <c r="T22"/>
  <c r="P22"/>
  <c r="S22"/>
  <c r="O22"/>
  <c r="L22"/>
  <c r="H22"/>
  <c r="D22"/>
  <c r="G22"/>
  <c r="C22"/>
  <c r="X21"/>
  <c r="T21"/>
  <c r="P21"/>
  <c r="S21"/>
  <c r="O21"/>
  <c r="L21"/>
  <c r="H21"/>
  <c r="D21"/>
  <c r="G21"/>
  <c r="I21"/>
  <c r="C21"/>
  <c r="X20"/>
  <c r="T20"/>
  <c r="P20"/>
  <c r="S20"/>
  <c r="O20"/>
  <c r="L20"/>
  <c r="H20"/>
  <c r="D20"/>
  <c r="G20"/>
  <c r="C20"/>
  <c r="X19"/>
  <c r="T19"/>
  <c r="P19"/>
  <c r="S19"/>
  <c r="O19"/>
  <c r="Q19" s="1"/>
  <c r="L19"/>
  <c r="H19"/>
  <c r="D19"/>
  <c r="G19"/>
  <c r="C19"/>
  <c r="X18"/>
  <c r="T18"/>
  <c r="P18"/>
  <c r="S18"/>
  <c r="O18"/>
  <c r="L18"/>
  <c r="H18"/>
  <c r="D18"/>
  <c r="G18"/>
  <c r="C18"/>
  <c r="X17"/>
  <c r="T17"/>
  <c r="P17"/>
  <c r="S17"/>
  <c r="O17"/>
  <c r="L17"/>
  <c r="H17"/>
  <c r="D17"/>
  <c r="G17"/>
  <c r="C17"/>
  <c r="X16"/>
  <c r="T16"/>
  <c r="P16"/>
  <c r="S16"/>
  <c r="O16"/>
  <c r="L16"/>
  <c r="H16"/>
  <c r="D16"/>
  <c r="G16"/>
  <c r="C16"/>
  <c r="X15"/>
  <c r="T15"/>
  <c r="P15"/>
  <c r="S15"/>
  <c r="O15"/>
  <c r="L15"/>
  <c r="H15"/>
  <c r="D15"/>
  <c r="G15"/>
  <c r="C15"/>
  <c r="X14"/>
  <c r="T14"/>
  <c r="P14"/>
  <c r="S14"/>
  <c r="O14"/>
  <c r="L14"/>
  <c r="H14"/>
  <c r="D14"/>
  <c r="G14"/>
  <c r="I14" s="1"/>
  <c r="C14"/>
  <c r="X13"/>
  <c r="T13"/>
  <c r="P13"/>
  <c r="S13"/>
  <c r="O13"/>
  <c r="L13"/>
  <c r="H13"/>
  <c r="D13"/>
  <c r="G13"/>
  <c r="C13"/>
  <c r="X12"/>
  <c r="T12"/>
  <c r="P12"/>
  <c r="S12"/>
  <c r="O12"/>
  <c r="L12"/>
  <c r="H12"/>
  <c r="D12"/>
  <c r="G12"/>
  <c r="C12"/>
  <c r="X11"/>
  <c r="T11"/>
  <c r="P11"/>
  <c r="S11"/>
  <c r="O11"/>
  <c r="Q11" s="1"/>
  <c r="L11"/>
  <c r="H11"/>
  <c r="D11"/>
  <c r="G11"/>
  <c r="C11"/>
  <c r="X10"/>
  <c r="T10"/>
  <c r="P10"/>
  <c r="S10"/>
  <c r="O10"/>
  <c r="Q10"/>
  <c r="L10"/>
  <c r="H10"/>
  <c r="D10"/>
  <c r="G10"/>
  <c r="C10"/>
  <c r="X9"/>
  <c r="T9"/>
  <c r="P9"/>
  <c r="S9"/>
  <c r="O9"/>
  <c r="L9"/>
  <c r="H9"/>
  <c r="D9"/>
  <c r="G9"/>
  <c r="C9"/>
  <c r="X8"/>
  <c r="T8"/>
  <c r="P8"/>
  <c r="S8"/>
  <c r="O8"/>
  <c r="L8"/>
  <c r="H8"/>
  <c r="D8"/>
  <c r="G8"/>
  <c r="I8" s="1"/>
  <c r="C8"/>
  <c r="X7"/>
  <c r="T7"/>
  <c r="P7"/>
  <c r="S7"/>
  <c r="O7"/>
  <c r="L7"/>
  <c r="H7"/>
  <c r="D7"/>
  <c r="G7"/>
  <c r="C7"/>
  <c r="X6"/>
  <c r="T6"/>
  <c r="P6"/>
  <c r="S6"/>
  <c r="O6"/>
  <c r="L6"/>
  <c r="H6"/>
  <c r="D6"/>
  <c r="G6"/>
  <c r="C6"/>
  <c r="X5"/>
  <c r="T5"/>
  <c r="P5"/>
  <c r="S5"/>
  <c r="O5"/>
  <c r="L5"/>
  <c r="H5"/>
  <c r="D5"/>
  <c r="G5"/>
  <c r="C5"/>
  <c r="X4"/>
  <c r="T4"/>
  <c r="P4"/>
  <c r="O4"/>
  <c r="S4"/>
  <c r="L4"/>
  <c r="H4"/>
  <c r="D4"/>
  <c r="G4"/>
  <c r="C4"/>
  <c r="E122" i="38"/>
  <c r="E123"/>
  <c r="D122"/>
  <c r="D123"/>
  <c r="C122"/>
  <c r="C123"/>
  <c r="F121"/>
  <c r="F120"/>
  <c r="F119"/>
  <c r="F118"/>
  <c r="F117"/>
  <c r="F116"/>
  <c r="F115"/>
  <c r="F114"/>
  <c r="F113"/>
  <c r="F112"/>
  <c r="F111"/>
  <c r="F110"/>
  <c r="F109"/>
  <c r="F108"/>
  <c r="F107"/>
  <c r="F106"/>
  <c r="F105"/>
  <c r="F104"/>
  <c r="F103"/>
  <c r="F102"/>
  <c r="F101"/>
  <c r="F100"/>
  <c r="F99"/>
  <c r="F98"/>
  <c r="F97"/>
  <c r="F96"/>
  <c r="F95"/>
  <c r="F94"/>
  <c r="F93"/>
  <c r="F92"/>
  <c r="F91"/>
  <c r="F90"/>
  <c r="F89"/>
  <c r="F88"/>
  <c r="F87"/>
  <c r="F86"/>
  <c r="F85"/>
  <c r="F84"/>
  <c r="F83"/>
  <c r="F82"/>
  <c r="F81"/>
  <c r="F80"/>
  <c r="F79"/>
  <c r="F78"/>
  <c r="F77"/>
  <c r="F76"/>
  <c r="F75"/>
  <c r="F74"/>
  <c r="F73"/>
  <c r="F72"/>
  <c r="F71"/>
  <c r="F70"/>
  <c r="F69"/>
  <c r="F68"/>
  <c r="F67"/>
  <c r="F66"/>
  <c r="F65"/>
  <c r="F64"/>
  <c r="F63"/>
  <c r="F62"/>
  <c r="F61"/>
  <c r="F60"/>
  <c r="F59"/>
  <c r="F58"/>
  <c r="F57"/>
  <c r="F56"/>
  <c r="F55"/>
  <c r="F54"/>
  <c r="F53"/>
  <c r="F52"/>
  <c r="F51"/>
  <c r="F50"/>
  <c r="F49"/>
  <c r="F48"/>
  <c r="F47"/>
  <c r="F46"/>
  <c r="F45"/>
  <c r="F44"/>
  <c r="F43"/>
  <c r="F42"/>
  <c r="F41"/>
  <c r="F40"/>
  <c r="F39"/>
  <c r="F38"/>
  <c r="F37"/>
  <c r="F36"/>
  <c r="F35"/>
  <c r="F34"/>
  <c r="F33"/>
  <c r="F32"/>
  <c r="F31"/>
  <c r="F30"/>
  <c r="F29"/>
  <c r="F28"/>
  <c r="F27"/>
  <c r="F26"/>
  <c r="F25"/>
  <c r="F24"/>
  <c r="F23"/>
  <c r="F22"/>
  <c r="F21"/>
  <c r="F20"/>
  <c r="F19"/>
  <c r="F18"/>
  <c r="F17"/>
  <c r="F16"/>
  <c r="F15"/>
  <c r="F14"/>
  <c r="F13"/>
  <c r="F12"/>
  <c r="F11"/>
  <c r="F10"/>
  <c r="F9"/>
  <c r="F8"/>
  <c r="F7"/>
  <c r="F6"/>
  <c r="F5"/>
  <c r="F4"/>
  <c r="F3"/>
  <c r="F2"/>
  <c r="C1" i="36"/>
  <c r="D1"/>
  <c r="E1" s="1"/>
  <c r="F1" s="1"/>
  <c r="G1" s="1"/>
  <c r="H1" s="1"/>
  <c r="I1" s="1"/>
  <c r="J1" s="1"/>
  <c r="K1" s="1"/>
  <c r="L1" s="1"/>
  <c r="M1" s="1"/>
  <c r="N1" s="1"/>
  <c r="O1" s="1"/>
  <c r="X125"/>
  <c r="W125"/>
  <c r="V125"/>
  <c r="U125"/>
  <c r="T125"/>
  <c r="S125"/>
  <c r="R125"/>
  <c r="Q125"/>
  <c r="N125"/>
  <c r="M125"/>
  <c r="O125"/>
  <c r="L125"/>
  <c r="K125"/>
  <c r="J125"/>
  <c r="I125"/>
  <c r="H125"/>
  <c r="G125"/>
  <c r="F125"/>
  <c r="E125"/>
  <c r="K98" i="39"/>
  <c r="K97"/>
  <c r="K96"/>
  <c r="K123"/>
  <c r="M123" s="1"/>
  <c r="K122"/>
  <c r="K95"/>
  <c r="K94"/>
  <c r="K93"/>
  <c r="M93" s="1"/>
  <c r="K121"/>
  <c r="K92"/>
  <c r="K91"/>
  <c r="K90"/>
  <c r="M90" s="1"/>
  <c r="K120"/>
  <c r="K89"/>
  <c r="K88"/>
  <c r="K87"/>
  <c r="M87" s="1"/>
  <c r="K86"/>
  <c r="K85"/>
  <c r="K84"/>
  <c r="K83"/>
  <c r="M83" s="1"/>
  <c r="K82"/>
  <c r="K81"/>
  <c r="K80"/>
  <c r="K119"/>
  <c r="M119" s="1"/>
  <c r="K79"/>
  <c r="K118"/>
  <c r="K78"/>
  <c r="K117"/>
  <c r="M117" s="1"/>
  <c r="K77"/>
  <c r="K76"/>
  <c r="K75"/>
  <c r="M75" s="1"/>
  <c r="K74"/>
  <c r="K73"/>
  <c r="K116"/>
  <c r="K72"/>
  <c r="K115"/>
  <c r="M115"/>
  <c r="K71"/>
  <c r="K70"/>
  <c r="M70" s="1"/>
  <c r="K69"/>
  <c r="K68"/>
  <c r="M68" s="1"/>
  <c r="K114"/>
  <c r="K67"/>
  <c r="K66"/>
  <c r="K113"/>
  <c r="M113" s="1"/>
  <c r="K112"/>
  <c r="K65"/>
  <c r="K64"/>
  <c r="K63"/>
  <c r="M63" s="1"/>
  <c r="K62"/>
  <c r="K61"/>
  <c r="K60"/>
  <c r="K111"/>
  <c r="M111" s="1"/>
  <c r="K110"/>
  <c r="K59"/>
  <c r="K109"/>
  <c r="K58"/>
  <c r="M58" s="1"/>
  <c r="K57"/>
  <c r="K56"/>
  <c r="K55"/>
  <c r="K54"/>
  <c r="M54" s="1"/>
  <c r="K53"/>
  <c r="K52"/>
  <c r="K51"/>
  <c r="K50"/>
  <c r="M50" s="1"/>
  <c r="K49"/>
  <c r="K108"/>
  <c r="K48"/>
  <c r="M48" s="1"/>
  <c r="K47"/>
  <c r="M47"/>
  <c r="K46"/>
  <c r="K45"/>
  <c r="K107"/>
  <c r="K44"/>
  <c r="K43"/>
  <c r="K42"/>
  <c r="M42" s="1"/>
  <c r="K41"/>
  <c r="K40"/>
  <c r="K39"/>
  <c r="K38"/>
  <c r="K106"/>
  <c r="K105"/>
  <c r="K37"/>
  <c r="K36"/>
  <c r="K104"/>
  <c r="K35"/>
  <c r="M35" s="1"/>
  <c r="K34"/>
  <c r="K33"/>
  <c r="K32"/>
  <c r="K31"/>
  <c r="K30"/>
  <c r="K29"/>
  <c r="K103"/>
  <c r="K28"/>
  <c r="K27"/>
  <c r="K26"/>
  <c r="K25"/>
  <c r="K24"/>
  <c r="M24" s="1"/>
  <c r="K102"/>
  <c r="K101"/>
  <c r="K23"/>
  <c r="K22"/>
  <c r="K21"/>
  <c r="K20"/>
  <c r="K19"/>
  <c r="K18"/>
  <c r="K17"/>
  <c r="K16"/>
  <c r="K100"/>
  <c r="K15"/>
  <c r="K14"/>
  <c r="K13"/>
  <c r="K12"/>
  <c r="K11"/>
  <c r="M11" s="1"/>
  <c r="K10"/>
  <c r="K9"/>
  <c r="K8"/>
  <c r="K7"/>
  <c r="M7" s="1"/>
  <c r="K6"/>
  <c r="K99"/>
  <c r="K5"/>
  <c r="K4"/>
  <c r="K124" i="32"/>
  <c r="G7" i="41"/>
  <c r="W7"/>
  <c r="W98" i="39"/>
  <c r="Y98" s="1"/>
  <c r="W97"/>
  <c r="W96"/>
  <c r="W123"/>
  <c r="W122"/>
  <c r="W95"/>
  <c r="W94"/>
  <c r="W93"/>
  <c r="W121"/>
  <c r="W92"/>
  <c r="W91"/>
  <c r="W90"/>
  <c r="W120"/>
  <c r="W89"/>
  <c r="W88"/>
  <c r="W87"/>
  <c r="W86"/>
  <c r="Y86" s="1"/>
  <c r="W85"/>
  <c r="W84"/>
  <c r="W83"/>
  <c r="W82"/>
  <c r="Y82" s="1"/>
  <c r="W81"/>
  <c r="W80"/>
  <c r="W119"/>
  <c r="W79"/>
  <c r="Y79"/>
  <c r="W118"/>
  <c r="W78"/>
  <c r="W117"/>
  <c r="W77"/>
  <c r="Y77" s="1"/>
  <c r="W76"/>
  <c r="W75"/>
  <c r="W74"/>
  <c r="Y74" s="1"/>
  <c r="W73"/>
  <c r="Y73" s="1"/>
  <c r="W116"/>
  <c r="W72"/>
  <c r="Y72" s="1"/>
  <c r="W115"/>
  <c r="W71"/>
  <c r="Y71" s="1"/>
  <c r="W70"/>
  <c r="W69"/>
  <c r="W68"/>
  <c r="W114"/>
  <c r="Y114" s="1"/>
  <c r="W67"/>
  <c r="W66"/>
  <c r="W113"/>
  <c r="W112"/>
  <c r="Y112" s="1"/>
  <c r="W65"/>
  <c r="W64"/>
  <c r="W63"/>
  <c r="Y63" s="1"/>
  <c r="W62"/>
  <c r="Y62" s="1"/>
  <c r="W61"/>
  <c r="W60"/>
  <c r="Y60" s="1"/>
  <c r="W111"/>
  <c r="W110"/>
  <c r="Y110" s="1"/>
  <c r="W59"/>
  <c r="Y59" s="1"/>
  <c r="W109"/>
  <c r="W58"/>
  <c r="W57"/>
  <c r="Y57"/>
  <c r="W56"/>
  <c r="W55"/>
  <c r="W54"/>
  <c r="W53"/>
  <c r="Y53" s="1"/>
  <c r="W52"/>
  <c r="W51"/>
  <c r="W50"/>
  <c r="Y50" s="1"/>
  <c r="W49"/>
  <c r="Y49" s="1"/>
  <c r="W108"/>
  <c r="W48"/>
  <c r="Y48" s="1"/>
  <c r="W47"/>
  <c r="W46"/>
  <c r="Y46" s="1"/>
  <c r="W45"/>
  <c r="W107"/>
  <c r="W44"/>
  <c r="Y44" s="1"/>
  <c r="W43"/>
  <c r="Y43" s="1"/>
  <c r="W42"/>
  <c r="W41"/>
  <c r="W40"/>
  <c r="Y40" s="1"/>
  <c r="W39"/>
  <c r="Y39" s="1"/>
  <c r="W38"/>
  <c r="Y38" s="1"/>
  <c r="W106"/>
  <c r="Y106" s="1"/>
  <c r="W105"/>
  <c r="W37"/>
  <c r="W36"/>
  <c r="W104"/>
  <c r="Y104" s="1"/>
  <c r="W35"/>
  <c r="W34"/>
  <c r="W33"/>
  <c r="W32"/>
  <c r="W31"/>
  <c r="W30"/>
  <c r="W29"/>
  <c r="W103"/>
  <c r="W28"/>
  <c r="W27"/>
  <c r="W26"/>
  <c r="Y26" s="1"/>
  <c r="W25"/>
  <c r="W24"/>
  <c r="W102"/>
  <c r="W101"/>
  <c r="W23"/>
  <c r="W22"/>
  <c r="W21"/>
  <c r="W20"/>
  <c r="W19"/>
  <c r="W18"/>
  <c r="W17"/>
  <c r="W16"/>
  <c r="W100"/>
  <c r="Y100" s="1"/>
  <c r="W15"/>
  <c r="W14"/>
  <c r="W13"/>
  <c r="W12"/>
  <c r="W11"/>
  <c r="W10"/>
  <c r="W9"/>
  <c r="W8"/>
  <c r="W7"/>
  <c r="W6"/>
  <c r="W99"/>
  <c r="W5"/>
  <c r="W4"/>
  <c r="G124" i="32"/>
  <c r="F124"/>
  <c r="E124"/>
  <c r="D124"/>
  <c r="C124"/>
  <c r="H124" i="31"/>
  <c r="G124"/>
  <c r="F124"/>
  <c r="E124"/>
  <c r="D124"/>
  <c r="C124"/>
  <c r="AS126" i="24"/>
  <c r="M126" s="1"/>
  <c r="AP126"/>
  <c r="L126" s="1"/>
  <c r="AM126"/>
  <c r="AJ126"/>
  <c r="AG126"/>
  <c r="I126" s="1"/>
  <c r="AD126"/>
  <c r="H126" s="1"/>
  <c r="AA126"/>
  <c r="X126"/>
  <c r="U126"/>
  <c r="E126" s="1"/>
  <c r="R126"/>
  <c r="D126" s="1"/>
  <c r="K126"/>
  <c r="J126"/>
  <c r="G126"/>
  <c r="F126"/>
  <c r="AS125"/>
  <c r="M125" s="1"/>
  <c r="AP125"/>
  <c r="L125" s="1"/>
  <c r="AM125"/>
  <c r="AJ125"/>
  <c r="AG125"/>
  <c r="I125" s="1"/>
  <c r="AD125"/>
  <c r="H125" s="1"/>
  <c r="AA125"/>
  <c r="X125"/>
  <c r="U125"/>
  <c r="E125" s="1"/>
  <c r="R125"/>
  <c r="D125" s="1"/>
  <c r="K125"/>
  <c r="J125"/>
  <c r="G125"/>
  <c r="F125"/>
  <c r="AS124"/>
  <c r="M124" s="1"/>
  <c r="AP124"/>
  <c r="L124" s="1"/>
  <c r="AM124"/>
  <c r="AJ124"/>
  <c r="AG124"/>
  <c r="I124" s="1"/>
  <c r="AD124"/>
  <c r="H124" s="1"/>
  <c r="AA124"/>
  <c r="X124"/>
  <c r="U124"/>
  <c r="E124" s="1"/>
  <c r="R124"/>
  <c r="D124" s="1"/>
  <c r="K124"/>
  <c r="J124"/>
  <c r="G124"/>
  <c r="F124"/>
  <c r="AS123"/>
  <c r="M123" s="1"/>
  <c r="AP123"/>
  <c r="L123" s="1"/>
  <c r="AM123"/>
  <c r="AJ123"/>
  <c r="AG123"/>
  <c r="I123" s="1"/>
  <c r="AD123"/>
  <c r="H123" s="1"/>
  <c r="AA123"/>
  <c r="X123"/>
  <c r="U123"/>
  <c r="E123" s="1"/>
  <c r="R123"/>
  <c r="D123" s="1"/>
  <c r="K123"/>
  <c r="J123"/>
  <c r="G123"/>
  <c r="F123"/>
  <c r="AS122"/>
  <c r="M122" s="1"/>
  <c r="AP122"/>
  <c r="L122" s="1"/>
  <c r="AM122"/>
  <c r="AJ122"/>
  <c r="AG122"/>
  <c r="I122" s="1"/>
  <c r="AD122"/>
  <c r="H122" s="1"/>
  <c r="AA122"/>
  <c r="X122"/>
  <c r="U122"/>
  <c r="E122" s="1"/>
  <c r="R122"/>
  <c r="D122" s="1"/>
  <c r="K122"/>
  <c r="J122"/>
  <c r="G122"/>
  <c r="F122"/>
  <c r="AS121"/>
  <c r="M121" s="1"/>
  <c r="AP121"/>
  <c r="L121" s="1"/>
  <c r="AM121"/>
  <c r="AJ121"/>
  <c r="AG121"/>
  <c r="I121" s="1"/>
  <c r="AD121"/>
  <c r="H121" s="1"/>
  <c r="AA121"/>
  <c r="X121"/>
  <c r="U121"/>
  <c r="E121" s="1"/>
  <c r="R121"/>
  <c r="D121" s="1"/>
  <c r="K121"/>
  <c r="J121"/>
  <c r="G121"/>
  <c r="F121"/>
  <c r="AS120"/>
  <c r="M120" s="1"/>
  <c r="AP120"/>
  <c r="L120" s="1"/>
  <c r="AM120"/>
  <c r="AJ120"/>
  <c r="AG120"/>
  <c r="I120" s="1"/>
  <c r="AD120"/>
  <c r="H120" s="1"/>
  <c r="AA120"/>
  <c r="X120"/>
  <c r="U120"/>
  <c r="E120" s="1"/>
  <c r="R120"/>
  <c r="D120" s="1"/>
  <c r="K120"/>
  <c r="J120"/>
  <c r="G120"/>
  <c r="F120"/>
  <c r="AS119"/>
  <c r="M119" s="1"/>
  <c r="AP119"/>
  <c r="L119" s="1"/>
  <c r="AM119"/>
  <c r="K119" s="1"/>
  <c r="AJ119"/>
  <c r="AG119"/>
  <c r="I119" s="1"/>
  <c r="AD119"/>
  <c r="H119" s="1"/>
  <c r="AA119"/>
  <c r="G119" s="1"/>
  <c r="X119"/>
  <c r="F119" s="1"/>
  <c r="U119"/>
  <c r="E119" s="1"/>
  <c r="R119"/>
  <c r="D119" s="1"/>
  <c r="J119"/>
  <c r="AS118"/>
  <c r="M118" s="1"/>
  <c r="AP118"/>
  <c r="L118" s="1"/>
  <c r="AM118"/>
  <c r="AJ118"/>
  <c r="AG118"/>
  <c r="I118" s="1"/>
  <c r="AD118"/>
  <c r="H118" s="1"/>
  <c r="AA118"/>
  <c r="X118"/>
  <c r="U118"/>
  <c r="E118" s="1"/>
  <c r="R118"/>
  <c r="D118" s="1"/>
  <c r="K118"/>
  <c r="J118"/>
  <c r="G118"/>
  <c r="F118"/>
  <c r="AS117"/>
  <c r="M117" s="1"/>
  <c r="AP117"/>
  <c r="L117" s="1"/>
  <c r="AM117"/>
  <c r="K117" s="1"/>
  <c r="AJ117"/>
  <c r="AG117"/>
  <c r="I117" s="1"/>
  <c r="AD117"/>
  <c r="H117" s="1"/>
  <c r="AA117"/>
  <c r="G117" s="1"/>
  <c r="X117"/>
  <c r="F117"/>
  <c r="U117"/>
  <c r="E117"/>
  <c r="R117"/>
  <c r="D117"/>
  <c r="J117"/>
  <c r="AS116"/>
  <c r="M116" s="1"/>
  <c r="AP116"/>
  <c r="L116" s="1"/>
  <c r="AM116"/>
  <c r="AJ116"/>
  <c r="AG116"/>
  <c r="I116" s="1"/>
  <c r="AD116"/>
  <c r="H116" s="1"/>
  <c r="AA116"/>
  <c r="X116"/>
  <c r="U116"/>
  <c r="E116" s="1"/>
  <c r="R116"/>
  <c r="D116" s="1"/>
  <c r="K116"/>
  <c r="J116"/>
  <c r="G116"/>
  <c r="F116"/>
  <c r="AS115"/>
  <c r="M115" s="1"/>
  <c r="AP115"/>
  <c r="L115" s="1"/>
  <c r="AM115"/>
  <c r="K115" s="1"/>
  <c r="AJ115"/>
  <c r="AG115"/>
  <c r="I115" s="1"/>
  <c r="AD115"/>
  <c r="H115" s="1"/>
  <c r="AA115"/>
  <c r="G115" s="1"/>
  <c r="X115"/>
  <c r="F115" s="1"/>
  <c r="U115"/>
  <c r="E115" s="1"/>
  <c r="R115"/>
  <c r="D115" s="1"/>
  <c r="J115"/>
  <c r="AS114"/>
  <c r="M114" s="1"/>
  <c r="AP114"/>
  <c r="L114" s="1"/>
  <c r="AM114"/>
  <c r="AJ114"/>
  <c r="AG114"/>
  <c r="I114" s="1"/>
  <c r="AD114"/>
  <c r="H114" s="1"/>
  <c r="AA114"/>
  <c r="X114"/>
  <c r="U114"/>
  <c r="E114" s="1"/>
  <c r="R114"/>
  <c r="D114" s="1"/>
  <c r="K114"/>
  <c r="J114"/>
  <c r="G114"/>
  <c r="F114"/>
  <c r="AS113"/>
  <c r="M113" s="1"/>
  <c r="AP113"/>
  <c r="L113" s="1"/>
  <c r="AM113"/>
  <c r="K113" s="1"/>
  <c r="AJ113"/>
  <c r="J113" s="1"/>
  <c r="AG113"/>
  <c r="I113"/>
  <c r="AD113"/>
  <c r="H113"/>
  <c r="AA113"/>
  <c r="G113"/>
  <c r="X113"/>
  <c r="F113"/>
  <c r="U113"/>
  <c r="E113"/>
  <c r="R113"/>
  <c r="D113"/>
  <c r="AS112"/>
  <c r="M112" s="1"/>
  <c r="AP112"/>
  <c r="L112" s="1"/>
  <c r="AM112"/>
  <c r="AJ112"/>
  <c r="AG112"/>
  <c r="I112" s="1"/>
  <c r="AD112"/>
  <c r="H112" s="1"/>
  <c r="AA112"/>
  <c r="X112"/>
  <c r="U112"/>
  <c r="E112" s="1"/>
  <c r="R112"/>
  <c r="D112" s="1"/>
  <c r="K112"/>
  <c r="J112"/>
  <c r="G112"/>
  <c r="F112"/>
  <c r="AS111"/>
  <c r="M111" s="1"/>
  <c r="AP111"/>
  <c r="L111" s="1"/>
  <c r="AM111"/>
  <c r="K111" s="1"/>
  <c r="AJ111"/>
  <c r="AG111"/>
  <c r="I111" s="1"/>
  <c r="AD111"/>
  <c r="H111" s="1"/>
  <c r="AA111"/>
  <c r="G111" s="1"/>
  <c r="X111"/>
  <c r="F111" s="1"/>
  <c r="U111"/>
  <c r="E111" s="1"/>
  <c r="R111"/>
  <c r="D111" s="1"/>
  <c r="J111"/>
  <c r="AS110"/>
  <c r="M110" s="1"/>
  <c r="AP110"/>
  <c r="L110" s="1"/>
  <c r="AM110"/>
  <c r="AJ110"/>
  <c r="AG110"/>
  <c r="I110" s="1"/>
  <c r="AD110"/>
  <c r="H110" s="1"/>
  <c r="AA110"/>
  <c r="X110"/>
  <c r="U110"/>
  <c r="E110" s="1"/>
  <c r="R110"/>
  <c r="D110" s="1"/>
  <c r="K110"/>
  <c r="J110"/>
  <c r="G110"/>
  <c r="F110"/>
  <c r="AS109"/>
  <c r="M109" s="1"/>
  <c r="AP109"/>
  <c r="L109" s="1"/>
  <c r="AM109"/>
  <c r="K109" s="1"/>
  <c r="AJ109"/>
  <c r="AG109"/>
  <c r="I109" s="1"/>
  <c r="AD109"/>
  <c r="H109" s="1"/>
  <c r="AA109"/>
  <c r="G109" s="1"/>
  <c r="X109"/>
  <c r="F109" s="1"/>
  <c r="U109"/>
  <c r="E109" s="1"/>
  <c r="R109"/>
  <c r="D109" s="1"/>
  <c r="J109"/>
  <c r="AS108"/>
  <c r="M108" s="1"/>
  <c r="AP108"/>
  <c r="L108" s="1"/>
  <c r="AM108"/>
  <c r="AJ108"/>
  <c r="AG108"/>
  <c r="I108" s="1"/>
  <c r="AD108"/>
  <c r="H108" s="1"/>
  <c r="AA108"/>
  <c r="X108"/>
  <c r="U108"/>
  <c r="E108" s="1"/>
  <c r="R108"/>
  <c r="D108" s="1"/>
  <c r="K108"/>
  <c r="J108"/>
  <c r="G108"/>
  <c r="F108"/>
  <c r="AS107"/>
  <c r="M107" s="1"/>
  <c r="AP107"/>
  <c r="L107" s="1"/>
  <c r="AM107"/>
  <c r="K107" s="1"/>
  <c r="AJ107"/>
  <c r="AG107"/>
  <c r="I107" s="1"/>
  <c r="AD107"/>
  <c r="H107" s="1"/>
  <c r="AA107"/>
  <c r="G107" s="1"/>
  <c r="X107"/>
  <c r="F107" s="1"/>
  <c r="U107"/>
  <c r="E107" s="1"/>
  <c r="R107"/>
  <c r="D107" s="1"/>
  <c r="J107"/>
  <c r="AS106"/>
  <c r="M106" s="1"/>
  <c r="AP106"/>
  <c r="L106" s="1"/>
  <c r="AM106"/>
  <c r="K106" s="1"/>
  <c r="AJ106"/>
  <c r="AG106"/>
  <c r="I106" s="1"/>
  <c r="AD106"/>
  <c r="H106" s="1"/>
  <c r="AA106"/>
  <c r="G106" s="1"/>
  <c r="X106"/>
  <c r="F106" s="1"/>
  <c r="U106"/>
  <c r="E106"/>
  <c r="R106"/>
  <c r="D106"/>
  <c r="J106"/>
  <c r="AS105"/>
  <c r="M105" s="1"/>
  <c r="AP105"/>
  <c r="L105" s="1"/>
  <c r="AM105"/>
  <c r="K105" s="1"/>
  <c r="AJ105"/>
  <c r="AG105"/>
  <c r="I105" s="1"/>
  <c r="AD105"/>
  <c r="H105" s="1"/>
  <c r="AA105"/>
  <c r="G105" s="1"/>
  <c r="X105"/>
  <c r="F105" s="1"/>
  <c r="U105"/>
  <c r="E105" s="1"/>
  <c r="R105"/>
  <c r="D105" s="1"/>
  <c r="J105"/>
  <c r="AS104"/>
  <c r="M104" s="1"/>
  <c r="AP104"/>
  <c r="L104" s="1"/>
  <c r="AM104"/>
  <c r="AJ104"/>
  <c r="AG104"/>
  <c r="I104" s="1"/>
  <c r="AD104"/>
  <c r="H104" s="1"/>
  <c r="AA104"/>
  <c r="X104"/>
  <c r="U104"/>
  <c r="E104" s="1"/>
  <c r="R104"/>
  <c r="D104" s="1"/>
  <c r="K104"/>
  <c r="J104"/>
  <c r="G104"/>
  <c r="F104"/>
  <c r="AS103"/>
  <c r="M103" s="1"/>
  <c r="AP103"/>
  <c r="L103" s="1"/>
  <c r="AM103"/>
  <c r="K103" s="1"/>
  <c r="AJ103"/>
  <c r="AG103"/>
  <c r="I103" s="1"/>
  <c r="AD103"/>
  <c r="H103" s="1"/>
  <c r="AA103"/>
  <c r="G103" s="1"/>
  <c r="X103"/>
  <c r="F103" s="1"/>
  <c r="U103"/>
  <c r="E103" s="1"/>
  <c r="R103"/>
  <c r="D103" s="1"/>
  <c r="J103"/>
  <c r="AS102"/>
  <c r="M102" s="1"/>
  <c r="AP102"/>
  <c r="L102" s="1"/>
  <c r="AM102"/>
  <c r="K102" s="1"/>
  <c r="AJ102"/>
  <c r="AG102"/>
  <c r="I102" s="1"/>
  <c r="AD102"/>
  <c r="H102" s="1"/>
  <c r="AA102"/>
  <c r="G102" s="1"/>
  <c r="X102"/>
  <c r="F102" s="1"/>
  <c r="U102"/>
  <c r="E102"/>
  <c r="R102"/>
  <c r="D102"/>
  <c r="J102"/>
  <c r="AS101"/>
  <c r="M101" s="1"/>
  <c r="AP101"/>
  <c r="L101" s="1"/>
  <c r="AM101"/>
  <c r="K101" s="1"/>
  <c r="AJ101"/>
  <c r="AG101"/>
  <c r="I101" s="1"/>
  <c r="AD101"/>
  <c r="H101" s="1"/>
  <c r="AA101"/>
  <c r="G101" s="1"/>
  <c r="X101"/>
  <c r="F101" s="1"/>
  <c r="U101"/>
  <c r="E101" s="1"/>
  <c r="R101"/>
  <c r="D101" s="1"/>
  <c r="J101"/>
  <c r="AS100"/>
  <c r="M100" s="1"/>
  <c r="AP100"/>
  <c r="L100" s="1"/>
  <c r="AM100"/>
  <c r="AJ100"/>
  <c r="AG100"/>
  <c r="I100" s="1"/>
  <c r="AD100"/>
  <c r="H100" s="1"/>
  <c r="AA100"/>
  <c r="X100"/>
  <c r="U100"/>
  <c r="E100" s="1"/>
  <c r="R100"/>
  <c r="D100" s="1"/>
  <c r="K100"/>
  <c r="J100"/>
  <c r="G100"/>
  <c r="F100"/>
  <c r="AS99"/>
  <c r="M99" s="1"/>
  <c r="AP99"/>
  <c r="L99" s="1"/>
  <c r="AM99"/>
  <c r="AJ99"/>
  <c r="AG99"/>
  <c r="I99" s="1"/>
  <c r="AD99"/>
  <c r="H99" s="1"/>
  <c r="AA99"/>
  <c r="G99" s="1"/>
  <c r="X99"/>
  <c r="F99" s="1"/>
  <c r="U99"/>
  <c r="E99" s="1"/>
  <c r="R99"/>
  <c r="D99" s="1"/>
  <c r="K99"/>
  <c r="J99"/>
  <c r="AS98"/>
  <c r="M98" s="1"/>
  <c r="AP98"/>
  <c r="L98" s="1"/>
  <c r="AM98"/>
  <c r="AJ98"/>
  <c r="AG98"/>
  <c r="I98" s="1"/>
  <c r="AD98"/>
  <c r="H98" s="1"/>
  <c r="AA98"/>
  <c r="X98"/>
  <c r="U98"/>
  <c r="E98" s="1"/>
  <c r="R98"/>
  <c r="D98" s="1"/>
  <c r="K98"/>
  <c r="J98"/>
  <c r="G98"/>
  <c r="F98"/>
  <c r="AS97"/>
  <c r="M97" s="1"/>
  <c r="AP97"/>
  <c r="L97" s="1"/>
  <c r="AM97"/>
  <c r="AJ97"/>
  <c r="AG97"/>
  <c r="I97" s="1"/>
  <c r="AD97"/>
  <c r="H97" s="1"/>
  <c r="AA97"/>
  <c r="G97" s="1"/>
  <c r="X97"/>
  <c r="F97" s="1"/>
  <c r="U97"/>
  <c r="E97" s="1"/>
  <c r="R97"/>
  <c r="D97" s="1"/>
  <c r="K97"/>
  <c r="J97"/>
  <c r="AS96"/>
  <c r="M96" s="1"/>
  <c r="AP96"/>
  <c r="L96" s="1"/>
  <c r="AM96"/>
  <c r="AJ96"/>
  <c r="AG96"/>
  <c r="I96" s="1"/>
  <c r="AD96"/>
  <c r="H96" s="1"/>
  <c r="AA96"/>
  <c r="G96" s="1"/>
  <c r="X96"/>
  <c r="U96"/>
  <c r="E96" s="1"/>
  <c r="R96"/>
  <c r="D96" s="1"/>
  <c r="K96"/>
  <c r="J96"/>
  <c r="F96"/>
  <c r="AS95"/>
  <c r="M95" s="1"/>
  <c r="AP95"/>
  <c r="L95" s="1"/>
  <c r="AM95"/>
  <c r="AJ95"/>
  <c r="J95" s="1"/>
  <c r="AG95"/>
  <c r="I95" s="1"/>
  <c r="AD95"/>
  <c r="H95" s="1"/>
  <c r="AA95"/>
  <c r="G95" s="1"/>
  <c r="X95"/>
  <c r="F95" s="1"/>
  <c r="U95"/>
  <c r="E95" s="1"/>
  <c r="R95"/>
  <c r="D95" s="1"/>
  <c r="K95"/>
  <c r="AS94"/>
  <c r="M94" s="1"/>
  <c r="AP94"/>
  <c r="L94" s="1"/>
  <c r="AM94"/>
  <c r="AJ94"/>
  <c r="AG94"/>
  <c r="I94" s="1"/>
  <c r="AD94"/>
  <c r="H94" s="1"/>
  <c r="AA94"/>
  <c r="G94" s="1"/>
  <c r="X94"/>
  <c r="U94"/>
  <c r="E94" s="1"/>
  <c r="R94"/>
  <c r="D94" s="1"/>
  <c r="K94"/>
  <c r="J94"/>
  <c r="F94"/>
  <c r="AS93"/>
  <c r="M93" s="1"/>
  <c r="AP93"/>
  <c r="L93" s="1"/>
  <c r="AM93"/>
  <c r="AJ93"/>
  <c r="J93" s="1"/>
  <c r="AG93"/>
  <c r="I93" s="1"/>
  <c r="AD93"/>
  <c r="H93" s="1"/>
  <c r="AA93"/>
  <c r="G93" s="1"/>
  <c r="X93"/>
  <c r="F93" s="1"/>
  <c r="U93"/>
  <c r="E93" s="1"/>
  <c r="R93"/>
  <c r="D93" s="1"/>
  <c r="K93"/>
  <c r="AS92"/>
  <c r="M92" s="1"/>
  <c r="AP92"/>
  <c r="L92" s="1"/>
  <c r="AM92"/>
  <c r="AJ92"/>
  <c r="AG92"/>
  <c r="I92" s="1"/>
  <c r="AD92"/>
  <c r="H92" s="1"/>
  <c r="AA92"/>
  <c r="X92"/>
  <c r="U92"/>
  <c r="E92" s="1"/>
  <c r="R92"/>
  <c r="D92" s="1"/>
  <c r="K92"/>
  <c r="J92"/>
  <c r="G92"/>
  <c r="F92"/>
  <c r="AS91"/>
  <c r="M91" s="1"/>
  <c r="AP91"/>
  <c r="L91" s="1"/>
  <c r="AM91"/>
  <c r="AJ91"/>
  <c r="J91" s="1"/>
  <c r="AG91"/>
  <c r="I91" s="1"/>
  <c r="AD91"/>
  <c r="H91" s="1"/>
  <c r="AA91"/>
  <c r="G91" s="1"/>
  <c r="X91"/>
  <c r="F91" s="1"/>
  <c r="U91"/>
  <c r="E91" s="1"/>
  <c r="R91"/>
  <c r="D91" s="1"/>
  <c r="K91"/>
  <c r="AS90"/>
  <c r="M90" s="1"/>
  <c r="AP90"/>
  <c r="L90" s="1"/>
  <c r="AM90"/>
  <c r="AJ90"/>
  <c r="AG90"/>
  <c r="I90" s="1"/>
  <c r="AD90"/>
  <c r="H90" s="1"/>
  <c r="AA90"/>
  <c r="X90"/>
  <c r="U90"/>
  <c r="E90" s="1"/>
  <c r="R90"/>
  <c r="D90" s="1"/>
  <c r="K90"/>
  <c r="J90"/>
  <c r="G90"/>
  <c r="F90"/>
  <c r="AS89"/>
  <c r="M89" s="1"/>
  <c r="AP89"/>
  <c r="L89" s="1"/>
  <c r="AM89"/>
  <c r="AJ89"/>
  <c r="AG89"/>
  <c r="I89" s="1"/>
  <c r="AD89"/>
  <c r="H89" s="1"/>
  <c r="AA89"/>
  <c r="G89" s="1"/>
  <c r="X89"/>
  <c r="U89"/>
  <c r="E89" s="1"/>
  <c r="R89"/>
  <c r="D89" s="1"/>
  <c r="K89"/>
  <c r="J89"/>
  <c r="F89"/>
  <c r="AS88"/>
  <c r="M88" s="1"/>
  <c r="AP88"/>
  <c r="L88" s="1"/>
  <c r="AM88"/>
  <c r="AJ88"/>
  <c r="AG88"/>
  <c r="I88" s="1"/>
  <c r="AD88"/>
  <c r="H88" s="1"/>
  <c r="AA88"/>
  <c r="X88"/>
  <c r="U88"/>
  <c r="E88" s="1"/>
  <c r="R88"/>
  <c r="D88" s="1"/>
  <c r="K88"/>
  <c r="J88"/>
  <c r="G88"/>
  <c r="F88"/>
  <c r="AS87"/>
  <c r="M87" s="1"/>
  <c r="AP87"/>
  <c r="L87" s="1"/>
  <c r="AM87"/>
  <c r="AJ87"/>
  <c r="AG87"/>
  <c r="I87" s="1"/>
  <c r="AD87"/>
  <c r="H87" s="1"/>
  <c r="AA87"/>
  <c r="G87" s="1"/>
  <c r="X87"/>
  <c r="U87"/>
  <c r="E87" s="1"/>
  <c r="R87"/>
  <c r="D87" s="1"/>
  <c r="K87"/>
  <c r="J87"/>
  <c r="F87"/>
  <c r="AS86"/>
  <c r="M86" s="1"/>
  <c r="AP86"/>
  <c r="L86" s="1"/>
  <c r="AM86"/>
  <c r="AJ86"/>
  <c r="AG86"/>
  <c r="I86" s="1"/>
  <c r="AD86"/>
  <c r="H86" s="1"/>
  <c r="AA86"/>
  <c r="X86"/>
  <c r="U86"/>
  <c r="E86" s="1"/>
  <c r="R86"/>
  <c r="D86" s="1"/>
  <c r="K86"/>
  <c r="J86"/>
  <c r="G86"/>
  <c r="F86"/>
  <c r="AS85"/>
  <c r="M85" s="1"/>
  <c r="AP85"/>
  <c r="L85" s="1"/>
  <c r="AM85"/>
  <c r="AJ85"/>
  <c r="AG85"/>
  <c r="I85" s="1"/>
  <c r="AD85"/>
  <c r="H85" s="1"/>
  <c r="AA85"/>
  <c r="G85" s="1"/>
  <c r="X85"/>
  <c r="U85"/>
  <c r="E85" s="1"/>
  <c r="R85"/>
  <c r="D85" s="1"/>
  <c r="K85"/>
  <c r="J85"/>
  <c r="F85"/>
  <c r="AS84"/>
  <c r="M84" s="1"/>
  <c r="AP84"/>
  <c r="L84" s="1"/>
  <c r="AM84"/>
  <c r="AJ84"/>
  <c r="AG84"/>
  <c r="I84" s="1"/>
  <c r="AD84"/>
  <c r="H84" s="1"/>
  <c r="AA84"/>
  <c r="X84"/>
  <c r="U84"/>
  <c r="E84" s="1"/>
  <c r="R84"/>
  <c r="D84" s="1"/>
  <c r="K84"/>
  <c r="J84"/>
  <c r="G84"/>
  <c r="F84"/>
  <c r="AS83"/>
  <c r="M83" s="1"/>
  <c r="AP83"/>
  <c r="L83" s="1"/>
  <c r="AM83"/>
  <c r="AJ83"/>
  <c r="AG83"/>
  <c r="I83" s="1"/>
  <c r="AD83"/>
  <c r="H83" s="1"/>
  <c r="AA83"/>
  <c r="G83" s="1"/>
  <c r="X83"/>
  <c r="U83"/>
  <c r="E83" s="1"/>
  <c r="R83"/>
  <c r="D83" s="1"/>
  <c r="K83"/>
  <c r="J83"/>
  <c r="F83"/>
  <c r="AS82"/>
  <c r="M82" s="1"/>
  <c r="AP82"/>
  <c r="L82" s="1"/>
  <c r="AM82"/>
  <c r="AJ82"/>
  <c r="J82" s="1"/>
  <c r="AG82"/>
  <c r="I82" s="1"/>
  <c r="AD82"/>
  <c r="H82" s="1"/>
  <c r="AA82"/>
  <c r="G82" s="1"/>
  <c r="X82"/>
  <c r="F82" s="1"/>
  <c r="U82"/>
  <c r="E82" s="1"/>
  <c r="R82"/>
  <c r="D82" s="1"/>
  <c r="K82"/>
  <c r="AS81"/>
  <c r="M81" s="1"/>
  <c r="AP81"/>
  <c r="L81" s="1"/>
  <c r="AM81"/>
  <c r="AJ81"/>
  <c r="AG81"/>
  <c r="I81" s="1"/>
  <c r="AD81"/>
  <c r="H81" s="1"/>
  <c r="AA81"/>
  <c r="X81"/>
  <c r="U81"/>
  <c r="E81" s="1"/>
  <c r="R81"/>
  <c r="D81" s="1"/>
  <c r="K81"/>
  <c r="J81"/>
  <c r="G81"/>
  <c r="F81"/>
  <c r="AS80"/>
  <c r="M80" s="1"/>
  <c r="AP80"/>
  <c r="L80" s="1"/>
  <c r="AM80"/>
  <c r="K80" s="1"/>
  <c r="AJ80"/>
  <c r="AG80"/>
  <c r="I80" s="1"/>
  <c r="AD80"/>
  <c r="H80" s="1"/>
  <c r="AA80"/>
  <c r="G80" s="1"/>
  <c r="X80"/>
  <c r="F80"/>
  <c r="U80"/>
  <c r="E80"/>
  <c r="R80"/>
  <c r="D80"/>
  <c r="J80"/>
  <c r="AS79"/>
  <c r="M79" s="1"/>
  <c r="AP79"/>
  <c r="L79" s="1"/>
  <c r="AM79"/>
  <c r="K79" s="1"/>
  <c r="AJ79"/>
  <c r="J79" s="1"/>
  <c r="AG79"/>
  <c r="I79"/>
  <c r="AD79"/>
  <c r="H79"/>
  <c r="AA79"/>
  <c r="G79"/>
  <c r="X79"/>
  <c r="F79"/>
  <c r="U79"/>
  <c r="E79"/>
  <c r="R79"/>
  <c r="D79"/>
  <c r="AS78"/>
  <c r="M78" s="1"/>
  <c r="AP78"/>
  <c r="L78" s="1"/>
  <c r="AM78"/>
  <c r="AJ78"/>
  <c r="AG78"/>
  <c r="I78" s="1"/>
  <c r="AD78"/>
  <c r="H78" s="1"/>
  <c r="AA78"/>
  <c r="X78"/>
  <c r="U78"/>
  <c r="E78" s="1"/>
  <c r="R78"/>
  <c r="D78" s="1"/>
  <c r="K78"/>
  <c r="J78"/>
  <c r="G78"/>
  <c r="F78"/>
  <c r="AS77"/>
  <c r="M77" s="1"/>
  <c r="AP77"/>
  <c r="L77" s="1"/>
  <c r="AM77"/>
  <c r="K77" s="1"/>
  <c r="AJ77"/>
  <c r="J77" s="1"/>
  <c r="AG77"/>
  <c r="I77"/>
  <c r="AD77"/>
  <c r="H77"/>
  <c r="AA77"/>
  <c r="G77"/>
  <c r="X77"/>
  <c r="F77"/>
  <c r="U77"/>
  <c r="E77"/>
  <c r="R77"/>
  <c r="D77"/>
  <c r="AS76"/>
  <c r="M76" s="1"/>
  <c r="AP76"/>
  <c r="L76" s="1"/>
  <c r="AM76"/>
  <c r="AJ76"/>
  <c r="AG76"/>
  <c r="I76" s="1"/>
  <c r="AD76"/>
  <c r="H76" s="1"/>
  <c r="AA76"/>
  <c r="G76" s="1"/>
  <c r="X76"/>
  <c r="U76"/>
  <c r="E76" s="1"/>
  <c r="R76"/>
  <c r="D76" s="1"/>
  <c r="K76"/>
  <c r="J76"/>
  <c r="F76"/>
  <c r="AS75"/>
  <c r="M75" s="1"/>
  <c r="AP75"/>
  <c r="L75" s="1"/>
  <c r="AM75"/>
  <c r="AJ75"/>
  <c r="J75" s="1"/>
  <c r="AG75"/>
  <c r="I75" s="1"/>
  <c r="AD75"/>
  <c r="H75" s="1"/>
  <c r="AA75"/>
  <c r="G75" s="1"/>
  <c r="X75"/>
  <c r="F75" s="1"/>
  <c r="U75"/>
  <c r="E75" s="1"/>
  <c r="R75"/>
  <c r="D75" s="1"/>
  <c r="K75"/>
  <c r="AS74"/>
  <c r="M74" s="1"/>
  <c r="AP74"/>
  <c r="L74" s="1"/>
  <c r="AM74"/>
  <c r="K74" s="1"/>
  <c r="AJ74"/>
  <c r="AG74"/>
  <c r="I74" s="1"/>
  <c r="AD74"/>
  <c r="H74" s="1"/>
  <c r="AA74"/>
  <c r="G74" s="1"/>
  <c r="X74"/>
  <c r="F74" s="1"/>
  <c r="U74"/>
  <c r="E74"/>
  <c r="R74"/>
  <c r="D74"/>
  <c r="J74"/>
  <c r="AS73"/>
  <c r="M73" s="1"/>
  <c r="AP73"/>
  <c r="L73" s="1"/>
  <c r="AM73"/>
  <c r="AJ73"/>
  <c r="J73" s="1"/>
  <c r="AG73"/>
  <c r="I73" s="1"/>
  <c r="AD73"/>
  <c r="H73" s="1"/>
  <c r="AA73"/>
  <c r="G73" s="1"/>
  <c r="X73"/>
  <c r="F73" s="1"/>
  <c r="U73"/>
  <c r="E73" s="1"/>
  <c r="R73"/>
  <c r="D73" s="1"/>
  <c r="K73"/>
  <c r="AS72"/>
  <c r="M72" s="1"/>
  <c r="AP72"/>
  <c r="L72" s="1"/>
  <c r="AM72"/>
  <c r="K72" s="1"/>
  <c r="AJ72"/>
  <c r="J72" s="1"/>
  <c r="AG72"/>
  <c r="I72"/>
  <c r="AD72"/>
  <c r="H72"/>
  <c r="AA72"/>
  <c r="G72"/>
  <c r="X72"/>
  <c r="F72"/>
  <c r="U72"/>
  <c r="E72"/>
  <c r="R72"/>
  <c r="D72"/>
  <c r="AS71"/>
  <c r="M71" s="1"/>
  <c r="AP71"/>
  <c r="L71" s="1"/>
  <c r="AM71"/>
  <c r="K71" s="1"/>
  <c r="AJ71"/>
  <c r="AG71"/>
  <c r="I71" s="1"/>
  <c r="AD71"/>
  <c r="H71" s="1"/>
  <c r="AA71"/>
  <c r="G71" s="1"/>
  <c r="X71"/>
  <c r="F71" s="1"/>
  <c r="U71"/>
  <c r="E71"/>
  <c r="R71"/>
  <c r="D71"/>
  <c r="J71"/>
  <c r="AS70"/>
  <c r="M70" s="1"/>
  <c r="AP70"/>
  <c r="L70" s="1"/>
  <c r="AM70"/>
  <c r="K70" s="1"/>
  <c r="AJ70"/>
  <c r="J70"/>
  <c r="AG70"/>
  <c r="I70"/>
  <c r="AD70"/>
  <c r="H70"/>
  <c r="AA70"/>
  <c r="G70"/>
  <c r="X70"/>
  <c r="F70"/>
  <c r="U70"/>
  <c r="E70"/>
  <c r="R70"/>
  <c r="D70"/>
  <c r="AS69"/>
  <c r="M69" s="1"/>
  <c r="AP69"/>
  <c r="L69" s="1"/>
  <c r="AM69"/>
  <c r="K69" s="1"/>
  <c r="AJ69"/>
  <c r="AG69"/>
  <c r="I69" s="1"/>
  <c r="AD69"/>
  <c r="H69" s="1"/>
  <c r="AA69"/>
  <c r="G69" s="1"/>
  <c r="X69"/>
  <c r="F69" s="1"/>
  <c r="U69"/>
  <c r="E69"/>
  <c r="R69"/>
  <c r="D69"/>
  <c r="J69"/>
  <c r="AS68"/>
  <c r="M68" s="1"/>
  <c r="AP68"/>
  <c r="L68" s="1"/>
  <c r="AM68"/>
  <c r="K68" s="1"/>
  <c r="AJ68"/>
  <c r="J68" s="1"/>
  <c r="AG68"/>
  <c r="I68" s="1"/>
  <c r="AD68"/>
  <c r="H68" s="1"/>
  <c r="AA68"/>
  <c r="G68" s="1"/>
  <c r="X68"/>
  <c r="F68" s="1"/>
  <c r="U68"/>
  <c r="E68"/>
  <c r="R68"/>
  <c r="D68"/>
  <c r="AS67"/>
  <c r="M67" s="1"/>
  <c r="AP67"/>
  <c r="L67" s="1"/>
  <c r="AM67"/>
  <c r="K67" s="1"/>
  <c r="AJ67"/>
  <c r="J67" s="1"/>
  <c r="AG67"/>
  <c r="I67" s="1"/>
  <c r="AD67"/>
  <c r="H67" s="1"/>
  <c r="AA67"/>
  <c r="G67" s="1"/>
  <c r="X67"/>
  <c r="F67" s="1"/>
  <c r="U67"/>
  <c r="E67" s="1"/>
  <c r="R67"/>
  <c r="D67" s="1"/>
  <c r="AS66"/>
  <c r="M66" s="1"/>
  <c r="AP66"/>
  <c r="L66" s="1"/>
  <c r="AM66"/>
  <c r="K66" s="1"/>
  <c r="AJ66"/>
  <c r="J66" s="1"/>
  <c r="AG66"/>
  <c r="I66" s="1"/>
  <c r="AD66"/>
  <c r="H66" s="1"/>
  <c r="AA66"/>
  <c r="G66" s="1"/>
  <c r="X66"/>
  <c r="F66" s="1"/>
  <c r="U66"/>
  <c r="E66" s="1"/>
  <c r="R66"/>
  <c r="D66" s="1"/>
  <c r="AS65"/>
  <c r="M65" s="1"/>
  <c r="AP65"/>
  <c r="L65" s="1"/>
  <c r="AM65"/>
  <c r="K65" s="1"/>
  <c r="AJ65"/>
  <c r="AG65"/>
  <c r="I65" s="1"/>
  <c r="AD65"/>
  <c r="H65" s="1"/>
  <c r="AA65"/>
  <c r="G65" s="1"/>
  <c r="X65"/>
  <c r="F65" s="1"/>
  <c r="U65"/>
  <c r="E65"/>
  <c r="R65"/>
  <c r="D65"/>
  <c r="J65"/>
  <c r="AS64"/>
  <c r="M64" s="1"/>
  <c r="AP64"/>
  <c r="L64" s="1"/>
  <c r="AM64"/>
  <c r="K64" s="1"/>
  <c r="AJ64"/>
  <c r="J64" s="1"/>
  <c r="AG64"/>
  <c r="I64" s="1"/>
  <c r="AD64"/>
  <c r="H64" s="1"/>
  <c r="AA64"/>
  <c r="G64" s="1"/>
  <c r="X64"/>
  <c r="F64" s="1"/>
  <c r="U64"/>
  <c r="E64"/>
  <c r="R64"/>
  <c r="D64"/>
  <c r="AS63"/>
  <c r="M63" s="1"/>
  <c r="AP63"/>
  <c r="L63" s="1"/>
  <c r="AM63"/>
  <c r="K63" s="1"/>
  <c r="AJ63"/>
  <c r="J63" s="1"/>
  <c r="AG63"/>
  <c r="I63" s="1"/>
  <c r="AD63"/>
  <c r="H63" s="1"/>
  <c r="AA63"/>
  <c r="G63" s="1"/>
  <c r="X63"/>
  <c r="F63"/>
  <c r="U63"/>
  <c r="E63"/>
  <c r="R63"/>
  <c r="D63"/>
  <c r="AS62"/>
  <c r="M62" s="1"/>
  <c r="AP62"/>
  <c r="L62" s="1"/>
  <c r="AM62"/>
  <c r="AJ62"/>
  <c r="J62" s="1"/>
  <c r="AG62"/>
  <c r="I62" s="1"/>
  <c r="AD62"/>
  <c r="H62" s="1"/>
  <c r="AA62"/>
  <c r="G62" s="1"/>
  <c r="X62"/>
  <c r="F62" s="1"/>
  <c r="U62"/>
  <c r="E62" s="1"/>
  <c r="R62"/>
  <c r="D62" s="1"/>
  <c r="K62"/>
  <c r="AS61"/>
  <c r="M61" s="1"/>
  <c r="AP61"/>
  <c r="L61" s="1"/>
  <c r="AM61"/>
  <c r="AJ61"/>
  <c r="J61" s="1"/>
  <c r="AG61"/>
  <c r="I61" s="1"/>
  <c r="AD61"/>
  <c r="H61" s="1"/>
  <c r="AA61"/>
  <c r="G61" s="1"/>
  <c r="X61"/>
  <c r="F61" s="1"/>
  <c r="U61"/>
  <c r="E61" s="1"/>
  <c r="R61"/>
  <c r="D61" s="1"/>
  <c r="K61"/>
  <c r="AS60"/>
  <c r="M60" s="1"/>
  <c r="AP60"/>
  <c r="L60" s="1"/>
  <c r="AM60"/>
  <c r="K60" s="1"/>
  <c r="AJ60"/>
  <c r="J60"/>
  <c r="AG60"/>
  <c r="I60"/>
  <c r="AD60"/>
  <c r="H60"/>
  <c r="AA60"/>
  <c r="G60"/>
  <c r="X60"/>
  <c r="F60"/>
  <c r="U60"/>
  <c r="E60"/>
  <c r="R60"/>
  <c r="D60"/>
  <c r="AS59"/>
  <c r="M59" s="1"/>
  <c r="AP59"/>
  <c r="L59" s="1"/>
  <c r="AM59"/>
  <c r="K59" s="1"/>
  <c r="AJ59"/>
  <c r="AG59"/>
  <c r="I59"/>
  <c r="AD59"/>
  <c r="H59"/>
  <c r="AA59"/>
  <c r="G59"/>
  <c r="X59"/>
  <c r="F59" s="1"/>
  <c r="U59"/>
  <c r="E59" s="1"/>
  <c r="R59"/>
  <c r="D59" s="1"/>
  <c r="J59"/>
  <c r="AS58"/>
  <c r="M58" s="1"/>
  <c r="AP58"/>
  <c r="L58" s="1"/>
  <c r="AM58"/>
  <c r="AJ58"/>
  <c r="J58" s="1"/>
  <c r="AG58"/>
  <c r="I58" s="1"/>
  <c r="AD58"/>
  <c r="H58" s="1"/>
  <c r="AA58"/>
  <c r="G58" s="1"/>
  <c r="X58"/>
  <c r="F58" s="1"/>
  <c r="U58"/>
  <c r="E58" s="1"/>
  <c r="R58"/>
  <c r="D58" s="1"/>
  <c r="K58"/>
  <c r="AS57"/>
  <c r="M57" s="1"/>
  <c r="AP57"/>
  <c r="L57" s="1"/>
  <c r="AM57"/>
  <c r="K57" s="1"/>
  <c r="AJ57"/>
  <c r="AG57"/>
  <c r="I57" s="1"/>
  <c r="AD57"/>
  <c r="H57" s="1"/>
  <c r="AA57"/>
  <c r="G57" s="1"/>
  <c r="X57"/>
  <c r="F57" s="1"/>
  <c r="U57"/>
  <c r="E57"/>
  <c r="R57"/>
  <c r="D57"/>
  <c r="J57"/>
  <c r="AS56"/>
  <c r="M56" s="1"/>
  <c r="AP56"/>
  <c r="L56" s="1"/>
  <c r="AM56"/>
  <c r="K56" s="1"/>
  <c r="AJ56"/>
  <c r="J56" s="1"/>
  <c r="AG56"/>
  <c r="I56" s="1"/>
  <c r="AD56"/>
  <c r="H56" s="1"/>
  <c r="AA56"/>
  <c r="G56" s="1"/>
  <c r="X56"/>
  <c r="F56" s="1"/>
  <c r="U56"/>
  <c r="E56" s="1"/>
  <c r="R56"/>
  <c r="D56" s="1"/>
  <c r="AS55"/>
  <c r="M55"/>
  <c r="AP55"/>
  <c r="L55" s="1"/>
  <c r="AM55"/>
  <c r="K55" s="1"/>
  <c r="AJ55"/>
  <c r="J55" s="1"/>
  <c r="AG55"/>
  <c r="I55" s="1"/>
  <c r="AD55"/>
  <c r="H55" s="1"/>
  <c r="AA55"/>
  <c r="G55" s="1"/>
  <c r="X55"/>
  <c r="F55" s="1"/>
  <c r="U55"/>
  <c r="E55"/>
  <c r="R55"/>
  <c r="D55" s="1"/>
  <c r="AS54"/>
  <c r="M54" s="1"/>
  <c r="AP54"/>
  <c r="L54" s="1"/>
  <c r="AM54"/>
  <c r="K54" s="1"/>
  <c r="AJ54"/>
  <c r="J54" s="1"/>
  <c r="AG54"/>
  <c r="I54" s="1"/>
  <c r="AD54"/>
  <c r="H54" s="1"/>
  <c r="AA54"/>
  <c r="G54" s="1"/>
  <c r="X54"/>
  <c r="F54" s="1"/>
  <c r="U54"/>
  <c r="E54"/>
  <c r="R54"/>
  <c r="D54" s="1"/>
  <c r="AS53"/>
  <c r="AP53"/>
  <c r="L53"/>
  <c r="AM53"/>
  <c r="K53"/>
  <c r="AJ53"/>
  <c r="J53"/>
  <c r="AG53"/>
  <c r="I53" s="1"/>
  <c r="AD53"/>
  <c r="H53"/>
  <c r="AA53"/>
  <c r="G53" s="1"/>
  <c r="X53"/>
  <c r="U53"/>
  <c r="E53" s="1"/>
  <c r="R53"/>
  <c r="D53" s="1"/>
  <c r="M53"/>
  <c r="F53"/>
  <c r="AS52"/>
  <c r="AP52"/>
  <c r="L52"/>
  <c r="AM52"/>
  <c r="K52" s="1"/>
  <c r="AJ52"/>
  <c r="AG52"/>
  <c r="I52" s="1"/>
  <c r="AD52"/>
  <c r="H52" s="1"/>
  <c r="AA52"/>
  <c r="G52" s="1"/>
  <c r="X52"/>
  <c r="F52" s="1"/>
  <c r="U52"/>
  <c r="E52" s="1"/>
  <c r="R52"/>
  <c r="D52" s="1"/>
  <c r="M52"/>
  <c r="J52"/>
  <c r="AS51"/>
  <c r="M51" s="1"/>
  <c r="AP51"/>
  <c r="L51" s="1"/>
  <c r="AM51"/>
  <c r="K51" s="1"/>
  <c r="AJ51"/>
  <c r="J51" s="1"/>
  <c r="AG51"/>
  <c r="I51" s="1"/>
  <c r="AD51"/>
  <c r="H51" s="1"/>
  <c r="AA51"/>
  <c r="G51" s="1"/>
  <c r="X51"/>
  <c r="F51" s="1"/>
  <c r="U51"/>
  <c r="E51" s="1"/>
  <c r="R51"/>
  <c r="D51" s="1"/>
  <c r="AS50"/>
  <c r="M50" s="1"/>
  <c r="AP50"/>
  <c r="L50" s="1"/>
  <c r="AM50"/>
  <c r="K50" s="1"/>
  <c r="AJ50"/>
  <c r="J50" s="1"/>
  <c r="AG50"/>
  <c r="I50" s="1"/>
  <c r="AD50"/>
  <c r="H50" s="1"/>
  <c r="AA50"/>
  <c r="G50" s="1"/>
  <c r="X50"/>
  <c r="F50" s="1"/>
  <c r="U50"/>
  <c r="E50" s="1"/>
  <c r="R50"/>
  <c r="D50" s="1"/>
  <c r="AS49"/>
  <c r="M49" s="1"/>
  <c r="AP49"/>
  <c r="L49" s="1"/>
  <c r="AM49"/>
  <c r="K49" s="1"/>
  <c r="AJ49"/>
  <c r="J49" s="1"/>
  <c r="AG49"/>
  <c r="I49" s="1"/>
  <c r="AD49"/>
  <c r="H49" s="1"/>
  <c r="AA49"/>
  <c r="G49" s="1"/>
  <c r="X49"/>
  <c r="F49" s="1"/>
  <c r="U49"/>
  <c r="E49" s="1"/>
  <c r="R49"/>
  <c r="D49" s="1"/>
  <c r="AS48"/>
  <c r="M48" s="1"/>
  <c r="AP48"/>
  <c r="L48" s="1"/>
  <c r="AM48"/>
  <c r="K48" s="1"/>
  <c r="AJ48"/>
  <c r="J48" s="1"/>
  <c r="AG48"/>
  <c r="I48" s="1"/>
  <c r="AD48"/>
  <c r="H48"/>
  <c r="AA48"/>
  <c r="G48" s="1"/>
  <c r="X48"/>
  <c r="F48"/>
  <c r="U48"/>
  <c r="E48" s="1"/>
  <c r="R48"/>
  <c r="D48"/>
  <c r="AS47"/>
  <c r="M47" s="1"/>
  <c r="AP47"/>
  <c r="L47" s="1"/>
  <c r="AM47"/>
  <c r="K47" s="1"/>
  <c r="AJ47"/>
  <c r="J47"/>
  <c r="AG47"/>
  <c r="I47" s="1"/>
  <c r="AD47"/>
  <c r="H47"/>
  <c r="AA47"/>
  <c r="G47" s="1"/>
  <c r="X47"/>
  <c r="U47"/>
  <c r="E47" s="1"/>
  <c r="R47"/>
  <c r="D47" s="1"/>
  <c r="F47"/>
  <c r="AS46"/>
  <c r="M46" s="1"/>
  <c r="AP46"/>
  <c r="L46" s="1"/>
  <c r="AM46"/>
  <c r="K46" s="1"/>
  <c r="AJ46"/>
  <c r="J46" s="1"/>
  <c r="AG46"/>
  <c r="I46" s="1"/>
  <c r="AD46"/>
  <c r="H46" s="1"/>
  <c r="AA46"/>
  <c r="G46" s="1"/>
  <c r="X46"/>
  <c r="F46" s="1"/>
  <c r="U46"/>
  <c r="E46" s="1"/>
  <c r="R46"/>
  <c r="D46" s="1"/>
  <c r="AS45"/>
  <c r="M45" s="1"/>
  <c r="AP45"/>
  <c r="L45" s="1"/>
  <c r="AM45"/>
  <c r="K45" s="1"/>
  <c r="AJ45"/>
  <c r="J45" s="1"/>
  <c r="AG45"/>
  <c r="I45" s="1"/>
  <c r="AD45"/>
  <c r="H45" s="1"/>
  <c r="AA45"/>
  <c r="G45" s="1"/>
  <c r="X45"/>
  <c r="F45" s="1"/>
  <c r="U45"/>
  <c r="E45" s="1"/>
  <c r="R45"/>
  <c r="D45"/>
  <c r="AS44"/>
  <c r="M44" s="1"/>
  <c r="AP44"/>
  <c r="L44" s="1"/>
  <c r="AM44"/>
  <c r="K44" s="1"/>
  <c r="AJ44"/>
  <c r="J44" s="1"/>
  <c r="AG44"/>
  <c r="I44" s="1"/>
  <c r="AD44"/>
  <c r="H44" s="1"/>
  <c r="AA44"/>
  <c r="G44" s="1"/>
  <c r="X44"/>
  <c r="F44" s="1"/>
  <c r="U44"/>
  <c r="E44" s="1"/>
  <c r="R44"/>
  <c r="D44" s="1"/>
  <c r="AS43"/>
  <c r="AP43"/>
  <c r="L43"/>
  <c r="AM43"/>
  <c r="K43" s="1"/>
  <c r="AJ43"/>
  <c r="J43"/>
  <c r="AG43"/>
  <c r="I43" s="1"/>
  <c r="AD43"/>
  <c r="H43"/>
  <c r="AA43"/>
  <c r="G43" s="1"/>
  <c r="X43"/>
  <c r="F43"/>
  <c r="U43"/>
  <c r="E43" s="1"/>
  <c r="R43"/>
  <c r="D43"/>
  <c r="M43"/>
  <c r="AS42"/>
  <c r="M42" s="1"/>
  <c r="AP42"/>
  <c r="L42" s="1"/>
  <c r="AM42"/>
  <c r="K42" s="1"/>
  <c r="AJ42"/>
  <c r="J42" s="1"/>
  <c r="AG42"/>
  <c r="I42" s="1"/>
  <c r="AD42"/>
  <c r="H42" s="1"/>
  <c r="AA42"/>
  <c r="G42" s="1"/>
  <c r="X42"/>
  <c r="F42" s="1"/>
  <c r="U42"/>
  <c r="E42" s="1"/>
  <c r="R42"/>
  <c r="D42" s="1"/>
  <c r="AS41"/>
  <c r="M41" s="1"/>
  <c r="AP41"/>
  <c r="L41" s="1"/>
  <c r="AM41"/>
  <c r="K41" s="1"/>
  <c r="AJ41"/>
  <c r="J41" s="1"/>
  <c r="AG41"/>
  <c r="I41" s="1"/>
  <c r="AD41"/>
  <c r="H41" s="1"/>
  <c r="AA41"/>
  <c r="X41"/>
  <c r="F41"/>
  <c r="U41"/>
  <c r="R41"/>
  <c r="D41" s="1"/>
  <c r="G41"/>
  <c r="E41"/>
  <c r="AS40"/>
  <c r="AP40"/>
  <c r="L40"/>
  <c r="AM40"/>
  <c r="K40" s="1"/>
  <c r="AJ40"/>
  <c r="J40"/>
  <c r="AG40"/>
  <c r="I40" s="1"/>
  <c r="AD40"/>
  <c r="H40"/>
  <c r="AA40"/>
  <c r="G40" s="1"/>
  <c r="X40"/>
  <c r="U40"/>
  <c r="E40" s="1"/>
  <c r="R40"/>
  <c r="D40" s="1"/>
  <c r="M40"/>
  <c r="F40"/>
  <c r="AS39"/>
  <c r="M39" s="1"/>
  <c r="AP39"/>
  <c r="L39" s="1"/>
  <c r="AM39"/>
  <c r="K39" s="1"/>
  <c r="AJ39"/>
  <c r="J39" s="1"/>
  <c r="AG39"/>
  <c r="I39" s="1"/>
  <c r="AD39"/>
  <c r="H39" s="1"/>
  <c r="AA39"/>
  <c r="G39" s="1"/>
  <c r="X39"/>
  <c r="F39" s="1"/>
  <c r="U39"/>
  <c r="E39" s="1"/>
  <c r="R39"/>
  <c r="D39"/>
  <c r="AS38"/>
  <c r="M38" s="1"/>
  <c r="AP38"/>
  <c r="L38" s="1"/>
  <c r="AM38"/>
  <c r="K38" s="1"/>
  <c r="AJ38"/>
  <c r="J38" s="1"/>
  <c r="AG38"/>
  <c r="I38" s="1"/>
  <c r="AD38"/>
  <c r="H38" s="1"/>
  <c r="AA38"/>
  <c r="G38" s="1"/>
  <c r="X38"/>
  <c r="F38" s="1"/>
  <c r="U38"/>
  <c r="E38" s="1"/>
  <c r="R38"/>
  <c r="D38" s="1"/>
  <c r="AS37"/>
  <c r="M37" s="1"/>
  <c r="AP37"/>
  <c r="L37" s="1"/>
  <c r="AM37"/>
  <c r="AJ37"/>
  <c r="J37"/>
  <c r="AG37"/>
  <c r="I37" s="1"/>
  <c r="AD37"/>
  <c r="H37"/>
  <c r="AA37"/>
  <c r="X37"/>
  <c r="F37" s="1"/>
  <c r="U37"/>
  <c r="E37" s="1"/>
  <c r="R37"/>
  <c r="D37" s="1"/>
  <c r="K37"/>
  <c r="G37"/>
  <c r="AS36"/>
  <c r="M36" s="1"/>
  <c r="AP36"/>
  <c r="L36" s="1"/>
  <c r="AM36"/>
  <c r="K36" s="1"/>
  <c r="AJ36"/>
  <c r="J36" s="1"/>
  <c r="AG36"/>
  <c r="I36" s="1"/>
  <c r="AD36"/>
  <c r="H36"/>
  <c r="AA36"/>
  <c r="G36" s="1"/>
  <c r="X36"/>
  <c r="F36"/>
  <c r="U36"/>
  <c r="E36" s="1"/>
  <c r="R36"/>
  <c r="D36"/>
  <c r="AS35"/>
  <c r="M35" s="1"/>
  <c r="AP35"/>
  <c r="L35" s="1"/>
  <c r="AM35"/>
  <c r="K35" s="1"/>
  <c r="AJ35"/>
  <c r="J35"/>
  <c r="AG35"/>
  <c r="I35" s="1"/>
  <c r="AD35"/>
  <c r="H35"/>
  <c r="AA35"/>
  <c r="G35" s="1"/>
  <c r="X35"/>
  <c r="U35"/>
  <c r="E35" s="1"/>
  <c r="R35"/>
  <c r="D35" s="1"/>
  <c r="F35"/>
  <c r="AS34"/>
  <c r="M34" s="1"/>
  <c r="AP34"/>
  <c r="L34" s="1"/>
  <c r="AM34"/>
  <c r="K34" s="1"/>
  <c r="AJ34"/>
  <c r="J34" s="1"/>
  <c r="AG34"/>
  <c r="I34" s="1"/>
  <c r="AD34"/>
  <c r="H34" s="1"/>
  <c r="AA34"/>
  <c r="G34" s="1"/>
  <c r="X34"/>
  <c r="F34" s="1"/>
  <c r="U34"/>
  <c r="E34" s="1"/>
  <c r="R34"/>
  <c r="D34" s="1"/>
  <c r="AS33"/>
  <c r="M33" s="1"/>
  <c r="AP33"/>
  <c r="L33" s="1"/>
  <c r="AM33"/>
  <c r="K33" s="1"/>
  <c r="AJ33"/>
  <c r="J33" s="1"/>
  <c r="AG33"/>
  <c r="I33" s="1"/>
  <c r="AD33"/>
  <c r="H33" s="1"/>
  <c r="AA33"/>
  <c r="G33" s="1"/>
  <c r="X33"/>
  <c r="U33"/>
  <c r="R33"/>
  <c r="D33" s="1"/>
  <c r="F33"/>
  <c r="E33"/>
  <c r="AS32"/>
  <c r="M32" s="1"/>
  <c r="AP32"/>
  <c r="L32" s="1"/>
  <c r="AM32"/>
  <c r="K32" s="1"/>
  <c r="AJ32"/>
  <c r="J32" s="1"/>
  <c r="AG32"/>
  <c r="I32" s="1"/>
  <c r="AD32"/>
  <c r="H32" s="1"/>
  <c r="AA32"/>
  <c r="X32"/>
  <c r="F32"/>
  <c r="U32"/>
  <c r="E32" s="1"/>
  <c r="R32"/>
  <c r="D32"/>
  <c r="G32"/>
  <c r="AS31"/>
  <c r="M31" s="1"/>
  <c r="AP31"/>
  <c r="L31" s="1"/>
  <c r="AM31"/>
  <c r="K31" s="1"/>
  <c r="AJ31"/>
  <c r="J31" s="1"/>
  <c r="AG31"/>
  <c r="I31" s="1"/>
  <c r="AD31"/>
  <c r="H31" s="1"/>
  <c r="AA31"/>
  <c r="G31" s="1"/>
  <c r="X31"/>
  <c r="F31" s="1"/>
  <c r="U31"/>
  <c r="E31" s="1"/>
  <c r="R31"/>
  <c r="D31" s="1"/>
  <c r="AS30"/>
  <c r="M30" s="1"/>
  <c r="AP30"/>
  <c r="L30" s="1"/>
  <c r="AM30"/>
  <c r="K30" s="1"/>
  <c r="AJ30"/>
  <c r="J30" s="1"/>
  <c r="AG30"/>
  <c r="I30" s="1"/>
  <c r="AD30"/>
  <c r="H30" s="1"/>
  <c r="AA30"/>
  <c r="G30" s="1"/>
  <c r="X30"/>
  <c r="F30" s="1"/>
  <c r="U30"/>
  <c r="E30" s="1"/>
  <c r="R30"/>
  <c r="D30" s="1"/>
  <c r="AS29"/>
  <c r="M29" s="1"/>
  <c r="AP29"/>
  <c r="L29" s="1"/>
  <c r="AM29"/>
  <c r="AJ29"/>
  <c r="J29"/>
  <c r="AG29"/>
  <c r="I29" s="1"/>
  <c r="AD29"/>
  <c r="H29"/>
  <c r="AA29"/>
  <c r="X29"/>
  <c r="F29" s="1"/>
  <c r="U29"/>
  <c r="E29" s="1"/>
  <c r="R29"/>
  <c r="D29" s="1"/>
  <c r="K29"/>
  <c r="G29"/>
  <c r="AS28"/>
  <c r="AP28"/>
  <c r="L28"/>
  <c r="AM28"/>
  <c r="K28" s="1"/>
  <c r="AJ28"/>
  <c r="AG28"/>
  <c r="I28" s="1"/>
  <c r="AD28"/>
  <c r="H28" s="1"/>
  <c r="AA28"/>
  <c r="G28" s="1"/>
  <c r="X28"/>
  <c r="F28" s="1"/>
  <c r="U28"/>
  <c r="E28" s="1"/>
  <c r="R28"/>
  <c r="D28" s="1"/>
  <c r="M28"/>
  <c r="J28"/>
  <c r="AS27"/>
  <c r="M27" s="1"/>
  <c r="AP27"/>
  <c r="L27" s="1"/>
  <c r="AM27"/>
  <c r="AJ27"/>
  <c r="J27"/>
  <c r="AG27"/>
  <c r="I27" s="1"/>
  <c r="AD27"/>
  <c r="H27"/>
  <c r="AA27"/>
  <c r="G27" s="1"/>
  <c r="X27"/>
  <c r="F27"/>
  <c r="U27"/>
  <c r="E27" s="1"/>
  <c r="R27"/>
  <c r="D27"/>
  <c r="K27"/>
  <c r="AS26"/>
  <c r="M26" s="1"/>
  <c r="AP26"/>
  <c r="L26" s="1"/>
  <c r="AM26"/>
  <c r="K26" s="1"/>
  <c r="AJ26"/>
  <c r="J26" s="1"/>
  <c r="AG26"/>
  <c r="I26" s="1"/>
  <c r="AD26"/>
  <c r="H26" s="1"/>
  <c r="AA26"/>
  <c r="G26" s="1"/>
  <c r="X26"/>
  <c r="F26" s="1"/>
  <c r="U26"/>
  <c r="E26" s="1"/>
  <c r="R26"/>
  <c r="D26" s="1"/>
  <c r="AS25"/>
  <c r="M25" s="1"/>
  <c r="AP25"/>
  <c r="L25" s="1"/>
  <c r="AM25"/>
  <c r="K25" s="1"/>
  <c r="AJ25"/>
  <c r="J25" s="1"/>
  <c r="AG25"/>
  <c r="I25" s="1"/>
  <c r="AD25"/>
  <c r="H25" s="1"/>
  <c r="AA25"/>
  <c r="G25" s="1"/>
  <c r="X25"/>
  <c r="F25" s="1"/>
  <c r="U25"/>
  <c r="E25" s="1"/>
  <c r="R25"/>
  <c r="D25"/>
  <c r="AS24"/>
  <c r="AP24"/>
  <c r="L24"/>
  <c r="AM24"/>
  <c r="K24" s="1"/>
  <c r="AJ24"/>
  <c r="J24"/>
  <c r="AG24"/>
  <c r="I24" s="1"/>
  <c r="AD24"/>
  <c r="H24"/>
  <c r="AA24"/>
  <c r="G24" s="1"/>
  <c r="X24"/>
  <c r="F24"/>
  <c r="U24"/>
  <c r="E24" s="1"/>
  <c r="R24"/>
  <c r="D24"/>
  <c r="M24"/>
  <c r="AS23"/>
  <c r="M23" s="1"/>
  <c r="AP23"/>
  <c r="L23" s="1"/>
  <c r="AM23"/>
  <c r="K23" s="1"/>
  <c r="AJ23"/>
  <c r="J23" s="1"/>
  <c r="AG23"/>
  <c r="I23" s="1"/>
  <c r="AD23"/>
  <c r="H23" s="1"/>
  <c r="AA23"/>
  <c r="G23" s="1"/>
  <c r="X23"/>
  <c r="F23" s="1"/>
  <c r="U23"/>
  <c r="E23" s="1"/>
  <c r="R23"/>
  <c r="D23" s="1"/>
  <c r="AS22"/>
  <c r="M22" s="1"/>
  <c r="AP22"/>
  <c r="L22" s="1"/>
  <c r="AM22"/>
  <c r="K22" s="1"/>
  <c r="AJ22"/>
  <c r="J22" s="1"/>
  <c r="AG22"/>
  <c r="I22" s="1"/>
  <c r="AD22"/>
  <c r="H22" s="1"/>
  <c r="AA22"/>
  <c r="G22" s="1"/>
  <c r="X22"/>
  <c r="F22" s="1"/>
  <c r="U22"/>
  <c r="E22" s="1"/>
  <c r="R22"/>
  <c r="D22" s="1"/>
  <c r="AS21"/>
  <c r="M21" s="1"/>
  <c r="AP21"/>
  <c r="L21" s="1"/>
  <c r="AM21"/>
  <c r="K21" s="1"/>
  <c r="AJ21"/>
  <c r="J21" s="1"/>
  <c r="AG21"/>
  <c r="I21" s="1"/>
  <c r="AD21"/>
  <c r="H21" s="1"/>
  <c r="AA21"/>
  <c r="X21"/>
  <c r="F21"/>
  <c r="U21"/>
  <c r="R21"/>
  <c r="D21" s="1"/>
  <c r="G21"/>
  <c r="E21"/>
  <c r="AS20"/>
  <c r="M20" s="1"/>
  <c r="AP20"/>
  <c r="L20" s="1"/>
  <c r="AM20"/>
  <c r="K20" s="1"/>
  <c r="AJ20"/>
  <c r="J20" s="1"/>
  <c r="AG20"/>
  <c r="I20" s="1"/>
  <c r="AD20"/>
  <c r="H20" s="1"/>
  <c r="AA20"/>
  <c r="G20" s="1"/>
  <c r="X20"/>
  <c r="F20" s="1"/>
  <c r="U20"/>
  <c r="E20" s="1"/>
  <c r="R20"/>
  <c r="D20" s="1"/>
  <c r="AS19"/>
  <c r="M19" s="1"/>
  <c r="AP19"/>
  <c r="L19" s="1"/>
  <c r="AM19"/>
  <c r="K19" s="1"/>
  <c r="AJ19"/>
  <c r="J19"/>
  <c r="AG19"/>
  <c r="I19" s="1"/>
  <c r="AD19"/>
  <c r="H19"/>
  <c r="AA19"/>
  <c r="G19" s="1"/>
  <c r="X19"/>
  <c r="U19"/>
  <c r="E19" s="1"/>
  <c r="R19"/>
  <c r="D19" s="1"/>
  <c r="F19"/>
  <c r="AS18"/>
  <c r="M18" s="1"/>
  <c r="AP18"/>
  <c r="L18" s="1"/>
  <c r="AM18"/>
  <c r="K18" s="1"/>
  <c r="AJ18"/>
  <c r="J18" s="1"/>
  <c r="AG18"/>
  <c r="I18" s="1"/>
  <c r="AD18"/>
  <c r="H18" s="1"/>
  <c r="AA18"/>
  <c r="G18" s="1"/>
  <c r="X18"/>
  <c r="F18" s="1"/>
  <c r="U18"/>
  <c r="E18" s="1"/>
  <c r="R18"/>
  <c r="D18" s="1"/>
  <c r="AS17"/>
  <c r="AP17"/>
  <c r="L17"/>
  <c r="AM17"/>
  <c r="K17" s="1"/>
  <c r="AJ17"/>
  <c r="J17"/>
  <c r="AG17"/>
  <c r="I17" s="1"/>
  <c r="AD17"/>
  <c r="H17"/>
  <c r="AA17"/>
  <c r="G17" s="1"/>
  <c r="X17"/>
  <c r="F17"/>
  <c r="U17"/>
  <c r="E17" s="1"/>
  <c r="R17"/>
  <c r="D17"/>
  <c r="M17"/>
  <c r="AS16"/>
  <c r="M16" s="1"/>
  <c r="AP16"/>
  <c r="L16" s="1"/>
  <c r="AM16"/>
  <c r="K16" s="1"/>
  <c r="AJ16"/>
  <c r="J16" s="1"/>
  <c r="AG16"/>
  <c r="I16" s="1"/>
  <c r="AD16"/>
  <c r="H16" s="1"/>
  <c r="AA16"/>
  <c r="G16" s="1"/>
  <c r="X16"/>
  <c r="F16" s="1"/>
  <c r="U16"/>
  <c r="E16" s="1"/>
  <c r="R16"/>
  <c r="D16" s="1"/>
  <c r="AS15"/>
  <c r="AP15"/>
  <c r="L15"/>
  <c r="AM15"/>
  <c r="K15" s="1"/>
  <c r="AJ15"/>
  <c r="J15"/>
  <c r="AG15"/>
  <c r="I15" s="1"/>
  <c r="AD15"/>
  <c r="H15"/>
  <c r="AA15"/>
  <c r="G15" s="1"/>
  <c r="X15"/>
  <c r="F15"/>
  <c r="U15"/>
  <c r="E15" s="1"/>
  <c r="R15"/>
  <c r="D15"/>
  <c r="M15"/>
  <c r="AS14"/>
  <c r="M14" s="1"/>
  <c r="AP14"/>
  <c r="L14" s="1"/>
  <c r="AM14"/>
  <c r="K14" s="1"/>
  <c r="AJ14"/>
  <c r="J14" s="1"/>
  <c r="AG14"/>
  <c r="I14" s="1"/>
  <c r="AD14"/>
  <c r="H14" s="1"/>
  <c r="AA14"/>
  <c r="X14"/>
  <c r="F14"/>
  <c r="U14"/>
  <c r="E14" s="1"/>
  <c r="R14"/>
  <c r="D14"/>
  <c r="G14"/>
  <c r="AS13"/>
  <c r="M13" s="1"/>
  <c r="AP13"/>
  <c r="L13" s="1"/>
  <c r="AM13"/>
  <c r="AJ13"/>
  <c r="J13"/>
  <c r="AG13"/>
  <c r="I13" s="1"/>
  <c r="AD13"/>
  <c r="H13"/>
  <c r="AA13"/>
  <c r="X13"/>
  <c r="F13" s="1"/>
  <c r="U13"/>
  <c r="E13" s="1"/>
  <c r="R13"/>
  <c r="D13" s="1"/>
  <c r="K13"/>
  <c r="G13"/>
  <c r="AS12"/>
  <c r="AP12"/>
  <c r="L12"/>
  <c r="AM12"/>
  <c r="K12" s="1"/>
  <c r="AJ12"/>
  <c r="J12"/>
  <c r="AG12"/>
  <c r="I12" s="1"/>
  <c r="AD12"/>
  <c r="H12"/>
  <c r="AA12"/>
  <c r="G12" s="1"/>
  <c r="X12"/>
  <c r="U12"/>
  <c r="E12" s="1"/>
  <c r="R12"/>
  <c r="D12" s="1"/>
  <c r="M12"/>
  <c r="F12"/>
  <c r="AS11"/>
  <c r="AP11"/>
  <c r="L11"/>
  <c r="AM11"/>
  <c r="K11" s="1"/>
  <c r="AJ11"/>
  <c r="J11"/>
  <c r="AG11"/>
  <c r="I11" s="1"/>
  <c r="AD11"/>
  <c r="H11"/>
  <c r="AA11"/>
  <c r="G11" s="1"/>
  <c r="X11"/>
  <c r="U11"/>
  <c r="E11" s="1"/>
  <c r="R11"/>
  <c r="D11" s="1"/>
  <c r="M11"/>
  <c r="F11"/>
  <c r="AS10"/>
  <c r="M10" s="1"/>
  <c r="AP10"/>
  <c r="L10" s="1"/>
  <c r="AM10"/>
  <c r="K10" s="1"/>
  <c r="AJ10"/>
  <c r="J10" s="1"/>
  <c r="AG10"/>
  <c r="I10" s="1"/>
  <c r="AD10"/>
  <c r="H10" s="1"/>
  <c r="AA10"/>
  <c r="G10" s="1"/>
  <c r="X10"/>
  <c r="F10" s="1"/>
  <c r="U10"/>
  <c r="E10" s="1"/>
  <c r="R10"/>
  <c r="D10"/>
  <c r="AS9"/>
  <c r="M9" s="1"/>
  <c r="AP9"/>
  <c r="L9" s="1"/>
  <c r="AM9"/>
  <c r="K9" s="1"/>
  <c r="AJ9"/>
  <c r="J9" s="1"/>
  <c r="AG9"/>
  <c r="I9" s="1"/>
  <c r="AD9"/>
  <c r="H9" s="1"/>
  <c r="AA9"/>
  <c r="G9" s="1"/>
  <c r="X9"/>
  <c r="F9" s="1"/>
  <c r="U9"/>
  <c r="E9" s="1"/>
  <c r="R9"/>
  <c r="D9" s="1"/>
  <c r="AS8"/>
  <c r="M8" s="1"/>
  <c r="AP8"/>
  <c r="L8" s="1"/>
  <c r="AM8"/>
  <c r="K8" s="1"/>
  <c r="AJ8"/>
  <c r="J8" s="1"/>
  <c r="AG8"/>
  <c r="I8" s="1"/>
  <c r="AD8"/>
  <c r="H8" s="1"/>
  <c r="AA8"/>
  <c r="G8" s="1"/>
  <c r="X8"/>
  <c r="F8" s="1"/>
  <c r="U8"/>
  <c r="E8" s="1"/>
  <c r="R8"/>
  <c r="D8" s="1"/>
  <c r="AS7"/>
  <c r="M7" s="1"/>
  <c r="F36" i="1" s="1"/>
  <c r="AP7" i="24"/>
  <c r="L7" s="1"/>
  <c r="F35" i="1" s="1"/>
  <c r="AM7" i="24"/>
  <c r="K7" s="1"/>
  <c r="F34" i="1" s="1"/>
  <c r="AJ7" i="24"/>
  <c r="J7"/>
  <c r="AG7"/>
  <c r="I7" s="1"/>
  <c r="F32" i="1" s="1"/>
  <c r="AD7" i="24"/>
  <c r="H7" s="1"/>
  <c r="F31" i="1" s="1"/>
  <c r="AA7" i="24"/>
  <c r="X7"/>
  <c r="F7" s="1"/>
  <c r="F29" i="1" s="1"/>
  <c r="U7" i="24"/>
  <c r="R7"/>
  <c r="D7"/>
  <c r="F27" i="1"/>
  <c r="G7" i="24"/>
  <c r="F30" i="1" s="1"/>
  <c r="E7" i="24"/>
  <c r="AR6"/>
  <c r="AQ6"/>
  <c r="AO6"/>
  <c r="AN6"/>
  <c r="AL6"/>
  <c r="AK6"/>
  <c r="AI6"/>
  <c r="AH6"/>
  <c r="AF6"/>
  <c r="AE6"/>
  <c r="AC6"/>
  <c r="AB6"/>
  <c r="Z6"/>
  <c r="Y6"/>
  <c r="W6"/>
  <c r="V6"/>
  <c r="T6"/>
  <c r="S6"/>
  <c r="Q6"/>
  <c r="P6"/>
  <c r="S139" i="9"/>
  <c r="R139"/>
  <c r="H4" s="1"/>
  <c r="Q139"/>
  <c r="P139"/>
  <c r="Q140" s="1"/>
  <c r="O139"/>
  <c r="N139"/>
  <c r="F4" s="1"/>
  <c r="M139"/>
  <c r="L139"/>
  <c r="M140"/>
  <c r="K139"/>
  <c r="J139"/>
  <c r="D4" s="1"/>
  <c r="H99"/>
  <c r="G99"/>
  <c r="F99"/>
  <c r="E99"/>
  <c r="D99"/>
  <c r="H98"/>
  <c r="G98"/>
  <c r="F98"/>
  <c r="E98"/>
  <c r="D98"/>
  <c r="H97"/>
  <c r="G97"/>
  <c r="F97"/>
  <c r="E97"/>
  <c r="D97"/>
  <c r="H138"/>
  <c r="G138"/>
  <c r="F138"/>
  <c r="E138"/>
  <c r="D138"/>
  <c r="H137"/>
  <c r="G137"/>
  <c r="F137"/>
  <c r="E137"/>
  <c r="D137"/>
  <c r="H96"/>
  <c r="G96"/>
  <c r="F96"/>
  <c r="E96"/>
  <c r="D96"/>
  <c r="H136"/>
  <c r="G136"/>
  <c r="F136"/>
  <c r="E136"/>
  <c r="D136"/>
  <c r="H95"/>
  <c r="G95"/>
  <c r="F95"/>
  <c r="E95"/>
  <c r="D95"/>
  <c r="H94"/>
  <c r="G94"/>
  <c r="F94"/>
  <c r="E94"/>
  <c r="D94"/>
  <c r="H135"/>
  <c r="G135"/>
  <c r="F135"/>
  <c r="E135"/>
  <c r="D135"/>
  <c r="H93"/>
  <c r="G93"/>
  <c r="F93"/>
  <c r="E93"/>
  <c r="D93"/>
  <c r="H92"/>
  <c r="G92"/>
  <c r="F92"/>
  <c r="E92"/>
  <c r="D92"/>
  <c r="H91"/>
  <c r="G91"/>
  <c r="F91"/>
  <c r="E91"/>
  <c r="D91"/>
  <c r="H134"/>
  <c r="G134"/>
  <c r="F134"/>
  <c r="E134"/>
  <c r="D134"/>
  <c r="H133"/>
  <c r="G133"/>
  <c r="F133"/>
  <c r="E133"/>
  <c r="D133"/>
  <c r="H90"/>
  <c r="G90"/>
  <c r="F90"/>
  <c r="E90"/>
  <c r="D90"/>
  <c r="H89"/>
  <c r="G89"/>
  <c r="F89"/>
  <c r="E89"/>
  <c r="D89"/>
  <c r="H88"/>
  <c r="G88"/>
  <c r="F88"/>
  <c r="E88"/>
  <c r="D88"/>
  <c r="H87"/>
  <c r="G87"/>
  <c r="F87"/>
  <c r="E87"/>
  <c r="D87"/>
  <c r="H86"/>
  <c r="G86"/>
  <c r="F86"/>
  <c r="E86"/>
  <c r="D86"/>
  <c r="H85"/>
  <c r="G85"/>
  <c r="F85"/>
  <c r="E85"/>
  <c r="D85"/>
  <c r="H132"/>
  <c r="G132"/>
  <c r="F132"/>
  <c r="E132"/>
  <c r="D132"/>
  <c r="H84"/>
  <c r="G84"/>
  <c r="F84"/>
  <c r="E84"/>
  <c r="D84"/>
  <c r="H83"/>
  <c r="G83"/>
  <c r="F83"/>
  <c r="E83"/>
  <c r="D83"/>
  <c r="H82"/>
  <c r="G82"/>
  <c r="F82"/>
  <c r="E82"/>
  <c r="D82"/>
  <c r="H81"/>
  <c r="G81"/>
  <c r="F81"/>
  <c r="E81"/>
  <c r="D81"/>
  <c r="H131"/>
  <c r="G131"/>
  <c r="F131"/>
  <c r="E131"/>
  <c r="D131"/>
  <c r="H80"/>
  <c r="G80"/>
  <c r="F80"/>
  <c r="E80"/>
  <c r="D80"/>
  <c r="H130"/>
  <c r="G130"/>
  <c r="F130"/>
  <c r="E130"/>
  <c r="D130"/>
  <c r="H79"/>
  <c r="G79"/>
  <c r="F79"/>
  <c r="E79"/>
  <c r="D79"/>
  <c r="H129"/>
  <c r="G129"/>
  <c r="F129"/>
  <c r="E129"/>
  <c r="D129"/>
  <c r="H78"/>
  <c r="G78"/>
  <c r="F78"/>
  <c r="E78"/>
  <c r="D78"/>
  <c r="H77"/>
  <c r="G77"/>
  <c r="F77"/>
  <c r="E77"/>
  <c r="D77"/>
  <c r="H76"/>
  <c r="G76"/>
  <c r="F76"/>
  <c r="E76"/>
  <c r="D76"/>
  <c r="H75"/>
  <c r="G75"/>
  <c r="F75"/>
  <c r="E75"/>
  <c r="D75"/>
  <c r="H74"/>
  <c r="G74"/>
  <c r="F74"/>
  <c r="E74"/>
  <c r="D74"/>
  <c r="H128"/>
  <c r="G128"/>
  <c r="F128"/>
  <c r="E128"/>
  <c r="D128"/>
  <c r="H127"/>
  <c r="G127"/>
  <c r="F127"/>
  <c r="E127"/>
  <c r="D127"/>
  <c r="H73"/>
  <c r="G73"/>
  <c r="F73"/>
  <c r="E73"/>
  <c r="D73"/>
  <c r="H126"/>
  <c r="G126"/>
  <c r="F126"/>
  <c r="E126"/>
  <c r="D126"/>
  <c r="H72"/>
  <c r="G72"/>
  <c r="F72"/>
  <c r="E72"/>
  <c r="D72"/>
  <c r="H71"/>
  <c r="G71"/>
  <c r="F71"/>
  <c r="E71"/>
  <c r="D71"/>
  <c r="H70"/>
  <c r="G70"/>
  <c r="F70"/>
  <c r="E70"/>
  <c r="D70"/>
  <c r="H69"/>
  <c r="G69"/>
  <c r="F69"/>
  <c r="E69"/>
  <c r="D69"/>
  <c r="H125"/>
  <c r="G125"/>
  <c r="F125"/>
  <c r="E125"/>
  <c r="D125"/>
  <c r="H68"/>
  <c r="G68"/>
  <c r="F68"/>
  <c r="E68"/>
  <c r="D68"/>
  <c r="H67"/>
  <c r="G67"/>
  <c r="F67"/>
  <c r="E67"/>
  <c r="D67"/>
  <c r="H124"/>
  <c r="G124"/>
  <c r="F124"/>
  <c r="E124"/>
  <c r="D124"/>
  <c r="H123"/>
  <c r="G123"/>
  <c r="F123"/>
  <c r="E123"/>
  <c r="D123"/>
  <c r="H66"/>
  <c r="G66"/>
  <c r="F66"/>
  <c r="E66"/>
  <c r="D66"/>
  <c r="H65"/>
  <c r="G65"/>
  <c r="F65"/>
  <c r="E65"/>
  <c r="D65"/>
  <c r="H64"/>
  <c r="G64"/>
  <c r="F64"/>
  <c r="E64"/>
  <c r="D64"/>
  <c r="H63"/>
  <c r="G63"/>
  <c r="F63"/>
  <c r="E63"/>
  <c r="D63"/>
  <c r="H62"/>
  <c r="G62"/>
  <c r="F62"/>
  <c r="E62"/>
  <c r="D62"/>
  <c r="H61"/>
  <c r="G61"/>
  <c r="F61"/>
  <c r="E61"/>
  <c r="D61"/>
  <c r="H122"/>
  <c r="G122"/>
  <c r="F122"/>
  <c r="E122"/>
  <c r="D122"/>
  <c r="H121"/>
  <c r="G121"/>
  <c r="F121"/>
  <c r="E121"/>
  <c r="D121"/>
  <c r="H120"/>
  <c r="G120"/>
  <c r="F120"/>
  <c r="E120"/>
  <c r="D120"/>
  <c r="H60"/>
  <c r="G60"/>
  <c r="F60"/>
  <c r="E60"/>
  <c r="D60"/>
  <c r="H119"/>
  <c r="G119"/>
  <c r="F119"/>
  <c r="E119"/>
  <c r="D119"/>
  <c r="H59"/>
  <c r="G59"/>
  <c r="F59"/>
  <c r="E59"/>
  <c r="D59"/>
  <c r="H58"/>
  <c r="G58"/>
  <c r="F58"/>
  <c r="E58"/>
  <c r="D58"/>
  <c r="H57"/>
  <c r="G57"/>
  <c r="F57"/>
  <c r="E57"/>
  <c r="D57"/>
  <c r="H118"/>
  <c r="G118"/>
  <c r="F118"/>
  <c r="E118"/>
  <c r="D118"/>
  <c r="H56"/>
  <c r="G56"/>
  <c r="F56"/>
  <c r="E56"/>
  <c r="D56"/>
  <c r="H55"/>
  <c r="G55"/>
  <c r="F55"/>
  <c r="E55"/>
  <c r="D55"/>
  <c r="H54"/>
  <c r="G54"/>
  <c r="F54"/>
  <c r="E54"/>
  <c r="D54"/>
  <c r="H53"/>
  <c r="G53"/>
  <c r="F53"/>
  <c r="E53"/>
  <c r="D53"/>
  <c r="H52"/>
  <c r="G52"/>
  <c r="F52"/>
  <c r="E52"/>
  <c r="D52"/>
  <c r="H51"/>
  <c r="G51"/>
  <c r="F51"/>
  <c r="E51"/>
  <c r="D51"/>
  <c r="H50"/>
  <c r="G50"/>
  <c r="F50"/>
  <c r="E50"/>
  <c r="D50"/>
  <c r="H117"/>
  <c r="G117"/>
  <c r="F117"/>
  <c r="E117"/>
  <c r="D117"/>
  <c r="H49"/>
  <c r="G49"/>
  <c r="F49"/>
  <c r="E49"/>
  <c r="D49"/>
  <c r="H48"/>
  <c r="G48"/>
  <c r="F48"/>
  <c r="E48"/>
  <c r="D48"/>
  <c r="H47"/>
  <c r="G47"/>
  <c r="F47"/>
  <c r="E47"/>
  <c r="D47"/>
  <c r="H116"/>
  <c r="G116"/>
  <c r="F116"/>
  <c r="E116"/>
  <c r="D116"/>
  <c r="H46"/>
  <c r="G46"/>
  <c r="F46"/>
  <c r="E46"/>
  <c r="D46"/>
  <c r="H115"/>
  <c r="G115"/>
  <c r="F115"/>
  <c r="E115"/>
  <c r="D115"/>
  <c r="H45"/>
  <c r="G45"/>
  <c r="F45"/>
  <c r="E45"/>
  <c r="D45"/>
  <c r="H44"/>
  <c r="G44"/>
  <c r="F44"/>
  <c r="E44"/>
  <c r="D44"/>
  <c r="H43"/>
  <c r="G43"/>
  <c r="F43"/>
  <c r="E43"/>
  <c r="D43"/>
  <c r="H42"/>
  <c r="G42"/>
  <c r="F42"/>
  <c r="E42"/>
  <c r="D42"/>
  <c r="H41"/>
  <c r="G41"/>
  <c r="F41"/>
  <c r="E41"/>
  <c r="D41"/>
  <c r="H40"/>
  <c r="G40"/>
  <c r="F40"/>
  <c r="E40"/>
  <c r="D40"/>
  <c r="H39"/>
  <c r="G39"/>
  <c r="F39"/>
  <c r="E39"/>
  <c r="D39"/>
  <c r="H114"/>
  <c r="G114"/>
  <c r="F114"/>
  <c r="E114"/>
  <c r="D114"/>
  <c r="H113"/>
  <c r="G113"/>
  <c r="F113"/>
  <c r="E113"/>
  <c r="D113"/>
  <c r="H38"/>
  <c r="G38"/>
  <c r="F38"/>
  <c r="E38"/>
  <c r="D38"/>
  <c r="H37"/>
  <c r="G37"/>
  <c r="F37"/>
  <c r="E37"/>
  <c r="D37"/>
  <c r="H112"/>
  <c r="G112"/>
  <c r="F112"/>
  <c r="E112"/>
  <c r="D112"/>
  <c r="H36"/>
  <c r="G36"/>
  <c r="F36"/>
  <c r="E36"/>
  <c r="D36"/>
  <c r="H35"/>
  <c r="G35"/>
  <c r="F35"/>
  <c r="E35"/>
  <c r="D35"/>
  <c r="H34"/>
  <c r="G34"/>
  <c r="F34"/>
  <c r="E34"/>
  <c r="D34"/>
  <c r="H111"/>
  <c r="G111"/>
  <c r="F111"/>
  <c r="E111"/>
  <c r="D111"/>
  <c r="H33"/>
  <c r="G33"/>
  <c r="F33"/>
  <c r="E33"/>
  <c r="D33"/>
  <c r="H110"/>
  <c r="G110"/>
  <c r="F110"/>
  <c r="E110"/>
  <c r="D110"/>
  <c r="H32"/>
  <c r="G32"/>
  <c r="F32"/>
  <c r="E32"/>
  <c r="D32"/>
  <c r="H109"/>
  <c r="G109"/>
  <c r="F109"/>
  <c r="E109"/>
  <c r="D109"/>
  <c r="H31"/>
  <c r="G31"/>
  <c r="F31"/>
  <c r="E31"/>
  <c r="D31"/>
  <c r="H30"/>
  <c r="G30"/>
  <c r="F30"/>
  <c r="E30"/>
  <c r="D30"/>
  <c r="H108"/>
  <c r="G108"/>
  <c r="F108"/>
  <c r="E108"/>
  <c r="D108"/>
  <c r="H29"/>
  <c r="G29"/>
  <c r="F29"/>
  <c r="E29"/>
  <c r="D29"/>
  <c r="H28"/>
  <c r="G28"/>
  <c r="F28"/>
  <c r="E28"/>
  <c r="D28"/>
  <c r="H27"/>
  <c r="G27"/>
  <c r="F27"/>
  <c r="E27"/>
  <c r="D27"/>
  <c r="H107"/>
  <c r="G107"/>
  <c r="F107"/>
  <c r="E107"/>
  <c r="D107"/>
  <c r="H106"/>
  <c r="G106"/>
  <c r="F106"/>
  <c r="E106"/>
  <c r="D106"/>
  <c r="H26"/>
  <c r="G26"/>
  <c r="F26"/>
  <c r="E26"/>
  <c r="D26"/>
  <c r="H25"/>
  <c r="G25"/>
  <c r="F25"/>
  <c r="E25"/>
  <c r="D25"/>
  <c r="H105"/>
  <c r="G105"/>
  <c r="F105"/>
  <c r="E105"/>
  <c r="D105"/>
  <c r="H104"/>
  <c r="G104"/>
  <c r="F104"/>
  <c r="E104"/>
  <c r="D104"/>
  <c r="H24"/>
  <c r="G24"/>
  <c r="F24"/>
  <c r="E24"/>
  <c r="D24"/>
  <c r="H23"/>
  <c r="G23"/>
  <c r="F23"/>
  <c r="E23"/>
  <c r="D23"/>
  <c r="H22"/>
  <c r="G22"/>
  <c r="F22"/>
  <c r="E22"/>
  <c r="D22"/>
  <c r="H21"/>
  <c r="G21"/>
  <c r="F21"/>
  <c r="E21"/>
  <c r="D21"/>
  <c r="H20"/>
  <c r="G20"/>
  <c r="F20"/>
  <c r="E20"/>
  <c r="D20"/>
  <c r="H103"/>
  <c r="G103"/>
  <c r="F103"/>
  <c r="E103"/>
  <c r="D103"/>
  <c r="H19"/>
  <c r="G19"/>
  <c r="F19"/>
  <c r="E19"/>
  <c r="D19"/>
  <c r="H18"/>
  <c r="G18"/>
  <c r="F18"/>
  <c r="E18"/>
  <c r="D18"/>
  <c r="H17"/>
  <c r="G17"/>
  <c r="F17"/>
  <c r="E17"/>
  <c r="D17"/>
  <c r="H102"/>
  <c r="G102"/>
  <c r="F102"/>
  <c r="E102"/>
  <c r="D102"/>
  <c r="H16"/>
  <c r="G16"/>
  <c r="F16"/>
  <c r="E16"/>
  <c r="D16"/>
  <c r="H15"/>
  <c r="G15"/>
  <c r="F15"/>
  <c r="E15"/>
  <c r="D15"/>
  <c r="H14"/>
  <c r="G14"/>
  <c r="F14"/>
  <c r="E14"/>
  <c r="D14"/>
  <c r="H101"/>
  <c r="G101"/>
  <c r="F101"/>
  <c r="E101"/>
  <c r="D101"/>
  <c r="H13"/>
  <c r="G13"/>
  <c r="F13"/>
  <c r="E13"/>
  <c r="D13"/>
  <c r="H12"/>
  <c r="G12"/>
  <c r="F12"/>
  <c r="E12"/>
  <c r="D12"/>
  <c r="H11"/>
  <c r="G11"/>
  <c r="F11"/>
  <c r="E11"/>
  <c r="D11"/>
  <c r="H10"/>
  <c r="G10"/>
  <c r="F10"/>
  <c r="E10"/>
  <c r="D10"/>
  <c r="H9"/>
  <c r="G9"/>
  <c r="F9"/>
  <c r="E9"/>
  <c r="D9"/>
  <c r="H8"/>
  <c r="G8"/>
  <c r="F8"/>
  <c r="E8"/>
  <c r="D8"/>
  <c r="H7"/>
  <c r="G7"/>
  <c r="F7"/>
  <c r="E7"/>
  <c r="D7"/>
  <c r="H100"/>
  <c r="G100"/>
  <c r="F100"/>
  <c r="E100"/>
  <c r="D100"/>
  <c r="H6"/>
  <c r="G6"/>
  <c r="F6"/>
  <c r="E6"/>
  <c r="D6"/>
  <c r="H5"/>
  <c r="G5"/>
  <c r="F5"/>
  <c r="E5"/>
  <c r="D5"/>
  <c r="G4"/>
  <c r="E4"/>
  <c r="F99" i="8"/>
  <c r="G98"/>
  <c r="F97"/>
  <c r="G124"/>
  <c r="F123"/>
  <c r="G96"/>
  <c r="F95"/>
  <c r="G94"/>
  <c r="F122"/>
  <c r="G93"/>
  <c r="F92"/>
  <c r="G91"/>
  <c r="F121"/>
  <c r="G90"/>
  <c r="F89"/>
  <c r="G88"/>
  <c r="F87"/>
  <c r="G86"/>
  <c r="F85"/>
  <c r="G84"/>
  <c r="F83"/>
  <c r="G82"/>
  <c r="F81"/>
  <c r="G120"/>
  <c r="F80"/>
  <c r="G119"/>
  <c r="F79"/>
  <c r="G118"/>
  <c r="F78"/>
  <c r="G77"/>
  <c r="F76"/>
  <c r="G75"/>
  <c r="F74"/>
  <c r="G117"/>
  <c r="F73"/>
  <c r="G116"/>
  <c r="F72"/>
  <c r="G71"/>
  <c r="F70"/>
  <c r="G69"/>
  <c r="F115"/>
  <c r="G68"/>
  <c r="F67"/>
  <c r="G114"/>
  <c r="F113"/>
  <c r="G66"/>
  <c r="F65"/>
  <c r="G64"/>
  <c r="F63"/>
  <c r="G62"/>
  <c r="F61"/>
  <c r="G112"/>
  <c r="F111"/>
  <c r="G60"/>
  <c r="F110"/>
  <c r="G59"/>
  <c r="F58"/>
  <c r="F57"/>
  <c r="G57"/>
  <c r="F56"/>
  <c r="F55"/>
  <c r="G55"/>
  <c r="F54"/>
  <c r="F53"/>
  <c r="G53"/>
  <c r="F52"/>
  <c r="F51"/>
  <c r="G51"/>
  <c r="F50"/>
  <c r="F109"/>
  <c r="G109"/>
  <c r="F49"/>
  <c r="F48"/>
  <c r="G48"/>
  <c r="F47"/>
  <c r="F46"/>
  <c r="G46"/>
  <c r="F108"/>
  <c r="F45"/>
  <c r="G45"/>
  <c r="F44"/>
  <c r="F43"/>
  <c r="G43"/>
  <c r="F42"/>
  <c r="F41"/>
  <c r="G41"/>
  <c r="F40"/>
  <c r="F39"/>
  <c r="G39"/>
  <c r="F107"/>
  <c r="F106"/>
  <c r="G106"/>
  <c r="F38"/>
  <c r="F37"/>
  <c r="G37"/>
  <c r="F105"/>
  <c r="F36"/>
  <c r="G36"/>
  <c r="F35"/>
  <c r="F34"/>
  <c r="G34"/>
  <c r="F33"/>
  <c r="F32"/>
  <c r="G32"/>
  <c r="F31"/>
  <c r="F30"/>
  <c r="G30"/>
  <c r="F104"/>
  <c r="F29"/>
  <c r="G29"/>
  <c r="F28"/>
  <c r="F27"/>
  <c r="G27"/>
  <c r="F26"/>
  <c r="F25"/>
  <c r="G25"/>
  <c r="F103"/>
  <c r="F102"/>
  <c r="G102"/>
  <c r="F24"/>
  <c r="F23"/>
  <c r="G23"/>
  <c r="F22"/>
  <c r="F21"/>
  <c r="G21"/>
  <c r="F20"/>
  <c r="F19"/>
  <c r="G19"/>
  <c r="F18"/>
  <c r="F17"/>
  <c r="G17"/>
  <c r="F101"/>
  <c r="F16"/>
  <c r="G16"/>
  <c r="F15"/>
  <c r="F14"/>
  <c r="G14"/>
  <c r="F13"/>
  <c r="F12"/>
  <c r="G12"/>
  <c r="F11"/>
  <c r="F10"/>
  <c r="G10"/>
  <c r="F9"/>
  <c r="F8"/>
  <c r="G8"/>
  <c r="F7"/>
  <c r="F100"/>
  <c r="G100"/>
  <c r="F6"/>
  <c r="F5"/>
  <c r="G5"/>
  <c r="G4"/>
  <c r="F4"/>
  <c r="I124" i="6"/>
  <c r="H124"/>
  <c r="I123"/>
  <c r="H123"/>
  <c r="I122"/>
  <c r="H122"/>
  <c r="I121"/>
  <c r="H121"/>
  <c r="I120"/>
  <c r="H120"/>
  <c r="I119"/>
  <c r="H119"/>
  <c r="I118"/>
  <c r="H118"/>
  <c r="I117"/>
  <c r="H117"/>
  <c r="I116"/>
  <c r="H116"/>
  <c r="I115"/>
  <c r="H115"/>
  <c r="I114"/>
  <c r="H114"/>
  <c r="I112"/>
  <c r="H112"/>
  <c r="I111"/>
  <c r="H111"/>
  <c r="I110"/>
  <c r="H110"/>
  <c r="I109"/>
  <c r="H109"/>
  <c r="I108"/>
  <c r="H108"/>
  <c r="I107"/>
  <c r="H107"/>
  <c r="I106"/>
  <c r="H106"/>
  <c r="I105"/>
  <c r="H105"/>
  <c r="I104"/>
  <c r="H104"/>
  <c r="I103"/>
  <c r="H103"/>
  <c r="I102"/>
  <c r="H102"/>
  <c r="I101"/>
  <c r="H101"/>
  <c r="I100"/>
  <c r="H100"/>
  <c r="I99"/>
  <c r="H99"/>
  <c r="I98"/>
  <c r="H98"/>
  <c r="I97"/>
  <c r="H97"/>
  <c r="I96"/>
  <c r="H96"/>
  <c r="I95"/>
  <c r="H95"/>
  <c r="I94"/>
  <c r="H94"/>
  <c r="I93"/>
  <c r="H93"/>
  <c r="I92"/>
  <c r="H92"/>
  <c r="I91"/>
  <c r="H91"/>
  <c r="I90"/>
  <c r="H90"/>
  <c r="I89"/>
  <c r="H89"/>
  <c r="I88"/>
  <c r="H88"/>
  <c r="I87"/>
  <c r="H87"/>
  <c r="I86"/>
  <c r="H86"/>
  <c r="I85"/>
  <c r="H85"/>
  <c r="I84"/>
  <c r="H84"/>
  <c r="I83"/>
  <c r="H83"/>
  <c r="I82"/>
  <c r="H82"/>
  <c r="I81"/>
  <c r="H81"/>
  <c r="I80"/>
  <c r="H80"/>
  <c r="I79"/>
  <c r="H79"/>
  <c r="I78"/>
  <c r="H78"/>
  <c r="I77"/>
  <c r="H77"/>
  <c r="I76"/>
  <c r="H76"/>
  <c r="I75"/>
  <c r="H75"/>
  <c r="I74"/>
  <c r="H74"/>
  <c r="I73"/>
  <c r="H73"/>
  <c r="I72"/>
  <c r="H72"/>
  <c r="I71"/>
  <c r="H71"/>
  <c r="I70"/>
  <c r="H70"/>
  <c r="I69"/>
  <c r="H69"/>
  <c r="I68"/>
  <c r="H68"/>
  <c r="I67"/>
  <c r="H67"/>
  <c r="I66"/>
  <c r="H66"/>
  <c r="I65"/>
  <c r="H65"/>
  <c r="I64"/>
  <c r="H64"/>
  <c r="I63"/>
  <c r="H63"/>
  <c r="I62"/>
  <c r="H62"/>
  <c r="I61"/>
  <c r="H61"/>
  <c r="I60"/>
  <c r="H60"/>
  <c r="I59"/>
  <c r="H59"/>
  <c r="I58"/>
  <c r="H58"/>
  <c r="I57"/>
  <c r="H57"/>
  <c r="I56"/>
  <c r="H56"/>
  <c r="I55"/>
  <c r="H55"/>
  <c r="I54"/>
  <c r="H54"/>
  <c r="I53"/>
  <c r="H53"/>
  <c r="I52"/>
  <c r="H52"/>
  <c r="I51"/>
  <c r="H51"/>
  <c r="I50"/>
  <c r="H50"/>
  <c r="I49"/>
  <c r="H49"/>
  <c r="I48"/>
  <c r="H48"/>
  <c r="I47"/>
  <c r="H47"/>
  <c r="I46"/>
  <c r="H46"/>
  <c r="I45"/>
  <c r="H45"/>
  <c r="I44"/>
  <c r="H44"/>
  <c r="I43"/>
  <c r="H43"/>
  <c r="I42"/>
  <c r="H42"/>
  <c r="I41"/>
  <c r="H41"/>
  <c r="I40"/>
  <c r="H40"/>
  <c r="I39"/>
  <c r="H39"/>
  <c r="I38"/>
  <c r="H38"/>
  <c r="I37"/>
  <c r="H37"/>
  <c r="I36"/>
  <c r="H36"/>
  <c r="I35"/>
  <c r="H35"/>
  <c r="I34"/>
  <c r="H34"/>
  <c r="I33"/>
  <c r="H33"/>
  <c r="I32"/>
  <c r="H32"/>
  <c r="I31"/>
  <c r="H31"/>
  <c r="I30"/>
  <c r="H30"/>
  <c r="I29"/>
  <c r="H29"/>
  <c r="I28"/>
  <c r="H28"/>
  <c r="I27"/>
  <c r="H27"/>
  <c r="I26"/>
  <c r="H26"/>
  <c r="I25"/>
  <c r="H25"/>
  <c r="I24"/>
  <c r="H24"/>
  <c r="I23"/>
  <c r="H23"/>
  <c r="I22"/>
  <c r="H22"/>
  <c r="I21"/>
  <c r="H21"/>
  <c r="I20"/>
  <c r="H20"/>
  <c r="I19"/>
  <c r="H19"/>
  <c r="I18"/>
  <c r="H18"/>
  <c r="I17"/>
  <c r="H17"/>
  <c r="I16"/>
  <c r="H16"/>
  <c r="I15"/>
  <c r="H15"/>
  <c r="I14"/>
  <c r="H14"/>
  <c r="I13"/>
  <c r="H13"/>
  <c r="I12"/>
  <c r="H12"/>
  <c r="I11"/>
  <c r="H11"/>
  <c r="I10"/>
  <c r="H10"/>
  <c r="I9"/>
  <c r="H9"/>
  <c r="I8"/>
  <c r="H8"/>
  <c r="I7"/>
  <c r="H7"/>
  <c r="I6"/>
  <c r="H6"/>
  <c r="I5"/>
  <c r="H5"/>
  <c r="I4"/>
  <c r="H4"/>
  <c r="D2" i="4"/>
  <c r="E2" s="1"/>
  <c r="G6" i="8"/>
  <c r="G7"/>
  <c r="G9"/>
  <c r="G11"/>
  <c r="G13"/>
  <c r="G15"/>
  <c r="G101"/>
  <c r="G18"/>
  <c r="G20"/>
  <c r="G22"/>
  <c r="G24"/>
  <c r="G103"/>
  <c r="G26"/>
  <c r="G28"/>
  <c r="G104"/>
  <c r="G31"/>
  <c r="G33"/>
  <c r="G35"/>
  <c r="G105"/>
  <c r="G38"/>
  <c r="G107"/>
  <c r="G40"/>
  <c r="G42"/>
  <c r="G44"/>
  <c r="G108"/>
  <c r="G47"/>
  <c r="G49"/>
  <c r="G50"/>
  <c r="G52"/>
  <c r="G54"/>
  <c r="G56"/>
  <c r="G58"/>
  <c r="F59"/>
  <c r="G110"/>
  <c r="F60"/>
  <c r="G111"/>
  <c r="F112"/>
  <c r="G61"/>
  <c r="F62"/>
  <c r="G63"/>
  <c r="F64"/>
  <c r="G65"/>
  <c r="F66"/>
  <c r="G113"/>
  <c r="F114"/>
  <c r="G67"/>
  <c r="F68"/>
  <c r="G115"/>
  <c r="F69"/>
  <c r="G70"/>
  <c r="F71"/>
  <c r="G72"/>
  <c r="F116"/>
  <c r="G73"/>
  <c r="F117"/>
  <c r="G74"/>
  <c r="F75"/>
  <c r="G76"/>
  <c r="F77"/>
  <c r="G78"/>
  <c r="F118"/>
  <c r="G79"/>
  <c r="F119"/>
  <c r="G80"/>
  <c r="F120"/>
  <c r="G81"/>
  <c r="F82"/>
  <c r="G83"/>
  <c r="F84"/>
  <c r="G85"/>
  <c r="F86"/>
  <c r="G87"/>
  <c r="F88"/>
  <c r="G89"/>
  <c r="F90"/>
  <c r="G121"/>
  <c r="F91"/>
  <c r="G92"/>
  <c r="F93"/>
  <c r="G122"/>
  <c r="F94"/>
  <c r="G95"/>
  <c r="F96"/>
  <c r="G123"/>
  <c r="F124"/>
  <c r="G97"/>
  <c r="F98"/>
  <c r="G99"/>
  <c r="K7" i="41"/>
  <c r="M7" s="1"/>
  <c r="F122" i="38"/>
  <c r="U4" i="39"/>
  <c r="E7"/>
  <c r="E8"/>
  <c r="E9"/>
  <c r="E14"/>
  <c r="E15"/>
  <c r="E16"/>
  <c r="E17"/>
  <c r="Q18"/>
  <c r="E22"/>
  <c r="E23"/>
  <c r="E24"/>
  <c r="E25"/>
  <c r="Q27"/>
  <c r="E30"/>
  <c r="E31"/>
  <c r="E32"/>
  <c r="E33"/>
  <c r="Q36"/>
  <c r="E38"/>
  <c r="Y41"/>
  <c r="Y42"/>
  <c r="M43"/>
  <c r="M44"/>
  <c r="M45"/>
  <c r="M46"/>
  <c r="M49"/>
  <c r="M51"/>
  <c r="M52"/>
  <c r="Y52"/>
  <c r="M53"/>
  <c r="Y54"/>
  <c r="M55"/>
  <c r="M56"/>
  <c r="Y56"/>
  <c r="M57"/>
  <c r="Y58"/>
  <c r="M59"/>
  <c r="M60"/>
  <c r="M61"/>
  <c r="Y61"/>
  <c r="M62"/>
  <c r="M64"/>
  <c r="Y64"/>
  <c r="M65"/>
  <c r="Y65"/>
  <c r="M66"/>
  <c r="Y66"/>
  <c r="M67"/>
  <c r="Y67"/>
  <c r="Y68"/>
  <c r="M69"/>
  <c r="E70"/>
  <c r="Y70"/>
  <c r="E71"/>
  <c r="M71"/>
  <c r="E72"/>
  <c r="M72"/>
  <c r="E73"/>
  <c r="M73"/>
  <c r="E74"/>
  <c r="M74"/>
  <c r="E75"/>
  <c r="Y113"/>
  <c r="E114"/>
  <c r="M114"/>
  <c r="E115"/>
  <c r="Y115"/>
  <c r="E116"/>
  <c r="M116"/>
  <c r="Y116"/>
  <c r="E117"/>
  <c r="Y117"/>
  <c r="E118"/>
  <c r="M118"/>
  <c r="Y118"/>
  <c r="E119"/>
  <c r="Y119"/>
  <c r="E120"/>
  <c r="M120"/>
  <c r="Y120"/>
  <c r="E121"/>
  <c r="M121"/>
  <c r="Y121"/>
  <c r="E122"/>
  <c r="M122"/>
  <c r="Y122"/>
  <c r="E123"/>
  <c r="Y123"/>
  <c r="U123" i="41"/>
  <c r="M123"/>
  <c r="E123"/>
  <c r="U122"/>
  <c r="M122"/>
  <c r="E122"/>
  <c r="U121"/>
  <c r="M121"/>
  <c r="E121"/>
  <c r="U120"/>
  <c r="M120"/>
  <c r="E120"/>
  <c r="U119"/>
  <c r="M119"/>
  <c r="E119"/>
  <c r="U118"/>
  <c r="M118"/>
  <c r="E118"/>
  <c r="U117"/>
  <c r="M117"/>
  <c r="E117"/>
  <c r="U116"/>
  <c r="M116"/>
  <c r="E116"/>
  <c r="U115"/>
  <c r="M115"/>
  <c r="E115"/>
  <c r="U114"/>
  <c r="M114"/>
  <c r="E114"/>
  <c r="U113"/>
  <c r="M113"/>
  <c r="E113"/>
  <c r="U112"/>
  <c r="M112"/>
  <c r="E112"/>
  <c r="U111"/>
  <c r="M111"/>
  <c r="E111"/>
  <c r="U110"/>
  <c r="M110"/>
  <c r="E110"/>
  <c r="U109"/>
  <c r="M109"/>
  <c r="E109"/>
  <c r="U108"/>
  <c r="M108"/>
  <c r="E108"/>
  <c r="U107"/>
  <c r="M107"/>
  <c r="E107"/>
  <c r="U106"/>
  <c r="M106"/>
  <c r="E106"/>
  <c r="U105"/>
  <c r="M105"/>
  <c r="E105"/>
  <c r="U104"/>
  <c r="M104"/>
  <c r="E104"/>
  <c r="U103"/>
  <c r="M103"/>
  <c r="E103"/>
  <c r="U102"/>
  <c r="M102"/>
  <c r="E102"/>
  <c r="U101"/>
  <c r="M101"/>
  <c r="E101"/>
  <c r="U100"/>
  <c r="M100"/>
  <c r="E100"/>
  <c r="U99"/>
  <c r="M99"/>
  <c r="E99"/>
  <c r="U98"/>
  <c r="M98"/>
  <c r="E98"/>
  <c r="U97"/>
  <c r="M97"/>
  <c r="E97"/>
  <c r="U96"/>
  <c r="M96"/>
  <c r="E96"/>
  <c r="U95"/>
  <c r="M95"/>
  <c r="E95"/>
  <c r="U94"/>
  <c r="M94"/>
  <c r="E94"/>
  <c r="U93"/>
  <c r="M93"/>
  <c r="E93"/>
  <c r="U92"/>
  <c r="M92"/>
  <c r="E92"/>
  <c r="U91"/>
  <c r="M91"/>
  <c r="E91"/>
  <c r="U90"/>
  <c r="M90"/>
  <c r="E90"/>
  <c r="U89"/>
  <c r="M89"/>
  <c r="E89"/>
  <c r="U88"/>
  <c r="M88"/>
  <c r="E88"/>
  <c r="U87"/>
  <c r="M87"/>
  <c r="E87"/>
  <c r="U86"/>
  <c r="M86"/>
  <c r="E86"/>
  <c r="U85"/>
  <c r="M85"/>
  <c r="E85"/>
  <c r="U84"/>
  <c r="M84"/>
  <c r="E84"/>
  <c r="U83"/>
  <c r="M83"/>
  <c r="E83"/>
  <c r="U82"/>
  <c r="M82"/>
  <c r="E82"/>
  <c r="Y123"/>
  <c r="Q123"/>
  <c r="I123"/>
  <c r="Y122"/>
  <c r="Q122"/>
  <c r="I122"/>
  <c r="Y121"/>
  <c r="Q121"/>
  <c r="I121"/>
  <c r="Y120"/>
  <c r="Q120"/>
  <c r="I120"/>
  <c r="Y119"/>
  <c r="Q119"/>
  <c r="I119"/>
  <c r="Y118"/>
  <c r="Q118"/>
  <c r="I118"/>
  <c r="Y117"/>
  <c r="Q117"/>
  <c r="I117"/>
  <c r="Y116"/>
  <c r="Q116"/>
  <c r="I116"/>
  <c r="Y115"/>
  <c r="Q115"/>
  <c r="I115"/>
  <c r="Y114"/>
  <c r="Q114"/>
  <c r="I114"/>
  <c r="Y113"/>
  <c r="Q113"/>
  <c r="I113"/>
  <c r="Y112"/>
  <c r="Q112"/>
  <c r="I112"/>
  <c r="Y111"/>
  <c r="Q111"/>
  <c r="I111"/>
  <c r="Y110"/>
  <c r="Q110"/>
  <c r="I110"/>
  <c r="Y109"/>
  <c r="Q109"/>
  <c r="I109"/>
  <c r="Y108"/>
  <c r="Q108"/>
  <c r="I108"/>
  <c r="Y107"/>
  <c r="Q107"/>
  <c r="I107"/>
  <c r="Y106"/>
  <c r="Q106"/>
  <c r="I106"/>
  <c r="Y105"/>
  <c r="Q105"/>
  <c r="I105"/>
  <c r="Y104"/>
  <c r="Q104"/>
  <c r="I104"/>
  <c r="Y103"/>
  <c r="Q103"/>
  <c r="I103"/>
  <c r="Y102"/>
  <c r="Q102"/>
  <c r="I102"/>
  <c r="Y101"/>
  <c r="Q101"/>
  <c r="I101"/>
  <c r="Y100"/>
  <c r="Q100"/>
  <c r="I100"/>
  <c r="Y99"/>
  <c r="Q99"/>
  <c r="I99"/>
  <c r="Y98"/>
  <c r="Q98"/>
  <c r="I98"/>
  <c r="Y97"/>
  <c r="Q97"/>
  <c r="I97"/>
  <c r="Y96"/>
  <c r="Q96"/>
  <c r="I96"/>
  <c r="Y95"/>
  <c r="Q95"/>
  <c r="I95"/>
  <c r="Y94"/>
  <c r="Q94"/>
  <c r="I94"/>
  <c r="Y93"/>
  <c r="Q93"/>
  <c r="I93"/>
  <c r="Y92"/>
  <c r="Q92"/>
  <c r="I92"/>
  <c r="Y91"/>
  <c r="Q91"/>
  <c r="I91"/>
  <c r="Y90"/>
  <c r="Q90"/>
  <c r="I90"/>
  <c r="Y89"/>
  <c r="Q89"/>
  <c r="I89"/>
  <c r="Y88"/>
  <c r="Q88"/>
  <c r="I88"/>
  <c r="Y87"/>
  <c r="Q87"/>
  <c r="I87"/>
  <c r="Y86"/>
  <c r="Q86"/>
  <c r="I86"/>
  <c r="Y85"/>
  <c r="Q85"/>
  <c r="I85"/>
  <c r="Y84"/>
  <c r="Q84"/>
  <c r="I84"/>
  <c r="Y83"/>
  <c r="Q83"/>
  <c r="I83"/>
  <c r="Y82"/>
  <c r="Q82"/>
  <c r="I82"/>
  <c r="Y81"/>
  <c r="U81"/>
  <c r="M81"/>
  <c r="E81"/>
  <c r="U80"/>
  <c r="M80"/>
  <c r="E80"/>
  <c r="U79"/>
  <c r="M79"/>
  <c r="E79"/>
  <c r="U78"/>
  <c r="M78"/>
  <c r="E78"/>
  <c r="U77"/>
  <c r="M77"/>
  <c r="E77"/>
  <c r="U76"/>
  <c r="M76"/>
  <c r="E76"/>
  <c r="U75"/>
  <c r="M75"/>
  <c r="E75"/>
  <c r="U74"/>
  <c r="M74"/>
  <c r="E74"/>
  <c r="U73"/>
  <c r="M73"/>
  <c r="E73"/>
  <c r="U72"/>
  <c r="M72"/>
  <c r="E72"/>
  <c r="U71"/>
  <c r="M71"/>
  <c r="E71"/>
  <c r="U70"/>
  <c r="M70"/>
  <c r="E70"/>
  <c r="U69"/>
  <c r="M69"/>
  <c r="E69"/>
  <c r="U68"/>
  <c r="M68"/>
  <c r="E68"/>
  <c r="U67"/>
  <c r="M67"/>
  <c r="E67"/>
  <c r="U66"/>
  <c r="M66"/>
  <c r="E66"/>
  <c r="U65"/>
  <c r="M65"/>
  <c r="E65"/>
  <c r="U64"/>
  <c r="M64"/>
  <c r="E64"/>
  <c r="U63"/>
  <c r="M63"/>
  <c r="E63"/>
  <c r="U62"/>
  <c r="M62"/>
  <c r="E62"/>
  <c r="U61"/>
  <c r="M61"/>
  <c r="E61"/>
  <c r="U60"/>
  <c r="M60"/>
  <c r="E60"/>
  <c r="U59"/>
  <c r="M59"/>
  <c r="E59"/>
  <c r="U58"/>
  <c r="M58"/>
  <c r="E58"/>
  <c r="U57"/>
  <c r="M57"/>
  <c r="E57"/>
  <c r="U56"/>
  <c r="M56"/>
  <c r="E56"/>
  <c r="U55"/>
  <c r="M55"/>
  <c r="E55"/>
  <c r="U54"/>
  <c r="M54"/>
  <c r="E54"/>
  <c r="U53"/>
  <c r="M53"/>
  <c r="E53"/>
  <c r="U52"/>
  <c r="M52"/>
  <c r="E52"/>
  <c r="U51"/>
  <c r="M51"/>
  <c r="E51"/>
  <c r="U50"/>
  <c r="M50"/>
  <c r="E50"/>
  <c r="U49"/>
  <c r="M49"/>
  <c r="E49"/>
  <c r="U48"/>
  <c r="M48"/>
  <c r="E48"/>
  <c r="U47"/>
  <c r="M47"/>
  <c r="E47"/>
  <c r="U46"/>
  <c r="M46"/>
  <c r="E46"/>
  <c r="U45"/>
  <c r="M45"/>
  <c r="E45"/>
  <c r="U44"/>
  <c r="M44"/>
  <c r="E44"/>
  <c r="U43"/>
  <c r="M43"/>
  <c r="E43"/>
  <c r="U42"/>
  <c r="M42"/>
  <c r="E42"/>
  <c r="U41"/>
  <c r="M41"/>
  <c r="E41"/>
  <c r="U40"/>
  <c r="M40"/>
  <c r="E40"/>
  <c r="U39"/>
  <c r="M39"/>
  <c r="Q81"/>
  <c r="I81"/>
  <c r="Y80"/>
  <c r="Q80"/>
  <c r="I80"/>
  <c r="Y79"/>
  <c r="Q79"/>
  <c r="I79"/>
  <c r="Y78"/>
  <c r="Q78"/>
  <c r="I78"/>
  <c r="Y77"/>
  <c r="Q77"/>
  <c r="I77"/>
  <c r="Y76"/>
  <c r="Q76"/>
  <c r="I76"/>
  <c r="Y75"/>
  <c r="Q75"/>
  <c r="I75"/>
  <c r="Y74"/>
  <c r="Q74"/>
  <c r="I74"/>
  <c r="Y73"/>
  <c r="Q73"/>
  <c r="I73"/>
  <c r="Y72"/>
  <c r="Q72"/>
  <c r="I72"/>
  <c r="Y71"/>
  <c r="Q71"/>
  <c r="I71"/>
  <c r="Y70"/>
  <c r="Q70"/>
  <c r="I70"/>
  <c r="Y69"/>
  <c r="Q69"/>
  <c r="I69"/>
  <c r="Y68"/>
  <c r="Q68"/>
  <c r="I68"/>
  <c r="Y67"/>
  <c r="Q67"/>
  <c r="I67"/>
  <c r="Y66"/>
  <c r="Q66"/>
  <c r="I66"/>
  <c r="Y65"/>
  <c r="Q65"/>
  <c r="I65"/>
  <c r="Y64"/>
  <c r="Q64"/>
  <c r="I64"/>
  <c r="Y63"/>
  <c r="Q63"/>
  <c r="I63"/>
  <c r="Y62"/>
  <c r="Q62"/>
  <c r="I62"/>
  <c r="Y61"/>
  <c r="Q61"/>
  <c r="I61"/>
  <c r="Y60"/>
  <c r="Q60"/>
  <c r="I60"/>
  <c r="Y59"/>
  <c r="Q59"/>
  <c r="I59"/>
  <c r="Y58"/>
  <c r="Q58"/>
  <c r="I58"/>
  <c r="Y57"/>
  <c r="Q57"/>
  <c r="I57"/>
  <c r="Y56"/>
  <c r="Q56"/>
  <c r="I56"/>
  <c r="Y55"/>
  <c r="Q55"/>
  <c r="I55"/>
  <c r="Y54"/>
  <c r="Q54"/>
  <c r="I54"/>
  <c r="Y53"/>
  <c r="Q53"/>
  <c r="I53"/>
  <c r="Y52"/>
  <c r="Q52"/>
  <c r="I52"/>
  <c r="Y51"/>
  <c r="Q51"/>
  <c r="I51"/>
  <c r="Y50"/>
  <c r="Q50"/>
  <c r="I50"/>
  <c r="Y49"/>
  <c r="Q49"/>
  <c r="I49"/>
  <c r="Y48"/>
  <c r="Q48"/>
  <c r="I48"/>
  <c r="Y47"/>
  <c r="Q47"/>
  <c r="I47"/>
  <c r="Y46"/>
  <c r="Q46"/>
  <c r="I46"/>
  <c r="Y45"/>
  <c r="Q45"/>
  <c r="I45"/>
  <c r="Y44"/>
  <c r="Q44"/>
  <c r="I44"/>
  <c r="Y43"/>
  <c r="Q43"/>
  <c r="I43"/>
  <c r="Y42"/>
  <c r="Q42"/>
  <c r="I42"/>
  <c r="Y41"/>
  <c r="Q41"/>
  <c r="I41"/>
  <c r="Y40"/>
  <c r="Q40"/>
  <c r="I40"/>
  <c r="Y39"/>
  <c r="Q39"/>
  <c r="E39"/>
  <c r="U38"/>
  <c r="M38"/>
  <c r="E38"/>
  <c r="U37"/>
  <c r="M37"/>
  <c r="E37"/>
  <c r="U36"/>
  <c r="M36"/>
  <c r="E36"/>
  <c r="U35"/>
  <c r="M35"/>
  <c r="E35"/>
  <c r="U34"/>
  <c r="M34"/>
  <c r="E34"/>
  <c r="U33"/>
  <c r="M33"/>
  <c r="E33"/>
  <c r="U32"/>
  <c r="M32"/>
  <c r="E32"/>
  <c r="U31"/>
  <c r="M31"/>
  <c r="E31"/>
  <c r="U30"/>
  <c r="M30"/>
  <c r="E30"/>
  <c r="U29"/>
  <c r="M29"/>
  <c r="E29"/>
  <c r="U28"/>
  <c r="M28"/>
  <c r="E28"/>
  <c r="U27"/>
  <c r="M27"/>
  <c r="E27"/>
  <c r="U26"/>
  <c r="M26"/>
  <c r="E26"/>
  <c r="U25"/>
  <c r="M25"/>
  <c r="E25"/>
  <c r="U24"/>
  <c r="M24"/>
  <c r="E24"/>
  <c r="U23"/>
  <c r="M23"/>
  <c r="E23"/>
  <c r="U22"/>
  <c r="M22"/>
  <c r="E22"/>
  <c r="U21"/>
  <c r="M21"/>
  <c r="E21"/>
  <c r="U20"/>
  <c r="M20"/>
  <c r="E20"/>
  <c r="U19"/>
  <c r="M19"/>
  <c r="E19"/>
  <c r="U18"/>
  <c r="M18"/>
  <c r="E18"/>
  <c r="U17"/>
  <c r="M17"/>
  <c r="E17"/>
  <c r="U16"/>
  <c r="M16"/>
  <c r="E16"/>
  <c r="U15"/>
  <c r="M15"/>
  <c r="E15"/>
  <c r="U14"/>
  <c r="M14"/>
  <c r="E14"/>
  <c r="U13"/>
  <c r="M13"/>
  <c r="E13"/>
  <c r="U12"/>
  <c r="M12"/>
  <c r="E12"/>
  <c r="U11"/>
  <c r="M11"/>
  <c r="E11"/>
  <c r="U10"/>
  <c r="M10"/>
  <c r="E10"/>
  <c r="U9"/>
  <c r="M9"/>
  <c r="E9"/>
  <c r="U8"/>
  <c r="M8"/>
  <c r="E8"/>
  <c r="U7"/>
  <c r="U6"/>
  <c r="M6"/>
  <c r="E6"/>
  <c r="U5"/>
  <c r="M5"/>
  <c r="E5"/>
  <c r="U4"/>
  <c r="M4"/>
  <c r="S7" i="40"/>
  <c r="U7" s="1"/>
  <c r="I39" i="41"/>
  <c r="Y38"/>
  <c r="Q38"/>
  <c r="I38"/>
  <c r="Y37"/>
  <c r="Q37"/>
  <c r="I37"/>
  <c r="Y36"/>
  <c r="Q36"/>
  <c r="I36"/>
  <c r="Y35"/>
  <c r="Q35"/>
  <c r="I35"/>
  <c r="Y34"/>
  <c r="Q34"/>
  <c r="I34"/>
  <c r="Y33"/>
  <c r="Q33"/>
  <c r="I33"/>
  <c r="Y32"/>
  <c r="Q32"/>
  <c r="I32"/>
  <c r="Y31"/>
  <c r="Q31"/>
  <c r="I31"/>
  <c r="Y30"/>
  <c r="Q30"/>
  <c r="I30"/>
  <c r="Y29"/>
  <c r="Q29"/>
  <c r="I29"/>
  <c r="Y28"/>
  <c r="Q28"/>
  <c r="I28"/>
  <c r="Y27"/>
  <c r="Q27"/>
  <c r="I27"/>
  <c r="Y26"/>
  <c r="Q26"/>
  <c r="I26"/>
  <c r="Y25"/>
  <c r="Q25"/>
  <c r="I25"/>
  <c r="Y24"/>
  <c r="Q24"/>
  <c r="I24"/>
  <c r="Y23"/>
  <c r="Q23"/>
  <c r="I23"/>
  <c r="Y22"/>
  <c r="Q22"/>
  <c r="I22"/>
  <c r="Y21"/>
  <c r="Q21"/>
  <c r="I21"/>
  <c r="Y20"/>
  <c r="Q20"/>
  <c r="I20"/>
  <c r="Y19"/>
  <c r="Q19"/>
  <c r="I19"/>
  <c r="Y18"/>
  <c r="Q18"/>
  <c r="I18"/>
  <c r="Y17"/>
  <c r="Q17"/>
  <c r="I17"/>
  <c r="Y16"/>
  <c r="Q16"/>
  <c r="I16"/>
  <c r="Y15"/>
  <c r="Q15"/>
  <c r="I15"/>
  <c r="Y14"/>
  <c r="Q14"/>
  <c r="I14"/>
  <c r="Y13"/>
  <c r="Q13"/>
  <c r="I13"/>
  <c r="Y12"/>
  <c r="Q12"/>
  <c r="I12"/>
  <c r="Y11"/>
  <c r="Q11"/>
  <c r="I11"/>
  <c r="Y10"/>
  <c r="Q10"/>
  <c r="I10"/>
  <c r="Y9"/>
  <c r="Q9"/>
  <c r="I9"/>
  <c r="Y8"/>
  <c r="Q8"/>
  <c r="I8"/>
  <c r="Y7"/>
  <c r="Q7"/>
  <c r="Y6"/>
  <c r="Q6"/>
  <c r="I6"/>
  <c r="Y5"/>
  <c r="Q5"/>
  <c r="I5"/>
  <c r="Y4"/>
  <c r="Q4"/>
  <c r="I4"/>
  <c r="O7" i="40"/>
  <c r="Q7" s="1"/>
  <c r="K7"/>
  <c r="M7" s="1"/>
  <c r="U70" i="39"/>
  <c r="U71"/>
  <c r="U72"/>
  <c r="U73"/>
  <c r="U74"/>
  <c r="U75"/>
  <c r="U76"/>
  <c r="U77"/>
  <c r="U78"/>
  <c r="U79"/>
  <c r="U80"/>
  <c r="U81"/>
  <c r="U82"/>
  <c r="U83"/>
  <c r="U84"/>
  <c r="U85"/>
  <c r="U86"/>
  <c r="U87"/>
  <c r="U88"/>
  <c r="U89"/>
  <c r="U90"/>
  <c r="U91"/>
  <c r="U92"/>
  <c r="U93"/>
  <c r="U94"/>
  <c r="U95"/>
  <c r="U96"/>
  <c r="U97"/>
  <c r="U98"/>
  <c r="U99"/>
  <c r="U100"/>
  <c r="U101"/>
  <c r="U102"/>
  <c r="U103"/>
  <c r="U104"/>
  <c r="U105"/>
  <c r="U106"/>
  <c r="U107"/>
  <c r="U108"/>
  <c r="U109"/>
  <c r="U110"/>
  <c r="U111"/>
  <c r="U112"/>
  <c r="U113"/>
  <c r="U114"/>
  <c r="U115"/>
  <c r="U116"/>
  <c r="U117"/>
  <c r="U118"/>
  <c r="U119"/>
  <c r="U120"/>
  <c r="U121"/>
  <c r="U122"/>
  <c r="U123"/>
  <c r="I6"/>
  <c r="U9"/>
  <c r="I13"/>
  <c r="U17"/>
  <c r="I19"/>
  <c r="U25"/>
  <c r="I32"/>
  <c r="U33"/>
  <c r="U36"/>
  <c r="U37"/>
  <c r="U38"/>
  <c r="U39"/>
  <c r="I40"/>
  <c r="U40"/>
  <c r="U41"/>
  <c r="I42"/>
  <c r="U42"/>
  <c r="U43"/>
  <c r="I44"/>
  <c r="U44"/>
  <c r="U45"/>
  <c r="I46"/>
  <c r="U46"/>
  <c r="U47"/>
  <c r="I48"/>
  <c r="U48"/>
  <c r="U49"/>
  <c r="I50"/>
  <c r="U50"/>
  <c r="U51"/>
  <c r="I52"/>
  <c r="U52"/>
  <c r="U53"/>
  <c r="I54"/>
  <c r="U54"/>
  <c r="U55"/>
  <c r="I56"/>
  <c r="U56"/>
  <c r="U57"/>
  <c r="I58"/>
  <c r="U58"/>
  <c r="U59"/>
  <c r="I60"/>
  <c r="U60"/>
  <c r="U61"/>
  <c r="I62"/>
  <c r="U62"/>
  <c r="U63"/>
  <c r="I64"/>
  <c r="U64"/>
  <c r="U65"/>
  <c r="I66"/>
  <c r="U66"/>
  <c r="U67"/>
  <c r="I68"/>
  <c r="U68"/>
  <c r="U69"/>
  <c r="I70"/>
  <c r="E76"/>
  <c r="M76"/>
  <c r="Q76"/>
  <c r="Y76"/>
  <c r="E77"/>
  <c r="M77"/>
  <c r="Q77"/>
  <c r="E78"/>
  <c r="M78"/>
  <c r="Q78"/>
  <c r="Y78"/>
  <c r="E79"/>
  <c r="M79"/>
  <c r="Q79"/>
  <c r="E80"/>
  <c r="M80"/>
  <c r="Q80"/>
  <c r="Y80"/>
  <c r="E81"/>
  <c r="M81"/>
  <c r="Q81"/>
  <c r="E82"/>
  <c r="M82"/>
  <c r="Q82"/>
  <c r="E83"/>
  <c r="Q83"/>
  <c r="E84"/>
  <c r="M84"/>
  <c r="Q84"/>
  <c r="Y84"/>
  <c r="E85"/>
  <c r="M85"/>
  <c r="Q85"/>
  <c r="E86"/>
  <c r="M86"/>
  <c r="Q86"/>
  <c r="E87"/>
  <c r="Q87"/>
  <c r="E88"/>
  <c r="M88"/>
  <c r="Q88"/>
  <c r="Y88"/>
  <c r="E89"/>
  <c r="M89"/>
  <c r="Q89"/>
  <c r="E90"/>
  <c r="Q90"/>
  <c r="Y90"/>
  <c r="E91"/>
  <c r="M91"/>
  <c r="Q91"/>
  <c r="E92"/>
  <c r="M92"/>
  <c r="Q92"/>
  <c r="Y92"/>
  <c r="E93"/>
  <c r="Q93"/>
  <c r="E94"/>
  <c r="M94"/>
  <c r="Q94"/>
  <c r="Y94"/>
  <c r="E95"/>
  <c r="M95"/>
  <c r="Q95"/>
  <c r="E96"/>
  <c r="M96"/>
  <c r="Q96"/>
  <c r="Y96"/>
  <c r="E97"/>
  <c r="M97"/>
  <c r="Q97"/>
  <c r="E98"/>
  <c r="M98"/>
  <c r="Q98"/>
  <c r="E99"/>
  <c r="M99"/>
  <c r="Q99"/>
  <c r="E100"/>
  <c r="M100"/>
  <c r="Q100"/>
  <c r="E101"/>
  <c r="M101"/>
  <c r="Y101"/>
  <c r="E102"/>
  <c r="M102"/>
  <c r="Y102"/>
  <c r="E103"/>
  <c r="M103"/>
  <c r="E104"/>
  <c r="M104"/>
  <c r="E105"/>
  <c r="M105"/>
  <c r="E106"/>
  <c r="M106"/>
  <c r="E107"/>
  <c r="M107"/>
  <c r="Q107"/>
  <c r="E108"/>
  <c r="M108"/>
  <c r="Y108"/>
  <c r="E109"/>
  <c r="M109"/>
  <c r="E110"/>
  <c r="M110"/>
  <c r="E111"/>
  <c r="E112"/>
  <c r="M112"/>
  <c r="E113"/>
  <c r="E39"/>
  <c r="E4" i="41"/>
  <c r="D123" i="46"/>
  <c r="F123"/>
  <c r="Y4" i="39"/>
  <c r="M15"/>
  <c r="M19"/>
  <c r="M23"/>
  <c r="M27"/>
  <c r="M31"/>
  <c r="Q43"/>
  <c r="Q51"/>
  <c r="Q59"/>
  <c r="Q67"/>
  <c r="M8"/>
  <c r="Y8"/>
  <c r="M12"/>
  <c r="M16"/>
  <c r="Y16"/>
  <c r="M20"/>
  <c r="Y20"/>
  <c r="Y24"/>
  <c r="M28"/>
  <c r="Y28"/>
  <c r="M32"/>
  <c r="Y32"/>
  <c r="M36"/>
  <c r="M38"/>
  <c r="E41"/>
  <c r="E44"/>
  <c r="Q46"/>
  <c r="E49"/>
  <c r="E52"/>
  <c r="E57"/>
  <c r="E60"/>
  <c r="E65"/>
  <c r="E68"/>
  <c r="I5" i="31"/>
  <c r="I7"/>
  <c r="I9"/>
  <c r="I11"/>
  <c r="I13"/>
  <c r="I15"/>
  <c r="I17"/>
  <c r="I19"/>
  <c r="I21"/>
  <c r="I23"/>
  <c r="I25"/>
  <c r="I27"/>
  <c r="I29"/>
  <c r="I31"/>
  <c r="I33"/>
  <c r="I35"/>
  <c r="I37"/>
  <c r="I39"/>
  <c r="I41"/>
  <c r="I43"/>
  <c r="I45"/>
  <c r="I47"/>
  <c r="I49"/>
  <c r="I51"/>
  <c r="I53"/>
  <c r="I55"/>
  <c r="I57"/>
  <c r="I59"/>
  <c r="I61"/>
  <c r="I63"/>
  <c r="I65"/>
  <c r="I67"/>
  <c r="I69"/>
  <c r="I71"/>
  <c r="I73"/>
  <c r="I75"/>
  <c r="I77"/>
  <c r="I79"/>
  <c r="I81"/>
  <c r="I83"/>
  <c r="I85"/>
  <c r="I87"/>
  <c r="I89"/>
  <c r="I91"/>
  <c r="I93"/>
  <c r="I95"/>
  <c r="I97"/>
  <c r="I99"/>
  <c r="I101"/>
  <c r="I103"/>
  <c r="I105"/>
  <c r="I107"/>
  <c r="I109"/>
  <c r="I111"/>
  <c r="I113"/>
  <c r="I115"/>
  <c r="I117"/>
  <c r="I119"/>
  <c r="I121"/>
  <c r="I123"/>
  <c r="I4"/>
  <c r="I6"/>
  <c r="I8"/>
  <c r="I10"/>
  <c r="I12"/>
  <c r="I14"/>
  <c r="I16"/>
  <c r="I18"/>
  <c r="I20"/>
  <c r="I22"/>
  <c r="I24"/>
  <c r="I26"/>
  <c r="I28"/>
  <c r="I30"/>
  <c r="I32"/>
  <c r="I34"/>
  <c r="I36"/>
  <c r="I38"/>
  <c r="I40"/>
  <c r="I42"/>
  <c r="I44"/>
  <c r="I46"/>
  <c r="I48"/>
  <c r="I50"/>
  <c r="I52"/>
  <c r="I54"/>
  <c r="I56"/>
  <c r="I58"/>
  <c r="I60"/>
  <c r="I62"/>
  <c r="I64"/>
  <c r="I66"/>
  <c r="I68"/>
  <c r="I70"/>
  <c r="I72"/>
  <c r="I74"/>
  <c r="I76"/>
  <c r="I78"/>
  <c r="I80"/>
  <c r="I82"/>
  <c r="I84"/>
  <c r="I86"/>
  <c r="I88"/>
  <c r="I90"/>
  <c r="I92"/>
  <c r="I94"/>
  <c r="I96"/>
  <c r="I98"/>
  <c r="I100"/>
  <c r="I102"/>
  <c r="I104"/>
  <c r="I106"/>
  <c r="I108"/>
  <c r="I110"/>
  <c r="I112"/>
  <c r="I114"/>
  <c r="I116"/>
  <c r="I118"/>
  <c r="I120"/>
  <c r="I122"/>
  <c r="M6" i="39"/>
  <c r="Y6"/>
  <c r="Y7"/>
  <c r="U10"/>
  <c r="U11"/>
  <c r="U12"/>
  <c r="M14"/>
  <c r="Y14"/>
  <c r="Y15"/>
  <c r="U18"/>
  <c r="U19"/>
  <c r="U20"/>
  <c r="M22"/>
  <c r="Y22"/>
  <c r="Y23"/>
  <c r="U26"/>
  <c r="U27"/>
  <c r="U28"/>
  <c r="M30"/>
  <c r="Y30"/>
  <c r="Y31"/>
  <c r="U34"/>
  <c r="U35"/>
  <c r="Q40"/>
  <c r="Q44"/>
  <c r="E48"/>
  <c r="E51"/>
  <c r="E55"/>
  <c r="Q58"/>
  <c r="E62"/>
  <c r="E66"/>
  <c r="E69"/>
  <c r="W7" i="40"/>
  <c r="Y7" s="1"/>
  <c r="C7"/>
  <c r="E7" s="1"/>
  <c r="G7"/>
  <c r="I7" s="1"/>
  <c r="C124" i="39"/>
  <c r="C125"/>
  <c r="Q7"/>
  <c r="Q23"/>
  <c r="M4"/>
  <c r="U6"/>
  <c r="Y11"/>
  <c r="U14"/>
  <c r="Y19"/>
  <c r="U22"/>
  <c r="Y27"/>
  <c r="U30"/>
  <c r="Y35"/>
  <c r="M39"/>
  <c r="E43"/>
  <c r="Q48"/>
  <c r="E53"/>
  <c r="E58"/>
  <c r="E63"/>
  <c r="E67"/>
  <c r="E44" i="54"/>
  <c r="E45"/>
  <c r="E46"/>
  <c r="E48"/>
  <c r="E50"/>
  <c r="E52"/>
  <c r="E53"/>
  <c r="E82"/>
  <c r="E84"/>
  <c r="E85"/>
  <c r="E7"/>
  <c r="E8"/>
  <c r="E9"/>
  <c r="E34"/>
  <c r="E36"/>
  <c r="E37"/>
  <c r="E72"/>
  <c r="E73"/>
  <c r="E104"/>
  <c r="E105"/>
  <c r="E106"/>
  <c r="E108"/>
  <c r="E109"/>
  <c r="E11"/>
  <c r="E16"/>
  <c r="E17"/>
  <c r="E24"/>
  <c r="E25"/>
  <c r="E32"/>
  <c r="E33"/>
  <c r="E41"/>
  <c r="E49"/>
  <c r="E56"/>
  <c r="E57"/>
  <c r="E66"/>
  <c r="E68"/>
  <c r="E69"/>
  <c r="E76"/>
  <c r="E77"/>
  <c r="E78"/>
  <c r="E80"/>
  <c r="E81"/>
  <c r="E88"/>
  <c r="E89"/>
  <c r="E112"/>
  <c r="E113"/>
  <c r="E19"/>
  <c r="E23"/>
  <c r="E27"/>
  <c r="E31"/>
  <c r="E35"/>
  <c r="E39"/>
  <c r="E43"/>
  <c r="E47"/>
  <c r="E51"/>
  <c r="E55"/>
  <c r="E63"/>
  <c r="E67"/>
  <c r="E71"/>
  <c r="E75"/>
  <c r="E79"/>
  <c r="E83"/>
  <c r="E87"/>
  <c r="E107"/>
  <c r="E111"/>
  <c r="E115"/>
  <c r="E65"/>
  <c r="E93"/>
  <c r="D5" i="56"/>
  <c r="I6" i="79"/>
  <c r="E9" i="56"/>
  <c r="J10" i="79"/>
  <c r="E13" i="56"/>
  <c r="J14" i="79"/>
  <c r="E17" i="56"/>
  <c r="J18" i="79"/>
  <c r="E21" i="56"/>
  <c r="J22" i="79"/>
  <c r="E25" i="56"/>
  <c r="J26" i="79"/>
  <c r="E29" i="56"/>
  <c r="J30" i="79"/>
  <c r="E33" i="56"/>
  <c r="J34" i="79"/>
  <c r="E37" i="56"/>
  <c r="J38" i="79"/>
  <c r="E41" i="56"/>
  <c r="J42" i="79"/>
  <c r="E45" i="56"/>
  <c r="J46" i="79"/>
  <c r="E49" i="56"/>
  <c r="J50" i="79"/>
  <c r="E53" i="56"/>
  <c r="J54" i="79"/>
  <c r="E57" i="56"/>
  <c r="J58" i="79"/>
  <c r="E61" i="56"/>
  <c r="J62" i="79"/>
  <c r="E65" i="56"/>
  <c r="J66" i="79"/>
  <c r="E69" i="56"/>
  <c r="J70" i="79"/>
  <c r="E73" i="56"/>
  <c r="J74" i="79"/>
  <c r="E77" i="56"/>
  <c r="J78" i="79"/>
  <c r="E81" i="56"/>
  <c r="J82" i="79"/>
  <c r="E85" i="56"/>
  <c r="J86" i="79"/>
  <c r="E89" i="56"/>
  <c r="J90" i="79"/>
  <c r="E93" i="56"/>
  <c r="J94" i="79"/>
  <c r="E97" i="56"/>
  <c r="J98" i="79"/>
  <c r="E98" i="56"/>
  <c r="J99" i="79"/>
  <c r="E102" i="56"/>
  <c r="J103" i="79"/>
  <c r="E103" i="56"/>
  <c r="J104" i="79"/>
  <c r="E104" i="56"/>
  <c r="J105" i="79"/>
  <c r="E105" i="56"/>
  <c r="J106" i="79"/>
  <c r="E106" i="56"/>
  <c r="J107" i="79"/>
  <c r="E107" i="56"/>
  <c r="J108" i="79"/>
  <c r="E108" i="56"/>
  <c r="J109" i="79"/>
  <c r="E109" i="56"/>
  <c r="J110" i="79"/>
  <c r="E110" i="56"/>
  <c r="J111" i="79"/>
  <c r="E111" i="56"/>
  <c r="J112" i="79"/>
  <c r="W112" s="1"/>
  <c r="E112" i="56"/>
  <c r="J113" i="79" s="1"/>
  <c r="E113" i="56"/>
  <c r="J114" i="79"/>
  <c r="E114" i="56"/>
  <c r="J115" i="79" s="1"/>
  <c r="E115" i="56"/>
  <c r="J116" i="79"/>
  <c r="E116" i="56"/>
  <c r="J117" i="79" s="1"/>
  <c r="E117" i="56"/>
  <c r="J118" i="79"/>
  <c r="E121" i="56"/>
  <c r="J122" i="79" s="1"/>
  <c r="E5" i="39"/>
  <c r="M5"/>
  <c r="U5"/>
  <c r="U8"/>
  <c r="I9"/>
  <c r="M10"/>
  <c r="Y10"/>
  <c r="E11"/>
  <c r="Q16"/>
  <c r="Y17"/>
  <c r="I18"/>
  <c r="I23"/>
  <c r="U23"/>
  <c r="I28"/>
  <c r="Y29"/>
  <c r="Q30"/>
  <c r="U31"/>
  <c r="I36"/>
  <c r="Y37"/>
  <c r="M41"/>
  <c r="E45"/>
  <c r="Q50"/>
  <c r="Q56"/>
  <c r="E64"/>
  <c r="F5" i="56"/>
  <c r="Q13" i="39"/>
  <c r="Y13"/>
  <c r="E18"/>
  <c r="M18"/>
  <c r="E19"/>
  <c r="E20"/>
  <c r="U21"/>
  <c r="I25"/>
  <c r="Y34"/>
  <c r="E35"/>
  <c r="E36"/>
  <c r="E37"/>
  <c r="M37"/>
  <c r="Q37"/>
  <c r="E59"/>
  <c r="E61"/>
  <c r="Q64"/>
  <c r="E4"/>
  <c r="I7"/>
  <c r="U7"/>
  <c r="E10"/>
  <c r="E12"/>
  <c r="E13"/>
  <c r="M13"/>
  <c r="I15"/>
  <c r="U15"/>
  <c r="M17"/>
  <c r="Q17"/>
  <c r="Q22"/>
  <c r="Q24"/>
  <c r="M25"/>
  <c r="I26"/>
  <c r="Q33"/>
  <c r="Y33"/>
  <c r="E34"/>
  <c r="M34"/>
  <c r="I37"/>
  <c r="E40"/>
  <c r="M40"/>
  <c r="E54"/>
  <c r="E56"/>
  <c r="I4"/>
  <c r="Q6"/>
  <c r="Y9"/>
  <c r="Q14"/>
  <c r="Q15"/>
  <c r="I17"/>
  <c r="Y18"/>
  <c r="I20"/>
  <c r="Q21"/>
  <c r="Y21"/>
  <c r="U24"/>
  <c r="E26"/>
  <c r="M26"/>
  <c r="Q29"/>
  <c r="Q32"/>
  <c r="I34"/>
  <c r="Y36"/>
  <c r="I38"/>
  <c r="Q42"/>
  <c r="Q52"/>
  <c r="Q60"/>
  <c r="Q68"/>
  <c r="I118"/>
  <c r="Q118"/>
  <c r="I119"/>
  <c r="Q119"/>
  <c r="I120"/>
  <c r="Q120"/>
  <c r="I121"/>
  <c r="Q121"/>
  <c r="I122"/>
  <c r="Q122"/>
  <c r="I123"/>
  <c r="Q123"/>
  <c r="F37" i="1"/>
  <c r="I95"/>
  <c r="G95"/>
  <c r="I94"/>
  <c r="J95"/>
  <c r="J94"/>
  <c r="F94"/>
  <c r="K95"/>
  <c r="K94"/>
  <c r="G94"/>
  <c r="H95"/>
  <c r="F95"/>
  <c r="H94"/>
  <c r="Y45" i="39"/>
  <c r="Y47"/>
  <c r="Y75"/>
  <c r="Y81"/>
  <c r="Y83"/>
  <c r="Y85"/>
  <c r="Y87"/>
  <c r="Y89"/>
  <c r="Y91"/>
  <c r="Y93"/>
  <c r="Y95"/>
  <c r="Y97"/>
  <c r="Y99"/>
  <c r="Y105"/>
  <c r="Y111"/>
  <c r="Y5"/>
  <c r="Y25"/>
  <c r="Y103"/>
  <c r="Y107"/>
  <c r="Y51"/>
  <c r="Y55"/>
  <c r="Y109"/>
  <c r="Y69"/>
  <c r="I7" i="41"/>
  <c r="M9" i="39"/>
  <c r="M29"/>
  <c r="M33"/>
  <c r="AP6" i="24"/>
  <c r="L6" s="1"/>
  <c r="H35" i="1" s="1"/>
  <c r="R6" i="24"/>
  <c r="D6"/>
  <c r="H27" i="1" s="1"/>
  <c r="F22"/>
  <c r="F81"/>
  <c r="I81" s="1"/>
  <c r="L107"/>
  <c r="E42" i="62"/>
  <c r="D4"/>
  <c r="E22"/>
  <c r="E4"/>
  <c r="E57"/>
  <c r="G4" i="60"/>
  <c r="D4"/>
  <c r="C4"/>
  <c r="E5" i="61"/>
  <c r="E34"/>
  <c r="E66"/>
  <c r="E111"/>
  <c r="E123"/>
  <c r="E10"/>
  <c r="E42"/>
  <c r="E74"/>
  <c r="E112"/>
  <c r="E117"/>
  <c r="E124"/>
  <c r="K140" i="9"/>
  <c r="F14" i="1"/>
  <c r="G79"/>
  <c r="F79"/>
  <c r="E26" i="56"/>
  <c r="J27" i="79" s="1"/>
  <c r="E27" i="56"/>
  <c r="J28" i="79" s="1"/>
  <c r="E28" i="56"/>
  <c r="J29" i="79" s="1"/>
  <c r="E31" i="56"/>
  <c r="J32" i="79" s="1"/>
  <c r="E32" i="56"/>
  <c r="J33" i="79" s="1"/>
  <c r="E34" i="56"/>
  <c r="J35" i="79" s="1"/>
  <c r="E46" i="56"/>
  <c r="J47" i="79" s="1"/>
  <c r="E47" i="56"/>
  <c r="J48" i="79" s="1"/>
  <c r="E48" i="56"/>
  <c r="J49" i="79" s="1"/>
  <c r="E50" i="56"/>
  <c r="J51" i="79" s="1"/>
  <c r="E52" i="56"/>
  <c r="J53" i="79" s="1"/>
  <c r="E54" i="56"/>
  <c r="J55" i="79" s="1"/>
  <c r="E55" i="56"/>
  <c r="J56" i="79" s="1"/>
  <c r="E6" i="56"/>
  <c r="J7" i="79" s="1"/>
  <c r="E7" i="56"/>
  <c r="J8" i="79" s="1"/>
  <c r="E10" i="56"/>
  <c r="J11" i="79" s="1"/>
  <c r="E11" i="56"/>
  <c r="J12" i="79" s="1"/>
  <c r="E12" i="56"/>
  <c r="J13" i="79" s="1"/>
  <c r="E78" i="56"/>
  <c r="J79" i="79" s="1"/>
  <c r="E83" i="56"/>
  <c r="J84" i="79" s="1"/>
  <c r="C5" i="56"/>
  <c r="H6" i="79" s="1"/>
  <c r="E8" i="56"/>
  <c r="J9" i="79" s="1"/>
  <c r="E51" i="56"/>
  <c r="J52" i="79" s="1"/>
  <c r="E66" i="56"/>
  <c r="J67" i="79" s="1"/>
  <c r="E94" i="56"/>
  <c r="J95" i="79" s="1"/>
  <c r="E30" i="56"/>
  <c r="J31" i="79" s="1"/>
  <c r="E36" i="56"/>
  <c r="J37" i="79" s="1"/>
  <c r="E38" i="56"/>
  <c r="J39" i="79" s="1"/>
  <c r="E39" i="56"/>
  <c r="J40" i="79" s="1"/>
  <c r="E42" i="56"/>
  <c r="J43" i="79" s="1"/>
  <c r="E43" i="56"/>
  <c r="J44" i="79" s="1"/>
  <c r="E44" i="56"/>
  <c r="J45" i="79" s="1"/>
  <c r="E72" i="56"/>
  <c r="J73" i="79" s="1"/>
  <c r="E79" i="56"/>
  <c r="J80" i="79" s="1"/>
  <c r="E80" i="56"/>
  <c r="J81" i="79" s="1"/>
  <c r="E82" i="56"/>
  <c r="J83" i="79" s="1"/>
  <c r="E84" i="56"/>
  <c r="J85" i="79" s="1"/>
  <c r="E86" i="56"/>
  <c r="J87" i="79" s="1"/>
  <c r="E87" i="56"/>
  <c r="J88" i="79" s="1"/>
  <c r="E19" i="56"/>
  <c r="J20" i="79" s="1"/>
  <c r="E62" i="56"/>
  <c r="J63" i="79" s="1"/>
  <c r="E118" i="56"/>
  <c r="J119" i="79" s="1"/>
  <c r="E120" i="56"/>
  <c r="J121" i="79" s="1"/>
  <c r="E59" i="56"/>
  <c r="J60" i="79" s="1"/>
  <c r="E91" i="56"/>
  <c r="J92" i="79" s="1"/>
  <c r="G5" i="56"/>
  <c r="E75"/>
  <c r="J76" i="79"/>
  <c r="E96" i="56"/>
  <c r="J97" i="79"/>
  <c r="E119" i="56"/>
  <c r="J120" i="79"/>
  <c r="E70" i="54"/>
  <c r="E38"/>
  <c r="E40"/>
  <c r="E54"/>
  <c r="E59"/>
  <c r="E5"/>
  <c r="E10"/>
  <c r="E12"/>
  <c r="E13"/>
  <c r="E102"/>
  <c r="E29"/>
  <c r="E61"/>
  <c r="E74"/>
  <c r="E90"/>
  <c r="E91"/>
  <c r="E92"/>
  <c r="E96"/>
  <c r="E97"/>
  <c r="E99"/>
  <c r="E105" i="55"/>
  <c r="E108"/>
  <c r="E111"/>
  <c r="E12"/>
  <c r="E15"/>
  <c r="E32"/>
  <c r="E39"/>
  <c r="E41"/>
  <c r="E44"/>
  <c r="E47"/>
  <c r="E75"/>
  <c r="E96"/>
  <c r="E117"/>
  <c r="D4"/>
  <c r="E23"/>
  <c r="E25"/>
  <c r="E53"/>
  <c r="E60"/>
  <c r="E63"/>
  <c r="E65"/>
  <c r="E68"/>
  <c r="E85"/>
  <c r="E8"/>
  <c r="E19"/>
  <c r="E29"/>
  <c r="E40"/>
  <c r="E51"/>
  <c r="E61"/>
  <c r="E72"/>
  <c r="E83"/>
  <c r="E93"/>
  <c r="E104"/>
  <c r="E115"/>
  <c r="F4"/>
  <c r="E5"/>
  <c r="E13"/>
  <c r="E24"/>
  <c r="E35"/>
  <c r="E45"/>
  <c r="E56"/>
  <c r="E67"/>
  <c r="E77"/>
  <c r="E88"/>
  <c r="E99"/>
  <c r="E109"/>
  <c r="E120"/>
  <c r="E21" i="54"/>
  <c r="F23" i="79" s="1"/>
  <c r="E64" i="54"/>
  <c r="E122"/>
  <c r="G4"/>
  <c r="E42"/>
  <c r="E94"/>
  <c r="E6"/>
  <c r="E95"/>
  <c r="E103"/>
  <c r="D4"/>
  <c r="E58"/>
  <c r="E86"/>
  <c r="E98"/>
  <c r="E123"/>
  <c r="E62"/>
  <c r="E114"/>
  <c r="E116"/>
  <c r="E117"/>
  <c r="E118"/>
  <c r="E119"/>
  <c r="E120"/>
  <c r="E121"/>
  <c r="E124"/>
  <c r="E9" i="53"/>
  <c r="F11" i="79"/>
  <c r="E21" i="53"/>
  <c r="E41"/>
  <c r="F43" i="79"/>
  <c r="E46" i="53"/>
  <c r="F48" i="79"/>
  <c r="E105" i="53"/>
  <c r="F107" i="79"/>
  <c r="C4" i="53"/>
  <c r="D6" i="79"/>
  <c r="E113" i="53"/>
  <c r="F115" i="79"/>
  <c r="E115" i="53"/>
  <c r="F117" i="79"/>
  <c r="E119" i="53"/>
  <c r="F121" i="79"/>
  <c r="E33" i="53"/>
  <c r="F35" i="79"/>
  <c r="E34" i="53"/>
  <c r="F36" i="79"/>
  <c r="E36" i="53"/>
  <c r="F38" i="79"/>
  <c r="E37" i="53"/>
  <c r="F39" i="79"/>
  <c r="E73" i="53"/>
  <c r="F75" i="79"/>
  <c r="E75" i="53"/>
  <c r="F77" i="79"/>
  <c r="E79" i="53"/>
  <c r="F81" i="79"/>
  <c r="E89" i="53"/>
  <c r="F91" i="79"/>
  <c r="E91" i="53"/>
  <c r="F93" i="79"/>
  <c r="E103" i="53"/>
  <c r="F105" i="79"/>
  <c r="E10" i="53"/>
  <c r="F12" i="79"/>
  <c r="E17" i="53"/>
  <c r="F19" i="79"/>
  <c r="E18" i="53"/>
  <c r="F20" i="79"/>
  <c r="E25" i="53"/>
  <c r="F27" i="79"/>
  <c r="E26" i="53"/>
  <c r="F28" i="79"/>
  <c r="E35" i="53"/>
  <c r="F37" i="79"/>
  <c r="E39" i="53"/>
  <c r="F41" i="79"/>
  <c r="E40" i="53"/>
  <c r="E74"/>
  <c r="F76" i="79" s="1"/>
  <c r="E83" i="53"/>
  <c r="F85" i="79" s="1"/>
  <c r="E87" i="53"/>
  <c r="F89" i="79" s="1"/>
  <c r="E114" i="53"/>
  <c r="E122"/>
  <c r="F124" i="79"/>
  <c r="E123" i="53"/>
  <c r="F125" i="79"/>
  <c r="E124" i="53"/>
  <c r="E5"/>
  <c r="F7" i="79" s="1"/>
  <c r="E7" i="53"/>
  <c r="F9" i="79" s="1"/>
  <c r="E8" i="53"/>
  <c r="F10" i="79" s="1"/>
  <c r="E42" i="53"/>
  <c r="F44" i="79" s="1"/>
  <c r="E49" i="53"/>
  <c r="F51" i="79" s="1"/>
  <c r="E50" i="53"/>
  <c r="F52" i="79" s="1"/>
  <c r="E57" i="53"/>
  <c r="F59" i="79" s="1"/>
  <c r="E58" i="53"/>
  <c r="E67"/>
  <c r="E71"/>
  <c r="F73" i="79" s="1"/>
  <c r="E90" i="53"/>
  <c r="F92" i="79" s="1"/>
  <c r="E107" i="53"/>
  <c r="F109" i="79" s="1"/>
  <c r="E111" i="53"/>
  <c r="F113" i="79" s="1"/>
  <c r="E27" i="53"/>
  <c r="F29" i="79" s="1"/>
  <c r="E28" i="53"/>
  <c r="F30" i="79" s="1"/>
  <c r="E29" i="53"/>
  <c r="F31" i="79" s="1"/>
  <c r="E30" i="53"/>
  <c r="F32" i="79" s="1"/>
  <c r="E31" i="53"/>
  <c r="F33" i="79" s="1"/>
  <c r="E59" i="53"/>
  <c r="F61" i="79" s="1"/>
  <c r="E63" i="53"/>
  <c r="F65" i="79" s="1"/>
  <c r="E19" i="53"/>
  <c r="F21" i="79" s="1"/>
  <c r="E23" i="53"/>
  <c r="F25" i="79" s="1"/>
  <c r="E24" i="53"/>
  <c r="F26" i="79" s="1"/>
  <c r="E51" i="53"/>
  <c r="F53" i="79" s="1"/>
  <c r="E55" i="53"/>
  <c r="F57" i="79" s="1"/>
  <c r="F4" i="53"/>
  <c r="E11"/>
  <c r="F13" i="79"/>
  <c r="E12" i="53"/>
  <c r="F14" i="79"/>
  <c r="E13" i="53"/>
  <c r="F15" i="79"/>
  <c r="E14" i="53"/>
  <c r="F16" i="79"/>
  <c r="E15" i="53"/>
  <c r="F17" i="79"/>
  <c r="E43" i="53"/>
  <c r="F45" i="79"/>
  <c r="E45" i="53"/>
  <c r="F47" i="79"/>
  <c r="E47" i="53"/>
  <c r="F49" i="79"/>
  <c r="H53" i="1"/>
  <c r="I53"/>
  <c r="J53"/>
  <c r="Q31" i="39"/>
  <c r="U32"/>
  <c r="J44" i="1"/>
  <c r="J48" s="1"/>
  <c r="K44"/>
  <c r="K48" s="1"/>
  <c r="L44"/>
  <c r="L48" s="1"/>
  <c r="H44"/>
  <c r="H48" s="1"/>
  <c r="M44"/>
  <c r="M48" s="1"/>
  <c r="I44"/>
  <c r="I48" s="1"/>
  <c r="M5"/>
  <c r="Q8" i="39"/>
  <c r="Q9"/>
  <c r="I10"/>
  <c r="U29"/>
  <c r="E42"/>
  <c r="E46"/>
  <c r="E50"/>
  <c r="Q5"/>
  <c r="U16"/>
  <c r="E21"/>
  <c r="E27"/>
  <c r="E29"/>
  <c r="Q38"/>
  <c r="M105" i="1"/>
  <c r="L105"/>
  <c r="M104"/>
  <c r="L104"/>
  <c r="M106"/>
  <c r="L106"/>
  <c r="M107"/>
  <c r="H43"/>
  <c r="H47" s="1"/>
  <c r="C68" i="40"/>
  <c r="E68" s="1"/>
  <c r="C41"/>
  <c r="E41" s="1"/>
  <c r="C53"/>
  <c r="E53" s="1"/>
  <c r="C48"/>
  <c r="E48" s="1"/>
  <c r="C95"/>
  <c r="E95" s="1"/>
  <c r="K76"/>
  <c r="M76" s="1"/>
  <c r="K66"/>
  <c r="M66" s="1"/>
  <c r="W61"/>
  <c r="Y61" s="1"/>
  <c r="C40"/>
  <c r="E40" s="1"/>
  <c r="K31"/>
  <c r="M31" s="1"/>
  <c r="C106"/>
  <c r="E106" s="1"/>
  <c r="S90"/>
  <c r="U90" s="1"/>
  <c r="S81"/>
  <c r="U81" s="1"/>
  <c r="O78"/>
  <c r="Q78" s="1"/>
  <c r="C29"/>
  <c r="E29" s="1"/>
  <c r="O9"/>
  <c r="Q9" s="1"/>
  <c r="S58"/>
  <c r="U58" s="1"/>
  <c r="W85"/>
  <c r="Y85" s="1"/>
  <c r="S61"/>
  <c r="U61" s="1"/>
  <c r="S92"/>
  <c r="U92" s="1"/>
  <c r="K121"/>
  <c r="M121" s="1"/>
  <c r="G101"/>
  <c r="I101" s="1"/>
  <c r="W94"/>
  <c r="Y94" s="1"/>
  <c r="C88"/>
  <c r="E88" s="1"/>
  <c r="K21"/>
  <c r="M21" s="1"/>
  <c r="G115"/>
  <c r="I115" s="1"/>
  <c r="C84"/>
  <c r="E84" s="1"/>
  <c r="S95"/>
  <c r="U95" s="1"/>
  <c r="S107"/>
  <c r="U107" s="1"/>
  <c r="S55"/>
  <c r="U55" s="1"/>
  <c r="G71"/>
  <c r="I71" s="1"/>
  <c r="W21"/>
  <c r="Y21" s="1"/>
  <c r="K33"/>
  <c r="M33" s="1"/>
  <c r="G123"/>
  <c r="I123" s="1"/>
  <c r="K69"/>
  <c r="M69" s="1"/>
  <c r="C8"/>
  <c r="E8" s="1"/>
  <c r="S22"/>
  <c r="U22" s="1"/>
  <c r="G54"/>
  <c r="I54" s="1"/>
  <c r="K110"/>
  <c r="M110" s="1"/>
  <c r="O122"/>
  <c r="Q122" s="1"/>
  <c r="S82"/>
  <c r="U82" s="1"/>
  <c r="O39"/>
  <c r="Q39" s="1"/>
  <c r="G68"/>
  <c r="I68" s="1"/>
  <c r="G9"/>
  <c r="I9" s="1"/>
  <c r="K103"/>
  <c r="M103" s="1"/>
  <c r="G59"/>
  <c r="I59" s="1"/>
  <c r="O60"/>
  <c r="Q60" s="1"/>
  <c r="O65"/>
  <c r="Q65" s="1"/>
  <c r="K35"/>
  <c r="M35" s="1"/>
  <c r="W56"/>
  <c r="Y56" s="1"/>
  <c r="C114"/>
  <c r="E114" s="1"/>
  <c r="C97"/>
  <c r="E97" s="1"/>
  <c r="W52"/>
  <c r="Y52" s="1"/>
  <c r="C105"/>
  <c r="E105" s="1"/>
  <c r="O45"/>
  <c r="Q45" s="1"/>
  <c r="G47"/>
  <c r="I47" s="1"/>
  <c r="S30"/>
  <c r="U30" s="1"/>
  <c r="G74"/>
  <c r="I74" s="1"/>
  <c r="G37"/>
  <c r="I37" s="1"/>
  <c r="O86"/>
  <c r="Q86" s="1"/>
  <c r="C58"/>
  <c r="E58" s="1"/>
  <c r="K59"/>
  <c r="M59" s="1"/>
  <c r="S79"/>
  <c r="U79" s="1"/>
  <c r="K39"/>
  <c r="M39" s="1"/>
  <c r="G113"/>
  <c r="I113" s="1"/>
  <c r="W82"/>
  <c r="Y82" s="1"/>
  <c r="O8"/>
  <c r="Q8" s="1"/>
  <c r="K8"/>
  <c r="M8" s="1"/>
  <c r="K54"/>
  <c r="M54" s="1"/>
  <c r="O103"/>
  <c r="Q103" s="1"/>
  <c r="O67"/>
  <c r="Q67" s="1"/>
  <c r="S44"/>
  <c r="U44" s="1"/>
  <c r="W25"/>
  <c r="Y25" s="1"/>
  <c r="S8"/>
  <c r="U8" s="1"/>
  <c r="G104"/>
  <c r="I104" s="1"/>
  <c r="K77"/>
  <c r="M77" s="1"/>
  <c r="K25"/>
  <c r="M25" s="1"/>
  <c r="C80"/>
  <c r="E80" s="1"/>
  <c r="C64"/>
  <c r="E64" s="1"/>
  <c r="W75"/>
  <c r="Y75" s="1"/>
  <c r="G107"/>
  <c r="I107" s="1"/>
  <c r="S73"/>
  <c r="U73" s="1"/>
  <c r="G35"/>
  <c r="I35" s="1"/>
  <c r="O17"/>
  <c r="Q17" s="1"/>
  <c r="C36"/>
  <c r="E36" s="1"/>
  <c r="C94"/>
  <c r="E94" s="1"/>
  <c r="G48"/>
  <c r="I48" s="1"/>
  <c r="S11"/>
  <c r="U11" s="1"/>
  <c r="W38"/>
  <c r="Y38" s="1"/>
  <c r="K44"/>
  <c r="M44" s="1"/>
  <c r="S35"/>
  <c r="U35" s="1"/>
  <c r="O21"/>
  <c r="Q21" s="1"/>
  <c r="O75"/>
  <c r="Q75" s="1"/>
  <c r="C92"/>
  <c r="E92" s="1"/>
  <c r="W67"/>
  <c r="Y67" s="1"/>
  <c r="G90"/>
  <c r="I90" s="1"/>
  <c r="G38"/>
  <c r="I38" s="1"/>
  <c r="W64"/>
  <c r="Y64" s="1"/>
  <c r="G19"/>
  <c r="I19" s="1"/>
  <c r="G102"/>
  <c r="I102" s="1"/>
  <c r="S47"/>
  <c r="U47" s="1"/>
  <c r="C73"/>
  <c r="E73" s="1"/>
  <c r="K99"/>
  <c r="M99" s="1"/>
  <c r="G46"/>
  <c r="I46" s="1"/>
  <c r="O120"/>
  <c r="Q120" s="1"/>
  <c r="O24"/>
  <c r="Q24" s="1"/>
  <c r="C38"/>
  <c r="E38" s="1"/>
  <c r="W119"/>
  <c r="Y119" s="1"/>
  <c r="W121"/>
  <c r="Y121" s="1"/>
  <c r="W73"/>
  <c r="Y73" s="1"/>
  <c r="S48"/>
  <c r="U48" s="1"/>
  <c r="O31"/>
  <c r="Q31" s="1"/>
  <c r="S12"/>
  <c r="U12" s="1"/>
  <c r="G108"/>
  <c r="I108" s="1"/>
  <c r="K81"/>
  <c r="M81" s="1"/>
  <c r="K5"/>
  <c r="M5" s="1"/>
  <c r="G33"/>
  <c r="I33" s="1"/>
  <c r="C62"/>
  <c r="E62" s="1"/>
  <c r="W91"/>
  <c r="Y91" s="1"/>
  <c r="G91"/>
  <c r="I91" s="1"/>
  <c r="S57"/>
  <c r="U57" s="1"/>
  <c r="W10"/>
  <c r="Y10" s="1"/>
  <c r="O49"/>
  <c r="Q49" s="1"/>
  <c r="C11"/>
  <c r="E11" s="1"/>
  <c r="W83"/>
  <c r="Y83" s="1"/>
  <c r="W42"/>
  <c r="Y42" s="1"/>
  <c r="C43"/>
  <c r="E43" s="1"/>
  <c r="O105"/>
  <c r="Q105" s="1"/>
  <c r="C42"/>
  <c r="E42" s="1"/>
  <c r="W118"/>
  <c r="Y118" s="1"/>
  <c r="K55"/>
  <c r="M55" s="1"/>
  <c r="W120"/>
  <c r="Y120" s="1"/>
  <c r="K118"/>
  <c r="M118" s="1"/>
  <c r="W108"/>
  <c r="Y108" s="1"/>
  <c r="C59"/>
  <c r="E59" s="1"/>
  <c r="G32"/>
  <c r="I32" s="1"/>
  <c r="G109"/>
  <c r="I109" s="1"/>
  <c r="G45"/>
  <c r="I45" s="1"/>
  <c r="K20"/>
  <c r="M20" s="1"/>
  <c r="S17"/>
  <c r="U17" s="1"/>
  <c r="S97"/>
  <c r="U97" s="1"/>
  <c r="O101"/>
  <c r="Q101" s="1"/>
  <c r="G98"/>
  <c r="I98" s="1"/>
  <c r="W6"/>
  <c r="Y6" s="1"/>
  <c r="S99"/>
  <c r="U99" s="1"/>
  <c r="W63"/>
  <c r="Y63" s="1"/>
  <c r="C37"/>
  <c r="E37" s="1"/>
  <c r="W26"/>
  <c r="Y26" s="1"/>
  <c r="W44"/>
  <c r="Y44" s="1"/>
  <c r="W95"/>
  <c r="Y95" s="1"/>
  <c r="K111"/>
  <c r="M111" s="1"/>
  <c r="C17"/>
  <c r="E17" s="1"/>
  <c r="S43"/>
  <c r="U43" s="1"/>
  <c r="S101"/>
  <c r="U101" s="1"/>
  <c r="S26"/>
  <c r="U26" s="1"/>
  <c r="C108"/>
  <c r="E108" s="1"/>
  <c r="W39"/>
  <c r="Y39" s="1"/>
  <c r="W4"/>
  <c r="Y4" s="1"/>
  <c r="S39"/>
  <c r="U39" s="1"/>
  <c r="S45"/>
  <c r="U45" s="1"/>
  <c r="C90"/>
  <c r="E90" s="1"/>
  <c r="S98"/>
  <c r="U98" s="1"/>
  <c r="G55"/>
  <c r="I55" s="1"/>
  <c r="S84"/>
  <c r="U84" s="1"/>
  <c r="W57"/>
  <c r="Y57" s="1"/>
  <c r="O35"/>
  <c r="Q35" s="1"/>
  <c r="S16"/>
  <c r="U16" s="1"/>
  <c r="K117"/>
  <c r="M117" s="1"/>
  <c r="C91"/>
  <c r="E91" s="1"/>
  <c r="K49"/>
  <c r="M49" s="1"/>
  <c r="G17"/>
  <c r="I17" s="1"/>
  <c r="S19"/>
  <c r="U19" s="1"/>
  <c r="O113"/>
  <c r="Q113" s="1"/>
  <c r="G23"/>
  <c r="I23" s="1"/>
  <c r="O20"/>
  <c r="Q20" s="1"/>
  <c r="W110"/>
  <c r="Y110" s="1"/>
  <c r="G73"/>
  <c r="I73" s="1"/>
  <c r="K71"/>
  <c r="M71" s="1"/>
  <c r="H61" i="1"/>
  <c r="H82"/>
  <c r="H54"/>
  <c r="H62"/>
  <c r="H72"/>
  <c r="H76"/>
  <c r="F73"/>
  <c r="G82"/>
  <c r="H65"/>
  <c r="G5"/>
  <c r="L5"/>
  <c r="K3"/>
  <c r="F104"/>
  <c r="E104"/>
  <c r="F105"/>
  <c r="E105"/>
  <c r="F106"/>
  <c r="E106"/>
  <c r="F107"/>
  <c r="E107"/>
  <c r="F28"/>
  <c r="G36"/>
  <c r="G30"/>
  <c r="G35"/>
  <c r="G29"/>
  <c r="G33"/>
  <c r="G34"/>
  <c r="G28"/>
  <c r="G32"/>
  <c r="G26"/>
  <c r="G27"/>
  <c r="G31"/>
  <c r="G73"/>
  <c r="J45"/>
  <c r="J49"/>
  <c r="F82"/>
  <c r="G83"/>
  <c r="G65"/>
  <c r="F76"/>
  <c r="M43"/>
  <c r="M47"/>
  <c r="H45"/>
  <c r="H49"/>
  <c r="J52"/>
  <c r="J43"/>
  <c r="J47" s="1"/>
  <c r="G66"/>
  <c r="H73"/>
  <c r="F84"/>
  <c r="H71"/>
  <c r="I52"/>
  <c r="H63"/>
  <c r="F83"/>
  <c r="H84"/>
  <c r="F72"/>
  <c r="G63"/>
  <c r="I54"/>
  <c r="G71"/>
  <c r="G84"/>
  <c r="G61"/>
  <c r="H64"/>
  <c r="F80"/>
  <c r="I80" s="1"/>
  <c r="F71"/>
  <c r="H60"/>
  <c r="U112"/>
  <c r="V112"/>
  <c r="U115"/>
  <c r="V115"/>
  <c r="U114"/>
  <c r="V114"/>
  <c r="U113"/>
  <c r="V113"/>
  <c r="F16"/>
  <c r="F21"/>
  <c r="F20"/>
  <c r="F19"/>
  <c r="F17"/>
  <c r="AJ122" i="71"/>
  <c r="AB122"/>
  <c r="AC122"/>
  <c r="AA122"/>
  <c r="P6"/>
  <c r="Z6"/>
  <c r="P11"/>
  <c r="Z11"/>
  <c r="P7"/>
  <c r="AA7"/>
  <c r="G19" i="1" s="1"/>
  <c r="P12" i="71"/>
  <c r="Z12" s="1"/>
  <c r="P8"/>
  <c r="Z8" s="1"/>
  <c r="P10"/>
  <c r="AC10" s="1"/>
  <c r="V15"/>
  <c r="R15"/>
  <c r="AJ15"/>
  <c r="V19"/>
  <c r="R19"/>
  <c r="AJ19"/>
  <c r="V23"/>
  <c r="R23"/>
  <c r="AJ23"/>
  <c r="V27"/>
  <c r="R27"/>
  <c r="AJ27"/>
  <c r="V31"/>
  <c r="R31"/>
  <c r="AJ31"/>
  <c r="V35"/>
  <c r="R35"/>
  <c r="AJ35"/>
  <c r="V39"/>
  <c r="R39"/>
  <c r="AJ39"/>
  <c r="V43"/>
  <c r="R43"/>
  <c r="AJ43"/>
  <c r="V47"/>
  <c r="R47"/>
  <c r="AJ47"/>
  <c r="V51"/>
  <c r="R51"/>
  <c r="AJ51"/>
  <c r="V55"/>
  <c r="R55"/>
  <c r="AJ55"/>
  <c r="V59"/>
  <c r="R59"/>
  <c r="AJ59"/>
  <c r="V63"/>
  <c r="R63"/>
  <c r="AJ63"/>
  <c r="V67"/>
  <c r="R67"/>
  <c r="AJ67"/>
  <c r="V71"/>
  <c r="R71"/>
  <c r="AJ71"/>
  <c r="V75"/>
  <c r="R75"/>
  <c r="AJ75"/>
  <c r="V79"/>
  <c r="R79"/>
  <c r="AJ79"/>
  <c r="V83"/>
  <c r="R83"/>
  <c r="AJ83"/>
  <c r="V87"/>
  <c r="R87"/>
  <c r="AJ87"/>
  <c r="V91"/>
  <c r="R91"/>
  <c r="AJ91"/>
  <c r="V95"/>
  <c r="R95"/>
  <c r="AJ95"/>
  <c r="V99"/>
  <c r="R99"/>
  <c r="AJ99"/>
  <c r="V105"/>
  <c r="R105"/>
  <c r="AJ105"/>
  <c r="V109"/>
  <c r="R109"/>
  <c r="AJ109"/>
  <c r="V118"/>
  <c r="R118"/>
  <c r="AJ118"/>
  <c r="V120"/>
  <c r="R120"/>
  <c r="AJ120"/>
  <c r="V121"/>
  <c r="R121"/>
  <c r="AJ121"/>
  <c r="AJ123"/>
  <c r="V123"/>
  <c r="R123"/>
  <c r="V125"/>
  <c r="R125"/>
  <c r="AJ125"/>
  <c r="V126"/>
  <c r="R126"/>
  <c r="AJ126"/>
  <c r="AB15"/>
  <c r="AB19"/>
  <c r="AB23"/>
  <c r="AB27"/>
  <c r="AB31"/>
  <c r="AB35"/>
  <c r="AB39"/>
  <c r="AB43"/>
  <c r="AB47"/>
  <c r="AB51"/>
  <c r="AB55"/>
  <c r="AB59"/>
  <c r="AB63"/>
  <c r="AB67"/>
  <c r="AB71"/>
  <c r="AB75"/>
  <c r="AB79"/>
  <c r="AB83"/>
  <c r="AB87"/>
  <c r="AB91"/>
  <c r="AB95"/>
  <c r="AB99"/>
  <c r="AB105"/>
  <c r="AB109"/>
  <c r="AB118"/>
  <c r="AB120"/>
  <c r="AC121"/>
  <c r="AA123"/>
  <c r="AB125"/>
  <c r="AC126"/>
  <c r="AA15"/>
  <c r="AA19"/>
  <c r="AA23"/>
  <c r="AA27"/>
  <c r="AA31"/>
  <c r="AA35"/>
  <c r="AA39"/>
  <c r="AA43"/>
  <c r="AA47"/>
  <c r="AA51"/>
  <c r="AA55"/>
  <c r="AA59"/>
  <c r="AA63"/>
  <c r="AA67"/>
  <c r="AA71"/>
  <c r="AA75"/>
  <c r="AA79"/>
  <c r="AA83"/>
  <c r="AA87"/>
  <c r="AA91"/>
  <c r="AA95"/>
  <c r="AA99"/>
  <c r="AA105"/>
  <c r="AA109"/>
  <c r="AA118"/>
  <c r="AA120"/>
  <c r="AB121"/>
  <c r="Z123"/>
  <c r="AA125"/>
  <c r="AB126"/>
  <c r="P14"/>
  <c r="AA14" s="1"/>
  <c r="P18"/>
  <c r="Z18" s="1"/>
  <c r="P22"/>
  <c r="AC22" s="1"/>
  <c r="P26"/>
  <c r="AC26" s="1"/>
  <c r="P30"/>
  <c r="AA30" s="1"/>
  <c r="P34"/>
  <c r="Z34" s="1"/>
  <c r="P38"/>
  <c r="AB38" s="1"/>
  <c r="P42"/>
  <c r="AC42" s="1"/>
  <c r="P46"/>
  <c r="AA46" s="1"/>
  <c r="P50"/>
  <c r="Z50" s="1"/>
  <c r="P54"/>
  <c r="AC54" s="1"/>
  <c r="P58"/>
  <c r="AC58" s="1"/>
  <c r="P62"/>
  <c r="AA62" s="1"/>
  <c r="P66"/>
  <c r="Z66" s="1"/>
  <c r="P70"/>
  <c r="AB70" s="1"/>
  <c r="P74"/>
  <c r="AC74" s="1"/>
  <c r="P78"/>
  <c r="AA78" s="1"/>
  <c r="P82"/>
  <c r="Z82" s="1"/>
  <c r="P86"/>
  <c r="AB86" s="1"/>
  <c r="P90"/>
  <c r="AC90" s="1"/>
  <c r="P94"/>
  <c r="AA94" s="1"/>
  <c r="P98"/>
  <c r="AA98" s="1"/>
  <c r="P102"/>
  <c r="Z102" s="1"/>
  <c r="P104"/>
  <c r="AB104" s="1"/>
  <c r="P108"/>
  <c r="AA108" s="1"/>
  <c r="P111"/>
  <c r="Z111" s="1"/>
  <c r="P114"/>
  <c r="AB114" s="1"/>
  <c r="P117"/>
  <c r="AA117"/>
  <c r="Z15"/>
  <c r="Z19"/>
  <c r="Z23"/>
  <c r="Z27"/>
  <c r="Z31"/>
  <c r="Z35"/>
  <c r="Z39"/>
  <c r="Z43"/>
  <c r="Z47"/>
  <c r="Z51"/>
  <c r="Z55"/>
  <c r="Z59"/>
  <c r="Z63"/>
  <c r="Z67"/>
  <c r="Z71"/>
  <c r="Z75"/>
  <c r="Z79"/>
  <c r="Z83"/>
  <c r="Z87"/>
  <c r="Z91"/>
  <c r="Z95"/>
  <c r="Z99"/>
  <c r="Z105"/>
  <c r="Z109"/>
  <c r="Z118"/>
  <c r="Z120"/>
  <c r="AA121"/>
  <c r="AC123"/>
  <c r="Z125"/>
  <c r="AA126"/>
  <c r="P13"/>
  <c r="Z13" s="1"/>
  <c r="P17"/>
  <c r="AC17" s="1"/>
  <c r="P21"/>
  <c r="AC21"/>
  <c r="P25"/>
  <c r="AA25" s="1"/>
  <c r="P29"/>
  <c r="Z29"/>
  <c r="P33"/>
  <c r="AC33" s="1"/>
  <c r="P37"/>
  <c r="AC37"/>
  <c r="P41"/>
  <c r="AA41" s="1"/>
  <c r="P45"/>
  <c r="Z45"/>
  <c r="P49"/>
  <c r="AC49" s="1"/>
  <c r="P53"/>
  <c r="AC53"/>
  <c r="P57"/>
  <c r="AA57" s="1"/>
  <c r="P61"/>
  <c r="Z61"/>
  <c r="P65"/>
  <c r="AC65" s="1"/>
  <c r="P69"/>
  <c r="AC69"/>
  <c r="P73"/>
  <c r="AA73" s="1"/>
  <c r="P77"/>
  <c r="Z77"/>
  <c r="P81"/>
  <c r="AC81" s="1"/>
  <c r="P85"/>
  <c r="AC85"/>
  <c r="P89"/>
  <c r="AA89" s="1"/>
  <c r="P93"/>
  <c r="Z93" s="1"/>
  <c r="P97"/>
  <c r="AC97" s="1"/>
  <c r="P101"/>
  <c r="AC101"/>
  <c r="P106"/>
  <c r="Z106" s="1"/>
  <c r="P107"/>
  <c r="AC107"/>
  <c r="P113"/>
  <c r="AA113" s="1"/>
  <c r="P116"/>
  <c r="Z116"/>
  <c r="P119"/>
  <c r="AC119" s="1"/>
  <c r="AC15"/>
  <c r="AC19"/>
  <c r="AC23"/>
  <c r="AC27"/>
  <c r="AC31"/>
  <c r="AC35"/>
  <c r="AC39"/>
  <c r="AC43"/>
  <c r="AC47"/>
  <c r="AC51"/>
  <c r="AC55"/>
  <c r="AC59"/>
  <c r="AC63"/>
  <c r="AC67"/>
  <c r="AC71"/>
  <c r="AC75"/>
  <c r="AC79"/>
  <c r="AC83"/>
  <c r="AC87"/>
  <c r="AC91"/>
  <c r="AC95"/>
  <c r="AC99"/>
  <c r="AC105"/>
  <c r="AC109"/>
  <c r="AC118"/>
  <c r="AC120"/>
  <c r="Z121"/>
  <c r="AB123"/>
  <c r="AC125"/>
  <c r="Z126"/>
  <c r="P16"/>
  <c r="AB16" s="1"/>
  <c r="P20"/>
  <c r="AB20" s="1"/>
  <c r="P24"/>
  <c r="P28"/>
  <c r="AB28"/>
  <c r="P32"/>
  <c r="AB32"/>
  <c r="P36"/>
  <c r="AB36"/>
  <c r="P40"/>
  <c r="P44"/>
  <c r="AB44" s="1"/>
  <c r="P48"/>
  <c r="AB48"/>
  <c r="P52"/>
  <c r="AB52" s="1"/>
  <c r="P56"/>
  <c r="P60"/>
  <c r="AB60"/>
  <c r="P64"/>
  <c r="AB64"/>
  <c r="P68"/>
  <c r="AB68"/>
  <c r="P72"/>
  <c r="P76"/>
  <c r="AB76" s="1"/>
  <c r="P80"/>
  <c r="AB80" s="1"/>
  <c r="P84"/>
  <c r="AB84"/>
  <c r="P88"/>
  <c r="P92"/>
  <c r="AB92"/>
  <c r="P96"/>
  <c r="AB96"/>
  <c r="P100"/>
  <c r="AB100"/>
  <c r="P103"/>
  <c r="P110"/>
  <c r="AB110" s="1"/>
  <c r="P112"/>
  <c r="P115"/>
  <c r="AB115"/>
  <c r="P124"/>
  <c r="AC124"/>
  <c r="P9"/>
  <c r="AC9"/>
  <c r="Q25" i="39"/>
  <c r="Q66"/>
  <c r="U13"/>
  <c r="E28"/>
  <c r="I31"/>
  <c r="C75" i="40"/>
  <c r="E75" s="1"/>
  <c r="G64"/>
  <c r="I64" s="1"/>
  <c r="K53"/>
  <c r="M53" s="1"/>
  <c r="G4"/>
  <c r="I4" s="1"/>
  <c r="G16"/>
  <c r="I16" s="1"/>
  <c r="C27"/>
  <c r="E27" s="1"/>
  <c r="K37"/>
  <c r="M37" s="1"/>
  <c r="G25"/>
  <c r="I25" s="1"/>
  <c r="G77"/>
  <c r="I77" s="1"/>
  <c r="K98"/>
  <c r="M98" s="1"/>
  <c r="C120"/>
  <c r="E120" s="1"/>
  <c r="K48"/>
  <c r="M48" s="1"/>
  <c r="C70"/>
  <c r="E70"/>
  <c r="C56"/>
  <c r="E56" s="1"/>
  <c r="W115"/>
  <c r="Y115" s="1"/>
  <c r="S94"/>
  <c r="U94" s="1"/>
  <c r="O73"/>
  <c r="Q73" s="1"/>
  <c r="G13"/>
  <c r="I13" s="1"/>
  <c r="G31"/>
  <c r="I31" s="1"/>
  <c r="G83"/>
  <c r="I83" s="1"/>
  <c r="K104"/>
  <c r="M104" s="1"/>
  <c r="O6"/>
  <c r="Q6" s="1"/>
  <c r="O28"/>
  <c r="Q28"/>
  <c r="S49"/>
  <c r="U49" s="1"/>
  <c r="W70"/>
  <c r="Y70" s="1"/>
  <c r="W86"/>
  <c r="Y86" s="1"/>
  <c r="O108"/>
  <c r="Q108"/>
  <c r="S85"/>
  <c r="U85" s="1"/>
  <c r="G119"/>
  <c r="I119" s="1"/>
  <c r="C10"/>
  <c r="E10" s="1"/>
  <c r="K62"/>
  <c r="M62"/>
  <c r="S104"/>
  <c r="U104" s="1"/>
  <c r="W43"/>
  <c r="Y43" s="1"/>
  <c r="K119"/>
  <c r="M119" s="1"/>
  <c r="C77"/>
  <c r="E77"/>
  <c r="G14"/>
  <c r="I14" s="1"/>
  <c r="C32"/>
  <c r="E32" s="1"/>
  <c r="G105"/>
  <c r="I105" s="1"/>
  <c r="W24"/>
  <c r="Y24"/>
  <c r="O46"/>
  <c r="Q46" s="1"/>
  <c r="S67"/>
  <c r="U67" s="1"/>
  <c r="W88"/>
  <c r="Y88" s="1"/>
  <c r="O110"/>
  <c r="Q110"/>
  <c r="O80"/>
  <c r="Q80" s="1"/>
  <c r="K6"/>
  <c r="M6" s="1"/>
  <c r="W101"/>
  <c r="Y101" s="1"/>
  <c r="S42"/>
  <c r="U42"/>
  <c r="G118"/>
  <c r="I118" s="1"/>
  <c r="K75"/>
  <c r="M75" s="1"/>
  <c r="K15"/>
  <c r="M15" s="1"/>
  <c r="C76"/>
  <c r="E76"/>
  <c r="S31"/>
  <c r="U31" s="1"/>
  <c r="O74"/>
  <c r="Q74" s="1"/>
  <c r="W116"/>
  <c r="Y116" s="1"/>
  <c r="O117"/>
  <c r="Q117"/>
  <c r="O29"/>
  <c r="Q29" s="1"/>
  <c r="G62"/>
  <c r="I62" s="1"/>
  <c r="K102"/>
  <c r="M102" s="1"/>
  <c r="K12"/>
  <c r="M12"/>
  <c r="G78"/>
  <c r="I78" s="1"/>
  <c r="S71"/>
  <c r="U71" s="1"/>
  <c r="K67"/>
  <c r="M67" s="1"/>
  <c r="W55"/>
  <c r="Y55"/>
  <c r="S15"/>
  <c r="U15" s="1"/>
  <c r="S88"/>
  <c r="U88" s="1"/>
  <c r="O57"/>
  <c r="Q57" s="1"/>
  <c r="O41"/>
  <c r="Q41"/>
  <c r="W19"/>
  <c r="Y19" s="1"/>
  <c r="G122"/>
  <c r="I122" s="1"/>
  <c r="C101"/>
  <c r="E101" s="1"/>
  <c r="K63"/>
  <c r="M63"/>
  <c r="C5"/>
  <c r="E5" s="1"/>
  <c r="K27"/>
  <c r="M27" s="1"/>
  <c r="K26"/>
  <c r="M26" s="1"/>
  <c r="G89"/>
  <c r="I89"/>
  <c r="W12"/>
  <c r="Y12" s="1"/>
  <c r="W32"/>
  <c r="Y32" s="1"/>
  <c r="O54"/>
  <c r="Q54" s="1"/>
  <c r="S75"/>
  <c r="U75"/>
  <c r="W96"/>
  <c r="Y96" s="1"/>
  <c r="O118"/>
  <c r="Q118" s="1"/>
  <c r="O16"/>
  <c r="Q16" s="1"/>
  <c r="O85"/>
  <c r="Q85"/>
  <c r="O91"/>
  <c r="Q91" s="1"/>
  <c r="K123"/>
  <c r="M123" s="1"/>
  <c r="C81"/>
  <c r="E81" s="1"/>
  <c r="G10"/>
  <c r="I10"/>
  <c r="K34"/>
  <c r="M34" s="1"/>
  <c r="O26"/>
  <c r="Q26" s="1"/>
  <c r="W68"/>
  <c r="Y68" s="1"/>
  <c r="W100"/>
  <c r="Y100"/>
  <c r="G103"/>
  <c r="I103" s="1"/>
  <c r="S96"/>
  <c r="U96" s="1"/>
  <c r="K115"/>
  <c r="M115" s="1"/>
  <c r="K51"/>
  <c r="M51"/>
  <c r="O4"/>
  <c r="Q4" s="1"/>
  <c r="O98"/>
  <c r="Q98" s="1"/>
  <c r="S66"/>
  <c r="U66" s="1"/>
  <c r="W92"/>
  <c r="Y92"/>
  <c r="K23"/>
  <c r="M23" s="1"/>
  <c r="C89"/>
  <c r="E89" s="1"/>
  <c r="S109"/>
  <c r="U109" s="1"/>
  <c r="S93"/>
  <c r="U93"/>
  <c r="O72"/>
  <c r="Q72" s="1"/>
  <c r="O56"/>
  <c r="Q56" s="1"/>
  <c r="W34"/>
  <c r="Y34" s="1"/>
  <c r="K116"/>
  <c r="M116"/>
  <c r="G95"/>
  <c r="I95" s="1"/>
  <c r="G79"/>
  <c r="I79" s="1"/>
  <c r="G27"/>
  <c r="I27" s="1"/>
  <c r="C14"/>
  <c r="E14"/>
  <c r="W71"/>
  <c r="Y71" s="1"/>
  <c r="W87"/>
  <c r="Y87" s="1"/>
  <c r="O109"/>
  <c r="Q109" s="1"/>
  <c r="G65"/>
  <c r="I65"/>
  <c r="K60"/>
  <c r="M60" s="1"/>
  <c r="C46"/>
  <c r="E46" s="1"/>
  <c r="S116"/>
  <c r="U116" s="1"/>
  <c r="S108"/>
  <c r="U108"/>
  <c r="W97"/>
  <c r="Y97" s="1"/>
  <c r="W89"/>
  <c r="Y89" s="1"/>
  <c r="O79"/>
  <c r="Q79" s="1"/>
  <c r="S64"/>
  <c r="U64"/>
  <c r="O59"/>
  <c r="Q59" s="1"/>
  <c r="O55"/>
  <c r="Q55" s="1"/>
  <c r="O51"/>
  <c r="Q51" s="1"/>
  <c r="W45"/>
  <c r="Y45"/>
  <c r="W41"/>
  <c r="Y41" s="1"/>
  <c r="S32"/>
  <c r="U32" s="1"/>
  <c r="S28"/>
  <c r="U28" s="1"/>
  <c r="O19"/>
  <c r="Q19"/>
  <c r="O15"/>
  <c r="Q15" s="1"/>
  <c r="S4"/>
  <c r="U4" s="1"/>
  <c r="G120"/>
  <c r="I120" s="1"/>
  <c r="C115"/>
  <c r="E115"/>
  <c r="C111"/>
  <c r="E111" s="1"/>
  <c r="C107"/>
  <c r="E107" s="1"/>
  <c r="K101"/>
  <c r="M101" s="1"/>
  <c r="K97"/>
  <c r="M97"/>
  <c r="G92"/>
  <c r="I92" s="1"/>
  <c r="G88"/>
  <c r="I88" s="1"/>
  <c r="G84"/>
  <c r="I84" s="1"/>
  <c r="C79"/>
  <c r="E79"/>
  <c r="K73"/>
  <c r="M73" s="1"/>
  <c r="C63"/>
  <c r="E63" s="1"/>
  <c r="C55"/>
  <c r="E55" s="1"/>
  <c r="G44"/>
  <c r="I44"/>
  <c r="G12"/>
  <c r="I12" s="1"/>
  <c r="G20"/>
  <c r="I20" s="1"/>
  <c r="C31"/>
  <c r="E31" s="1"/>
  <c r="C39"/>
  <c r="E39"/>
  <c r="K74"/>
  <c r="M74" s="1"/>
  <c r="K90"/>
  <c r="M90" s="1"/>
  <c r="C112"/>
  <c r="E112" s="1"/>
  <c r="W8"/>
  <c r="Y8"/>
  <c r="K56"/>
  <c r="M56" s="1"/>
  <c r="K72"/>
  <c r="M72" s="1"/>
  <c r="S118"/>
  <c r="U118" s="1"/>
  <c r="S102"/>
  <c r="U102"/>
  <c r="S70"/>
  <c r="U70" s="1"/>
  <c r="K14"/>
  <c r="M14" s="1"/>
  <c r="C34"/>
  <c r="E34" s="1"/>
  <c r="K80"/>
  <c r="M80"/>
  <c r="K96"/>
  <c r="M96" s="1"/>
  <c r="W14"/>
  <c r="Y14" s="1"/>
  <c r="W30"/>
  <c r="Y30" s="1"/>
  <c r="W46"/>
  <c r="Y46"/>
  <c r="W62"/>
  <c r="Y62" s="1"/>
  <c r="S105"/>
  <c r="U105" s="1"/>
  <c r="S121"/>
  <c r="U121" s="1"/>
  <c r="S53"/>
  <c r="U53"/>
  <c r="K108"/>
  <c r="M108" s="1"/>
  <c r="C52"/>
  <c r="E52" s="1"/>
  <c r="S120"/>
  <c r="U120" s="1"/>
  <c r="S72"/>
  <c r="U72"/>
  <c r="S38"/>
  <c r="U38" s="1"/>
  <c r="G82"/>
  <c r="I82" s="1"/>
  <c r="G50"/>
  <c r="I50" s="1"/>
  <c r="G30"/>
  <c r="I30"/>
  <c r="C67"/>
  <c r="E67" s="1"/>
  <c r="G56"/>
  <c r="I56" s="1"/>
  <c r="K45"/>
  <c r="M45" s="1"/>
  <c r="K13"/>
  <c r="M13"/>
  <c r="G24"/>
  <c r="I24" s="1"/>
  <c r="C35"/>
  <c r="E35" s="1"/>
  <c r="C20"/>
  <c r="E20" s="1"/>
  <c r="G41"/>
  <c r="I41"/>
  <c r="G93"/>
  <c r="I93" s="1"/>
  <c r="K114"/>
  <c r="M114" s="1"/>
  <c r="W16"/>
  <c r="Y16" s="1"/>
  <c r="K64"/>
  <c r="M64"/>
  <c r="G61"/>
  <c r="I61" s="1"/>
  <c r="O121"/>
  <c r="Q121" s="1"/>
  <c r="W99"/>
  <c r="Y99" s="1"/>
  <c r="S78"/>
  <c r="U78"/>
  <c r="K10"/>
  <c r="M10" s="1"/>
  <c r="C26"/>
  <c r="E26" s="1"/>
  <c r="C78"/>
  <c r="E78" s="1"/>
  <c r="G99"/>
  <c r="I99"/>
  <c r="K120"/>
  <c r="M120" s="1"/>
  <c r="W22"/>
  <c r="Y22" s="1"/>
  <c r="O44"/>
  <c r="Q44" s="1"/>
  <c r="S65"/>
  <c r="U65"/>
  <c r="O84"/>
  <c r="Q84" s="1"/>
  <c r="W102"/>
  <c r="Y102" s="1"/>
  <c r="W106"/>
  <c r="Y106" s="1"/>
  <c r="S21"/>
  <c r="U21"/>
  <c r="K24"/>
  <c r="M24" s="1"/>
  <c r="S122"/>
  <c r="U122" s="1"/>
  <c r="O115"/>
  <c r="Q115" s="1"/>
  <c r="S54"/>
  <c r="U54"/>
  <c r="W11"/>
  <c r="Y11" s="1"/>
  <c r="K87"/>
  <c r="M87" s="1"/>
  <c r="C45"/>
  <c r="E45" s="1"/>
  <c r="G21"/>
  <c r="I21"/>
  <c r="K94"/>
  <c r="M94" s="1"/>
  <c r="O18"/>
  <c r="Q18" s="1"/>
  <c r="W40"/>
  <c r="Y40" s="1"/>
  <c r="O62"/>
  <c r="Q62"/>
  <c r="S83"/>
  <c r="U83" s="1"/>
  <c r="W104"/>
  <c r="Y104" s="1"/>
  <c r="S117"/>
  <c r="U117" s="1"/>
  <c r="K40"/>
  <c r="M40"/>
  <c r="O123"/>
  <c r="Q123" s="1"/>
  <c r="O53"/>
  <c r="Q53" s="1"/>
  <c r="S10"/>
  <c r="U10" s="1"/>
  <c r="G86"/>
  <c r="I86"/>
  <c r="K43"/>
  <c r="M43" s="1"/>
  <c r="C24"/>
  <c r="E24" s="1"/>
  <c r="W20"/>
  <c r="Y20" s="1"/>
  <c r="S63"/>
  <c r="U63"/>
  <c r="O106"/>
  <c r="Q106" s="1"/>
  <c r="C30"/>
  <c r="E30" s="1"/>
  <c r="S50"/>
  <c r="U50" s="1"/>
  <c r="K83"/>
  <c r="M83"/>
  <c r="G29"/>
  <c r="I29" s="1"/>
  <c r="O66"/>
  <c r="Q66" s="1"/>
  <c r="W90"/>
  <c r="Y90" s="1"/>
  <c r="C121"/>
  <c r="E121"/>
  <c r="W28"/>
  <c r="Y28" s="1"/>
  <c r="S34"/>
  <c r="U34" s="1"/>
  <c r="O82"/>
  <c r="Q82" s="1"/>
  <c r="S103"/>
  <c r="U103"/>
  <c r="O99"/>
  <c r="Q99" s="1"/>
  <c r="S62"/>
  <c r="U62" s="1"/>
  <c r="S46"/>
  <c r="U46" s="1"/>
  <c r="O25"/>
  <c r="Q25"/>
  <c r="G106"/>
  <c r="I106" s="1"/>
  <c r="C85"/>
  <c r="E85" s="1"/>
  <c r="C69"/>
  <c r="E69" s="1"/>
  <c r="K47"/>
  <c r="M47"/>
  <c r="G22"/>
  <c r="I22" s="1"/>
  <c r="C4"/>
  <c r="E4" s="1"/>
  <c r="K78"/>
  <c r="M78" s="1"/>
  <c r="G121"/>
  <c r="I121"/>
  <c r="S27"/>
  <c r="U27" s="1"/>
  <c r="W48"/>
  <c r="Y48" s="1"/>
  <c r="O70"/>
  <c r="Q70" s="1"/>
  <c r="S91"/>
  <c r="U91"/>
  <c r="W112"/>
  <c r="Y112" s="1"/>
  <c r="W58"/>
  <c r="Y58" s="1"/>
  <c r="S112"/>
  <c r="U112" s="1"/>
  <c r="W47"/>
  <c r="Y47"/>
  <c r="W15"/>
  <c r="Y15" s="1"/>
  <c r="K91"/>
  <c r="M91" s="1"/>
  <c r="C49"/>
  <c r="E49" s="1"/>
  <c r="G42"/>
  <c r="I42"/>
  <c r="O10"/>
  <c r="Q10" s="1"/>
  <c r="O58"/>
  <c r="Q58" s="1"/>
  <c r="O90"/>
  <c r="Q90" s="1"/>
  <c r="S69"/>
  <c r="U69"/>
  <c r="K68"/>
  <c r="M68" s="1"/>
  <c r="S18"/>
  <c r="U18" s="1"/>
  <c r="G81"/>
  <c r="I81" s="1"/>
  <c r="W76"/>
  <c r="Y76"/>
  <c r="G57"/>
  <c r="I57" s="1"/>
  <c r="C57"/>
  <c r="E57" s="1"/>
  <c r="O50"/>
  <c r="Q50" s="1"/>
  <c r="G110"/>
  <c r="I110"/>
  <c r="C82"/>
  <c r="E82" s="1"/>
  <c r="O13"/>
  <c r="Q13" s="1"/>
  <c r="W114"/>
  <c r="Y114" s="1"/>
  <c r="W98"/>
  <c r="Y98"/>
  <c r="S77"/>
  <c r="U77" s="1"/>
  <c r="O40"/>
  <c r="Q40" s="1"/>
  <c r="W18"/>
  <c r="Y18" s="1"/>
  <c r="C122"/>
  <c r="E122"/>
  <c r="K100"/>
  <c r="M100" s="1"/>
  <c r="K84"/>
  <c r="M84" s="1"/>
  <c r="K32"/>
  <c r="M32" s="1"/>
  <c r="K16"/>
  <c r="M16"/>
  <c r="G5"/>
  <c r="I5" s="1"/>
  <c r="W103"/>
  <c r="Y103" s="1"/>
  <c r="C44"/>
  <c r="E44" s="1"/>
  <c r="C60"/>
  <c r="E60"/>
  <c r="C66"/>
  <c r="E66" s="1"/>
  <c r="C50"/>
  <c r="E50" s="1"/>
  <c r="O119"/>
  <c r="Q119" s="1"/>
  <c r="O111"/>
  <c r="Q111"/>
  <c r="S100"/>
  <c r="U100" s="1"/>
  <c r="W81"/>
  <c r="Y81" s="1"/>
  <c r="O71"/>
  <c r="Q71" s="1"/>
  <c r="W65"/>
  <c r="Y65"/>
  <c r="S60"/>
  <c r="U60" s="1"/>
  <c r="S56"/>
  <c r="U56" s="1"/>
  <c r="S52"/>
  <c r="U52" s="1"/>
  <c r="O47"/>
  <c r="Q47"/>
  <c r="O43"/>
  <c r="Q43" s="1"/>
  <c r="W37"/>
  <c r="Y37" s="1"/>
  <c r="W33"/>
  <c r="Y33" s="1"/>
  <c r="W29"/>
  <c r="Y29"/>
  <c r="S24"/>
  <c r="U24" s="1"/>
  <c r="S20"/>
  <c r="U20" s="1"/>
  <c r="O11"/>
  <c r="Q11" s="1"/>
  <c r="W5"/>
  <c r="Y5"/>
  <c r="G116"/>
  <c r="I116" s="1"/>
  <c r="G112"/>
  <c r="I112" s="1"/>
  <c r="C103"/>
  <c r="E103" s="1"/>
  <c r="C99"/>
  <c r="E99"/>
  <c r="K93"/>
  <c r="M93" s="1"/>
  <c r="K89"/>
  <c r="M89" s="1"/>
  <c r="K85"/>
  <c r="M85" s="1"/>
  <c r="G80"/>
  <c r="I80"/>
  <c r="G76"/>
  <c r="I76" s="1"/>
  <c r="K65"/>
  <c r="M65" s="1"/>
  <c r="K57"/>
  <c r="M57" s="1"/>
  <c r="C47"/>
  <c r="E47"/>
  <c r="K9"/>
  <c r="M9" s="1"/>
  <c r="K17"/>
  <c r="M17" s="1"/>
  <c r="G28"/>
  <c r="I28" s="1"/>
  <c r="G36"/>
  <c r="I36"/>
  <c r="K22"/>
  <c r="M22" s="1"/>
  <c r="K38"/>
  <c r="M38" s="1"/>
  <c r="G85"/>
  <c r="I85" s="1"/>
  <c r="K106"/>
  <c r="M106"/>
  <c r="K122"/>
  <c r="M122" s="1"/>
  <c r="G51"/>
  <c r="I51" s="1"/>
  <c r="G67"/>
  <c r="I67" s="1"/>
  <c r="K58"/>
  <c r="M58"/>
  <c r="W123"/>
  <c r="Y123" s="1"/>
  <c r="W107"/>
  <c r="Y107" s="1"/>
  <c r="S86"/>
  <c r="U86" s="1"/>
  <c r="C12"/>
  <c r="E12"/>
  <c r="K28"/>
  <c r="M28" s="1"/>
  <c r="G75"/>
  <c r="I75" s="1"/>
  <c r="K112"/>
  <c r="M112" s="1"/>
  <c r="S9"/>
  <c r="U9"/>
  <c r="S25"/>
  <c r="U25" s="1"/>
  <c r="S41"/>
  <c r="U41" s="1"/>
  <c r="W78"/>
  <c r="Y78" s="1"/>
  <c r="O100"/>
  <c r="Q100"/>
  <c r="O116"/>
  <c r="Q116" s="1"/>
  <c r="W74"/>
  <c r="Y74" s="1"/>
  <c r="G15"/>
  <c r="I15" s="1"/>
  <c r="W111"/>
  <c r="Y111"/>
  <c r="K52"/>
  <c r="M52" s="1"/>
  <c r="W93"/>
  <c r="Y93" s="1"/>
  <c r="O5"/>
  <c r="Q5" s="1"/>
  <c r="C93"/>
  <c r="E93"/>
  <c r="C61"/>
  <c r="E61" s="1"/>
  <c r="K19"/>
  <c r="M19" s="1"/>
  <c r="G72"/>
  <c r="I72" s="1"/>
  <c r="K61"/>
  <c r="M61" s="1"/>
  <c r="C51"/>
  <c r="E51" s="1"/>
  <c r="G8"/>
  <c r="I8"/>
  <c r="C19"/>
  <c r="E19" s="1"/>
  <c r="K29"/>
  <c r="M29" s="1"/>
  <c r="G40"/>
  <c r="I40" s="1"/>
  <c r="K30"/>
  <c r="M30"/>
  <c r="K82"/>
  <c r="M82" s="1"/>
  <c r="C104"/>
  <c r="E104" s="1"/>
  <c r="S5"/>
  <c r="U5" s="1"/>
  <c r="C54"/>
  <c r="E54" s="1"/>
  <c r="C72"/>
  <c r="E72" s="1"/>
  <c r="K50"/>
  <c r="M50"/>
  <c r="S110"/>
  <c r="U110" s="1"/>
  <c r="O89"/>
  <c r="Q89" s="1"/>
  <c r="K4"/>
  <c r="M4" s="1"/>
  <c r="C16"/>
  <c r="E16" s="1"/>
  <c r="K36"/>
  <c r="M36" s="1"/>
  <c r="K88"/>
  <c r="M88"/>
  <c r="C110"/>
  <c r="E110" s="1"/>
  <c r="O12"/>
  <c r="Q12" s="1"/>
  <c r="S33"/>
  <c r="U33" s="1"/>
  <c r="W54"/>
  <c r="Y54"/>
  <c r="O76"/>
  <c r="Q76" s="1"/>
  <c r="O92"/>
  <c r="Q92" s="1"/>
  <c r="S113"/>
  <c r="U113" s="1"/>
  <c r="O64"/>
  <c r="Q64" s="1"/>
  <c r="C98"/>
  <c r="E98" s="1"/>
  <c r="W79"/>
  <c r="Y79"/>
  <c r="G63"/>
  <c r="I63" s="1"/>
  <c r="O83"/>
  <c r="Q83" s="1"/>
  <c r="O33"/>
  <c r="Q33" s="1"/>
  <c r="C109"/>
  <c r="E109" s="1"/>
  <c r="G66"/>
  <c r="I66" s="1"/>
  <c r="C25"/>
  <c r="E25"/>
  <c r="K42"/>
  <c r="M42" s="1"/>
  <c r="C116"/>
  <c r="E116" s="1"/>
  <c r="O30"/>
  <c r="Q30" s="1"/>
  <c r="S51"/>
  <c r="U51"/>
  <c r="W72"/>
  <c r="Y72" s="1"/>
  <c r="O94"/>
  <c r="Q94" s="1"/>
  <c r="S115"/>
  <c r="U115" s="1"/>
  <c r="S37"/>
  <c r="U37" s="1"/>
  <c r="S106"/>
  <c r="U106" s="1"/>
  <c r="S80"/>
  <c r="U80"/>
  <c r="W31"/>
  <c r="Y31" s="1"/>
  <c r="K107"/>
  <c r="M107" s="1"/>
  <c r="C65"/>
  <c r="E65" s="1"/>
  <c r="G26"/>
  <c r="I26" s="1"/>
  <c r="G97"/>
  <c r="I97" s="1"/>
  <c r="O42"/>
  <c r="Q42" s="1"/>
  <c r="W84"/>
  <c r="Y84" s="1"/>
  <c r="O112"/>
  <c r="Q112"/>
  <c r="W117"/>
  <c r="Y117" s="1"/>
  <c r="S6"/>
  <c r="U6" s="1"/>
  <c r="G6"/>
  <c r="I6" s="1"/>
  <c r="S23"/>
  <c r="U23" s="1"/>
  <c r="S87"/>
  <c r="U87" s="1"/>
  <c r="O107"/>
  <c r="Q107" s="1"/>
  <c r="C13"/>
  <c r="E13" s="1"/>
  <c r="O114"/>
  <c r="Q114"/>
  <c r="K18"/>
  <c r="M18" s="1"/>
  <c r="W77"/>
  <c r="Y77" s="1"/>
  <c r="W51"/>
  <c r="Y51" s="1"/>
  <c r="W35"/>
  <c r="Y35" s="1"/>
  <c r="S14"/>
  <c r="U14" s="1"/>
  <c r="C117"/>
  <c r="E117" s="1"/>
  <c r="K95"/>
  <c r="M95" s="1"/>
  <c r="K79"/>
  <c r="M79"/>
  <c r="G58"/>
  <c r="I58" s="1"/>
  <c r="K11"/>
  <c r="M11" s="1"/>
  <c r="C33"/>
  <c r="E33" s="1"/>
  <c r="C100"/>
  <c r="E100" s="1"/>
  <c r="O22"/>
  <c r="Q22" s="1"/>
  <c r="O38"/>
  <c r="Q38" s="1"/>
  <c r="S59"/>
  <c r="U59" s="1"/>
  <c r="W80"/>
  <c r="Y80"/>
  <c r="O102"/>
  <c r="Q102" s="1"/>
  <c r="S123"/>
  <c r="U123" s="1"/>
  <c r="K92"/>
  <c r="M92" s="1"/>
  <c r="K46"/>
  <c r="M46" s="1"/>
  <c r="W69"/>
  <c r="Y69" s="1"/>
  <c r="O37"/>
  <c r="Q37" s="1"/>
  <c r="C113"/>
  <c r="E113" s="1"/>
  <c r="G70"/>
  <c r="I70"/>
  <c r="C21"/>
  <c r="E21" s="1"/>
  <c r="K86"/>
  <c r="M86" s="1"/>
  <c r="W36"/>
  <c r="Y36" s="1"/>
  <c r="S111"/>
  <c r="U111" s="1"/>
  <c r="S74"/>
  <c r="U74" s="1"/>
  <c r="O61"/>
  <c r="Q61" s="1"/>
  <c r="G94"/>
  <c r="I94" s="1"/>
  <c r="G18"/>
  <c r="I18"/>
  <c r="O34"/>
  <c r="Q34" s="1"/>
  <c r="S119"/>
  <c r="U119" s="1"/>
  <c r="W23"/>
  <c r="Y23" s="1"/>
  <c r="G34"/>
  <c r="I34" s="1"/>
  <c r="O48"/>
  <c r="Q48" s="1"/>
  <c r="W60"/>
  <c r="Y60" s="1"/>
  <c r="W122"/>
  <c r="Y122" s="1"/>
  <c r="O104"/>
  <c r="Q104"/>
  <c r="O88"/>
  <c r="Q88" s="1"/>
  <c r="W66"/>
  <c r="Y66" s="1"/>
  <c r="W50"/>
  <c r="Y50" s="1"/>
  <c r="S29"/>
  <c r="U29" s="1"/>
  <c r="S13"/>
  <c r="U13" s="1"/>
  <c r="G111"/>
  <c r="I111" s="1"/>
  <c r="C74"/>
  <c r="E74" s="1"/>
  <c r="C22"/>
  <c r="E22"/>
  <c r="G11"/>
  <c r="I11" s="1"/>
  <c r="O77"/>
  <c r="Q77" s="1"/>
  <c r="O93"/>
  <c r="Q93" s="1"/>
  <c r="S114"/>
  <c r="U114" s="1"/>
  <c r="G49"/>
  <c r="I49" s="1"/>
  <c r="K70"/>
  <c r="M70" s="1"/>
  <c r="G43"/>
  <c r="I43" s="1"/>
  <c r="W113"/>
  <c r="Y113"/>
  <c r="W105"/>
  <c r="Y105" s="1"/>
  <c r="O95"/>
  <c r="Q95" s="1"/>
  <c r="O87"/>
  <c r="Q87" s="1"/>
  <c r="S76"/>
  <c r="U76" s="1"/>
  <c r="S68"/>
  <c r="U68" s="1"/>
  <c r="O63"/>
  <c r="Q63" s="1"/>
  <c r="W53"/>
  <c r="Y53" s="1"/>
  <c r="W49"/>
  <c r="Y49"/>
  <c r="S40"/>
  <c r="U40" s="1"/>
  <c r="S36"/>
  <c r="U36" s="1"/>
  <c r="O27"/>
  <c r="Q27" s="1"/>
  <c r="O23"/>
  <c r="Q23" s="1"/>
  <c r="W17"/>
  <c r="Y17" s="1"/>
  <c r="W13"/>
  <c r="Y13" s="1"/>
  <c r="W9"/>
  <c r="Y9" s="1"/>
  <c r="C123"/>
  <c r="E123"/>
  <c r="C119"/>
  <c r="E119" s="1"/>
  <c r="K113"/>
  <c r="M113" s="1"/>
  <c r="K109"/>
  <c r="M109" s="1"/>
  <c r="K105"/>
  <c r="M105" s="1"/>
  <c r="G100"/>
  <c r="I100" s="1"/>
  <c r="G96"/>
  <c r="I96" s="1"/>
  <c r="C87"/>
  <c r="E87" s="1"/>
  <c r="C83"/>
  <c r="E83"/>
  <c r="C71"/>
  <c r="E71" s="1"/>
  <c r="G60"/>
  <c r="I60" s="1"/>
  <c r="G52"/>
  <c r="I52" s="1"/>
  <c r="C15"/>
  <c r="E15" s="1"/>
  <c r="C23"/>
  <c r="E23" s="1"/>
  <c r="K41"/>
  <c r="M41" s="1"/>
  <c r="C28"/>
  <c r="E28" s="1"/>
  <c r="C96"/>
  <c r="E96"/>
  <c r="G117"/>
  <c r="I117" s="1"/>
  <c r="O14"/>
  <c r="Q14" s="1"/>
  <c r="G69"/>
  <c r="I69" s="1"/>
  <c r="G53"/>
  <c r="I53" s="1"/>
  <c r="O97"/>
  <c r="Q97" s="1"/>
  <c r="O81"/>
  <c r="Q81" s="1"/>
  <c r="C6"/>
  <c r="E6" s="1"/>
  <c r="C18"/>
  <c r="E18"/>
  <c r="G39"/>
  <c r="I39" s="1"/>
  <c r="C86"/>
  <c r="E86" s="1"/>
  <c r="C102"/>
  <c r="E102" s="1"/>
  <c r="C118"/>
  <c r="E118" s="1"/>
  <c r="O36"/>
  <c r="Q36" s="1"/>
  <c r="O52"/>
  <c r="Q52" s="1"/>
  <c r="O68"/>
  <c r="Q68" s="1"/>
  <c r="S89"/>
  <c r="U89"/>
  <c r="O96"/>
  <c r="Q96" s="1"/>
  <c r="O32"/>
  <c r="Q32" s="1"/>
  <c r="G87"/>
  <c r="I87" s="1"/>
  <c r="O69"/>
  <c r="Q69" s="1"/>
  <c r="W109"/>
  <c r="Y109" s="1"/>
  <c r="W59"/>
  <c r="Y59" s="1"/>
  <c r="W27"/>
  <c r="Y27" s="1"/>
  <c r="G114"/>
  <c r="I114"/>
  <c r="C9"/>
  <c r="E9" s="1"/>
  <c r="K43" i="1"/>
  <c r="K47" s="1"/>
  <c r="E5"/>
  <c r="L43"/>
  <c r="L47" s="1"/>
  <c r="L45"/>
  <c r="L49" s="1"/>
  <c r="J5"/>
  <c r="M45"/>
  <c r="M49" s="1"/>
  <c r="K45"/>
  <c r="K49" s="1"/>
  <c r="G62"/>
  <c r="I43"/>
  <c r="I47" s="1"/>
  <c r="H52"/>
  <c r="I45"/>
  <c r="I49"/>
  <c r="G64"/>
  <c r="H83"/>
  <c r="H87" s="1"/>
  <c r="G72"/>
  <c r="G74" s="1"/>
  <c r="H66"/>
  <c r="J54"/>
  <c r="G54" s="1"/>
  <c r="G76"/>
  <c r="I76" s="1"/>
  <c r="G60"/>
  <c r="I124" i="31"/>
  <c r="O140" i="9"/>
  <c r="I12" i="39"/>
  <c r="I33"/>
  <c r="E47"/>
  <c r="E4" i="53"/>
  <c r="E4" i="60"/>
  <c r="E4" i="61"/>
  <c r="G4" i="55"/>
  <c r="AU6" i="24"/>
  <c r="F4" i="54"/>
  <c r="AT6" i="24"/>
  <c r="H96" i="1"/>
  <c r="H97" s="1"/>
  <c r="J96"/>
  <c r="J97" s="1"/>
  <c r="I96"/>
  <c r="I97" s="1"/>
  <c r="G96"/>
  <c r="G97" s="1"/>
  <c r="L94"/>
  <c r="K96"/>
  <c r="K97"/>
  <c r="L95"/>
  <c r="I82"/>
  <c r="G85"/>
  <c r="AA6" i="71"/>
  <c r="I19" i="1" s="1"/>
  <c r="E5" i="56"/>
  <c r="J6" i="79"/>
  <c r="E4" i="54"/>
  <c r="F74" i="1"/>
  <c r="F87" s="1"/>
  <c r="F85"/>
  <c r="H85"/>
  <c r="H74"/>
  <c r="I79"/>
  <c r="G53"/>
  <c r="I71"/>
  <c r="F96"/>
  <c r="F97" s="1"/>
  <c r="G52"/>
  <c r="I84"/>
  <c r="I73"/>
  <c r="AB66" i="71"/>
  <c r="AB102"/>
  <c r="AB82"/>
  <c r="AA77"/>
  <c r="AC38"/>
  <c r="AB98"/>
  <c r="AB50"/>
  <c r="AB108"/>
  <c r="AC86"/>
  <c r="AC8"/>
  <c r="AB42"/>
  <c r="AC104"/>
  <c r="AB6"/>
  <c r="I20" i="1"/>
  <c r="AC70" i="71"/>
  <c r="AA116"/>
  <c r="AB26"/>
  <c r="AB14"/>
  <c r="AB58"/>
  <c r="AB78"/>
  <c r="AA61"/>
  <c r="AB30"/>
  <c r="AA21"/>
  <c r="AA13"/>
  <c r="AC111"/>
  <c r="AC78"/>
  <c r="AC30"/>
  <c r="AB117"/>
  <c r="AB111"/>
  <c r="AA101"/>
  <c r="AB94"/>
  <c r="AB11"/>
  <c r="AC94"/>
  <c r="AC14"/>
  <c r="AB90"/>
  <c r="AA85"/>
  <c r="AA53"/>
  <c r="AA37"/>
  <c r="AB22"/>
  <c r="AC114"/>
  <c r="AB7"/>
  <c r="G20" i="1"/>
  <c r="AB74" i="71"/>
  <c r="AA69"/>
  <c r="AB54"/>
  <c r="AC102"/>
  <c r="AA106"/>
  <c r="AB62"/>
  <c r="AA45"/>
  <c r="AB34"/>
  <c r="AC117"/>
  <c r="AC62"/>
  <c r="AA93"/>
  <c r="AB46"/>
  <c r="AA29"/>
  <c r="AB18"/>
  <c r="AC46"/>
  <c r="Z9"/>
  <c r="AA11"/>
  <c r="AC12"/>
  <c r="AC11"/>
  <c r="AA124"/>
  <c r="AB124"/>
  <c r="AA119"/>
  <c r="AA107"/>
  <c r="AA97"/>
  <c r="AA81"/>
  <c r="AA65"/>
  <c r="AA49"/>
  <c r="AA33"/>
  <c r="AA17"/>
  <c r="AC108"/>
  <c r="AC98"/>
  <c r="AC82"/>
  <c r="AC66"/>
  <c r="AC50"/>
  <c r="AC34"/>
  <c r="AC18"/>
  <c r="Z98"/>
  <c r="AB12"/>
  <c r="Z10"/>
  <c r="Z108"/>
  <c r="AB10"/>
  <c r="AJ124"/>
  <c r="V124"/>
  <c r="R124"/>
  <c r="V112"/>
  <c r="R112"/>
  <c r="AJ112"/>
  <c r="V103"/>
  <c r="R103"/>
  <c r="AJ103"/>
  <c r="V88"/>
  <c r="R88"/>
  <c r="AJ88"/>
  <c r="V72"/>
  <c r="R72"/>
  <c r="AJ72"/>
  <c r="V56"/>
  <c r="R56"/>
  <c r="AJ56"/>
  <c r="V40"/>
  <c r="R40"/>
  <c r="AJ40"/>
  <c r="V24"/>
  <c r="R24"/>
  <c r="AJ24"/>
  <c r="AJ113"/>
  <c r="V113"/>
  <c r="R113"/>
  <c r="AJ89"/>
  <c r="V89"/>
  <c r="R89"/>
  <c r="AJ73"/>
  <c r="V73"/>
  <c r="R73"/>
  <c r="AJ57"/>
  <c r="V57"/>
  <c r="R57"/>
  <c r="AJ41"/>
  <c r="V41"/>
  <c r="R41"/>
  <c r="AJ25"/>
  <c r="V25"/>
  <c r="R25"/>
  <c r="AJ111"/>
  <c r="V111"/>
  <c r="R111"/>
  <c r="AJ102"/>
  <c r="V102"/>
  <c r="R102"/>
  <c r="AJ86"/>
  <c r="V86"/>
  <c r="R86"/>
  <c r="AJ70"/>
  <c r="V70"/>
  <c r="R70"/>
  <c r="AJ54"/>
  <c r="V54"/>
  <c r="R54"/>
  <c r="AJ38"/>
  <c r="V38"/>
  <c r="R38"/>
  <c r="AJ22"/>
  <c r="V22"/>
  <c r="R22"/>
  <c r="V10"/>
  <c r="R10"/>
  <c r="AJ10"/>
  <c r="Z115"/>
  <c r="Z112"/>
  <c r="Z110"/>
  <c r="Z103"/>
  <c r="Z100"/>
  <c r="Z96"/>
  <c r="Z92"/>
  <c r="Z88"/>
  <c r="Z84"/>
  <c r="Z80"/>
  <c r="Z76"/>
  <c r="Z72"/>
  <c r="Z68"/>
  <c r="Z64"/>
  <c r="Z60"/>
  <c r="Z56"/>
  <c r="Z52"/>
  <c r="Z48"/>
  <c r="Z44"/>
  <c r="Z40"/>
  <c r="Z36"/>
  <c r="Z32"/>
  <c r="Z28"/>
  <c r="Z24"/>
  <c r="Z20"/>
  <c r="Z16"/>
  <c r="AB119"/>
  <c r="AB116"/>
  <c r="AB113"/>
  <c r="AB107"/>
  <c r="AB106"/>
  <c r="AB101"/>
  <c r="AB97"/>
  <c r="AB93"/>
  <c r="AB89"/>
  <c r="AB85"/>
  <c r="AB81"/>
  <c r="AB77"/>
  <c r="AB73"/>
  <c r="AB69"/>
  <c r="AB65"/>
  <c r="AB61"/>
  <c r="AB57"/>
  <c r="AB53"/>
  <c r="AB49"/>
  <c r="AB45"/>
  <c r="AB41"/>
  <c r="AB37"/>
  <c r="AB33"/>
  <c r="AB29"/>
  <c r="AB25"/>
  <c r="AB21"/>
  <c r="AB17"/>
  <c r="AB13"/>
  <c r="AB112"/>
  <c r="AB103"/>
  <c r="AB88"/>
  <c r="AB72"/>
  <c r="AB56"/>
  <c r="AB40"/>
  <c r="AB24"/>
  <c r="Z119"/>
  <c r="Z113"/>
  <c r="Z107"/>
  <c r="Z101"/>
  <c r="Z97"/>
  <c r="Z89"/>
  <c r="Z85"/>
  <c r="Z81"/>
  <c r="Z73"/>
  <c r="Z69"/>
  <c r="Z65"/>
  <c r="Z57"/>
  <c r="Z53"/>
  <c r="Z49"/>
  <c r="Z41"/>
  <c r="Z37"/>
  <c r="Z33"/>
  <c r="Z25"/>
  <c r="Z21"/>
  <c r="Z17"/>
  <c r="AA10"/>
  <c r="AC6"/>
  <c r="I21" i="1"/>
  <c r="Z7" i="71"/>
  <c r="V115"/>
  <c r="R115"/>
  <c r="AJ115"/>
  <c r="V92"/>
  <c r="R92"/>
  <c r="AJ92"/>
  <c r="V76"/>
  <c r="R76"/>
  <c r="AJ76"/>
  <c r="V60"/>
  <c r="R60"/>
  <c r="AJ60"/>
  <c r="V44"/>
  <c r="R44"/>
  <c r="AJ44"/>
  <c r="V28"/>
  <c r="R28"/>
  <c r="AJ28"/>
  <c r="AJ116"/>
  <c r="V116"/>
  <c r="R116"/>
  <c r="AJ106"/>
  <c r="V106"/>
  <c r="R106"/>
  <c r="AJ93"/>
  <c r="V93"/>
  <c r="R93"/>
  <c r="AJ77"/>
  <c r="V77"/>
  <c r="R77"/>
  <c r="AJ61"/>
  <c r="V61"/>
  <c r="R61"/>
  <c r="AJ45"/>
  <c r="V45"/>
  <c r="R45"/>
  <c r="AJ29"/>
  <c r="V29"/>
  <c r="R29"/>
  <c r="AJ13"/>
  <c r="V13"/>
  <c r="R13"/>
  <c r="AJ114"/>
  <c r="V114"/>
  <c r="R114"/>
  <c r="AJ104"/>
  <c r="V104"/>
  <c r="R104"/>
  <c r="AJ90"/>
  <c r="V90"/>
  <c r="R90"/>
  <c r="AJ74"/>
  <c r="V74"/>
  <c r="R74"/>
  <c r="AJ58"/>
  <c r="V58"/>
  <c r="R58"/>
  <c r="AJ42"/>
  <c r="V42"/>
  <c r="R42"/>
  <c r="AJ26"/>
  <c r="V26"/>
  <c r="R26"/>
  <c r="V8"/>
  <c r="R8"/>
  <c r="AJ8"/>
  <c r="AJ7"/>
  <c r="G22" i="1"/>
  <c r="V7" i="71"/>
  <c r="G16" i="1" s="1"/>
  <c r="R7" i="71"/>
  <c r="G17" i="1"/>
  <c r="AJ6" i="71"/>
  <c r="I22" i="1" s="1"/>
  <c r="V6" i="71"/>
  <c r="I16" i="1"/>
  <c r="R6" i="71"/>
  <c r="I17" i="1" s="1"/>
  <c r="AC116" i="71"/>
  <c r="AC113"/>
  <c r="AC106"/>
  <c r="AC93"/>
  <c r="AC89"/>
  <c r="AC77"/>
  <c r="AC73"/>
  <c r="AC61"/>
  <c r="AC57"/>
  <c r="AC45"/>
  <c r="AC41"/>
  <c r="AC29"/>
  <c r="AC25"/>
  <c r="AC13"/>
  <c r="AA114"/>
  <c r="AA111"/>
  <c r="AA104"/>
  <c r="AA102"/>
  <c r="AA90"/>
  <c r="AA86"/>
  <c r="AA82"/>
  <c r="AA74"/>
  <c r="AA70"/>
  <c r="AA66"/>
  <c r="AA58"/>
  <c r="AA54"/>
  <c r="AA50"/>
  <c r="AA42"/>
  <c r="AA38"/>
  <c r="AA34"/>
  <c r="AA26"/>
  <c r="AA22"/>
  <c r="AA18"/>
  <c r="AA8"/>
  <c r="AB8"/>
  <c r="V96"/>
  <c r="R96"/>
  <c r="AJ96"/>
  <c r="V80"/>
  <c r="R80"/>
  <c r="AJ80"/>
  <c r="V64"/>
  <c r="R64"/>
  <c r="AJ64"/>
  <c r="V48"/>
  <c r="R48"/>
  <c r="AJ48"/>
  <c r="V32"/>
  <c r="R32"/>
  <c r="AJ32"/>
  <c r="V16"/>
  <c r="R16"/>
  <c r="AJ16"/>
  <c r="AJ119"/>
  <c r="V119"/>
  <c r="R119"/>
  <c r="AJ107"/>
  <c r="V107"/>
  <c r="R107"/>
  <c r="AJ97"/>
  <c r="V97"/>
  <c r="R97"/>
  <c r="AJ81"/>
  <c r="V81"/>
  <c r="R81"/>
  <c r="AJ65"/>
  <c r="V65"/>
  <c r="R65"/>
  <c r="AJ49"/>
  <c r="V49"/>
  <c r="R49"/>
  <c r="AJ33"/>
  <c r="V33"/>
  <c r="R33"/>
  <c r="AJ17"/>
  <c r="V17"/>
  <c r="R17"/>
  <c r="AJ117"/>
  <c r="V117"/>
  <c r="R117"/>
  <c r="AJ94"/>
  <c r="V94"/>
  <c r="R94"/>
  <c r="AJ78"/>
  <c r="V78"/>
  <c r="R78"/>
  <c r="AJ62"/>
  <c r="V62"/>
  <c r="R62"/>
  <c r="AJ46"/>
  <c r="V46"/>
  <c r="R46"/>
  <c r="AJ30"/>
  <c r="V30"/>
  <c r="R30"/>
  <c r="AJ14"/>
  <c r="V14"/>
  <c r="R14"/>
  <c r="Z124"/>
  <c r="Z117"/>
  <c r="Z114"/>
  <c r="Z104"/>
  <c r="Z94"/>
  <c r="Z90"/>
  <c r="Z86"/>
  <c r="Z78"/>
  <c r="Z74"/>
  <c r="Z70"/>
  <c r="Z62"/>
  <c r="Z58"/>
  <c r="Z54"/>
  <c r="Z46"/>
  <c r="Z42"/>
  <c r="Z38"/>
  <c r="Z30"/>
  <c r="Z26"/>
  <c r="Z22"/>
  <c r="Z14"/>
  <c r="V110"/>
  <c r="R110"/>
  <c r="AJ110"/>
  <c r="V100"/>
  <c r="R100"/>
  <c r="AJ100"/>
  <c r="V84"/>
  <c r="R84"/>
  <c r="AJ84"/>
  <c r="V68"/>
  <c r="R68"/>
  <c r="AJ68"/>
  <c r="V52"/>
  <c r="R52"/>
  <c r="AJ52"/>
  <c r="V36"/>
  <c r="R36"/>
  <c r="AJ36"/>
  <c r="V20"/>
  <c r="R20"/>
  <c r="AJ20"/>
  <c r="AJ101"/>
  <c r="V101"/>
  <c r="R101"/>
  <c r="AJ85"/>
  <c r="V85"/>
  <c r="R85"/>
  <c r="AJ69"/>
  <c r="V69"/>
  <c r="R69"/>
  <c r="AJ53"/>
  <c r="V53"/>
  <c r="R53"/>
  <c r="AJ37"/>
  <c r="V37"/>
  <c r="R37"/>
  <c r="AJ21"/>
  <c r="V21"/>
  <c r="R21"/>
  <c r="AJ108"/>
  <c r="V108"/>
  <c r="R108"/>
  <c r="AJ98"/>
  <c r="V98"/>
  <c r="R98"/>
  <c r="AJ82"/>
  <c r="V82"/>
  <c r="R82"/>
  <c r="AJ66"/>
  <c r="V66"/>
  <c r="R66"/>
  <c r="AJ50"/>
  <c r="V50"/>
  <c r="R50"/>
  <c r="AJ34"/>
  <c r="V34"/>
  <c r="R34"/>
  <c r="AJ18"/>
  <c r="V18"/>
  <c r="R18"/>
  <c r="AJ12"/>
  <c r="V12"/>
  <c r="R12"/>
  <c r="AJ11"/>
  <c r="V11"/>
  <c r="R11"/>
  <c r="AA115"/>
  <c r="AA112"/>
  <c r="AA110"/>
  <c r="AA103"/>
  <c r="AA100"/>
  <c r="AA96"/>
  <c r="AA92"/>
  <c r="AA88"/>
  <c r="AA84"/>
  <c r="AA80"/>
  <c r="AA76"/>
  <c r="AA72"/>
  <c r="AA68"/>
  <c r="AA64"/>
  <c r="AA60"/>
  <c r="AA56"/>
  <c r="AA52"/>
  <c r="AA48"/>
  <c r="AA44"/>
  <c r="AA40"/>
  <c r="AA36"/>
  <c r="AA32"/>
  <c r="AA28"/>
  <c r="AA24"/>
  <c r="AA20"/>
  <c r="AA16"/>
  <c r="AC115"/>
  <c r="AC112"/>
  <c r="AC110"/>
  <c r="AC103"/>
  <c r="AC100"/>
  <c r="AC96"/>
  <c r="AC92"/>
  <c r="AC88"/>
  <c r="AC84"/>
  <c r="AC80"/>
  <c r="AC76"/>
  <c r="AC72"/>
  <c r="AC68"/>
  <c r="AC64"/>
  <c r="AC60"/>
  <c r="AC56"/>
  <c r="AC52"/>
  <c r="AC48"/>
  <c r="AC44"/>
  <c r="AC40"/>
  <c r="AC36"/>
  <c r="AC32"/>
  <c r="AC28"/>
  <c r="AC24"/>
  <c r="AC20"/>
  <c r="AC16"/>
  <c r="AC7"/>
  <c r="G21" i="1"/>
  <c r="AA12" i="71"/>
  <c r="AJ9"/>
  <c r="V9"/>
  <c r="R9"/>
  <c r="AA9"/>
  <c r="AB9"/>
  <c r="G44" i="1"/>
  <c r="O4" i="53"/>
  <c r="R4"/>
  <c r="S4"/>
  <c r="Q4"/>
  <c r="P4"/>
  <c r="U6" i="24"/>
  <c r="E6"/>
  <c r="H28" i="1" s="1"/>
  <c r="AG6" i="24"/>
  <c r="I6"/>
  <c r="H32" i="1"/>
  <c r="AM6" i="24"/>
  <c r="K6" s="1"/>
  <c r="H34" i="1" s="1"/>
  <c r="AS6" i="24"/>
  <c r="M6" s="1"/>
  <c r="H36" i="1" s="1"/>
  <c r="X6" i="24"/>
  <c r="F6"/>
  <c r="H29" i="1" s="1"/>
  <c r="AJ6" i="24"/>
  <c r="J6"/>
  <c r="AA6"/>
  <c r="G6" s="1"/>
  <c r="H30" i="1" s="1"/>
  <c r="AV6" i="24"/>
  <c r="N6"/>
  <c r="H37" i="1" s="1"/>
  <c r="AD6" i="24"/>
  <c r="H6"/>
  <c r="H31" i="1"/>
  <c r="H33"/>
  <c r="F33"/>
  <c r="C124" i="40"/>
  <c r="C125" s="1"/>
  <c r="N6" i="79"/>
  <c r="V45"/>
  <c r="V53"/>
  <c r="V31"/>
  <c r="V41"/>
  <c r="V75"/>
  <c r="V35"/>
  <c r="F60"/>
  <c r="W60" s="1"/>
  <c r="F126"/>
  <c r="V126" s="1"/>
  <c r="W121"/>
  <c r="W81"/>
  <c r="W37"/>
  <c r="W53"/>
  <c r="W29"/>
  <c r="W30"/>
  <c r="S140" i="9"/>
  <c r="V57" i="79"/>
  <c r="V21"/>
  <c r="V32"/>
  <c r="V51"/>
  <c r="V27"/>
  <c r="V77"/>
  <c r="V43"/>
  <c r="F69"/>
  <c r="F116"/>
  <c r="V116" s="1"/>
  <c r="F42"/>
  <c r="W45"/>
  <c r="W11"/>
  <c r="W48"/>
  <c r="W32"/>
  <c r="W117"/>
  <c r="V49"/>
  <c r="V25"/>
  <c r="V33"/>
  <c r="V29"/>
  <c r="V9"/>
  <c r="V81"/>
  <c r="V117"/>
  <c r="V48"/>
  <c r="W85"/>
  <c r="K6"/>
  <c r="W49"/>
  <c r="W33"/>
  <c r="W27"/>
  <c r="F83"/>
  <c r="G83" s="1"/>
  <c r="F84"/>
  <c r="F108"/>
  <c r="V108" s="1"/>
  <c r="V17"/>
  <c r="V13"/>
  <c r="V26"/>
  <c r="V61"/>
  <c r="V30"/>
  <c r="V59"/>
  <c r="V85"/>
  <c r="V37"/>
  <c r="V121"/>
  <c r="V107"/>
  <c r="V11"/>
  <c r="W43"/>
  <c r="W31"/>
  <c r="W9"/>
  <c r="W13"/>
  <c r="W51"/>
  <c r="W35"/>
  <c r="W107"/>
  <c r="W42"/>
  <c r="W26"/>
  <c r="F67"/>
  <c r="W67" s="1"/>
  <c r="G84"/>
  <c r="Q84" s="1"/>
  <c r="G7"/>
  <c r="T7" s="1"/>
  <c r="F122"/>
  <c r="F106"/>
  <c r="W106" s="1"/>
  <c r="F86"/>
  <c r="F70"/>
  <c r="G70" s="1"/>
  <c r="F54"/>
  <c r="W54" s="1"/>
  <c r="F22"/>
  <c r="G22" s="1"/>
  <c r="F119"/>
  <c r="F103"/>
  <c r="F87"/>
  <c r="F71"/>
  <c r="G71" s="1"/>
  <c r="F55"/>
  <c r="D4" i="53"/>
  <c r="E6" i="79" s="1"/>
  <c r="E116" i="55"/>
  <c r="K18" i="79"/>
  <c r="W21"/>
  <c r="K45"/>
  <c r="K46"/>
  <c r="K50"/>
  <c r="K53"/>
  <c r="K54"/>
  <c r="K70"/>
  <c r="K102"/>
  <c r="K105"/>
  <c r="K106"/>
  <c r="K109"/>
  <c r="K113"/>
  <c r="K114"/>
  <c r="K115"/>
  <c r="K116"/>
  <c r="K118"/>
  <c r="O57"/>
  <c r="O67"/>
  <c r="O75"/>
  <c r="O95"/>
  <c r="O121"/>
  <c r="X17"/>
  <c r="X48"/>
  <c r="N55"/>
  <c r="X55" s="1"/>
  <c r="X85"/>
  <c r="X107"/>
  <c r="G69"/>
  <c r="Q69" s="1"/>
  <c r="G73"/>
  <c r="Q73" s="1"/>
  <c r="G75"/>
  <c r="S75" s="1"/>
  <c r="G76"/>
  <c r="S76"/>
  <c r="G77"/>
  <c r="T77" s="1"/>
  <c r="G81"/>
  <c r="Q81" s="1"/>
  <c r="G124"/>
  <c r="Q124" s="1"/>
  <c r="G125"/>
  <c r="T125" s="1"/>
  <c r="G126"/>
  <c r="T126" s="1"/>
  <c r="F110"/>
  <c r="G110" s="1"/>
  <c r="F90"/>
  <c r="F74"/>
  <c r="W74" s="1"/>
  <c r="F58"/>
  <c r="F34"/>
  <c r="S34" s="1"/>
  <c r="F120"/>
  <c r="G120" s="1"/>
  <c r="F104"/>
  <c r="V104" s="1"/>
  <c r="F98"/>
  <c r="F88"/>
  <c r="F72"/>
  <c r="F56"/>
  <c r="G56" s="1"/>
  <c r="F8"/>
  <c r="G8" s="1"/>
  <c r="K7"/>
  <c r="K8"/>
  <c r="K9"/>
  <c r="K10"/>
  <c r="K11"/>
  <c r="K12"/>
  <c r="K13"/>
  <c r="K14"/>
  <c r="K15"/>
  <c r="K26"/>
  <c r="K29"/>
  <c r="K30"/>
  <c r="K33"/>
  <c r="K34"/>
  <c r="K38"/>
  <c r="K66"/>
  <c r="K92"/>
  <c r="K93"/>
  <c r="K97"/>
  <c r="K98"/>
  <c r="X51"/>
  <c r="X61"/>
  <c r="N88"/>
  <c r="N126"/>
  <c r="O126" s="1"/>
  <c r="G109"/>
  <c r="T109" s="1"/>
  <c r="G112"/>
  <c r="Q112" s="1"/>
  <c r="G113"/>
  <c r="Q113" s="1"/>
  <c r="G115"/>
  <c r="S115" s="1"/>
  <c r="G117"/>
  <c r="Q117" s="1"/>
  <c r="G121"/>
  <c r="S121"/>
  <c r="G122"/>
  <c r="R122" s="1"/>
  <c r="F114"/>
  <c r="F94"/>
  <c r="G94" s="1"/>
  <c r="F78"/>
  <c r="F62"/>
  <c r="V62" s="1"/>
  <c r="F46"/>
  <c r="G46" s="1"/>
  <c r="F100"/>
  <c r="G100" s="1"/>
  <c r="T100" s="1"/>
  <c r="F111"/>
  <c r="F99"/>
  <c r="W99" s="1"/>
  <c r="F95"/>
  <c r="W95" s="1"/>
  <c r="F79"/>
  <c r="F63"/>
  <c r="F24"/>
  <c r="G24" s="1"/>
  <c r="E95" i="55"/>
  <c r="E4"/>
  <c r="F6" i="79" s="1"/>
  <c r="K62"/>
  <c r="K78"/>
  <c r="K85"/>
  <c r="K87"/>
  <c r="O88"/>
  <c r="X11"/>
  <c r="X13"/>
  <c r="X30"/>
  <c r="X31"/>
  <c r="X32"/>
  <c r="X57"/>
  <c r="X75"/>
  <c r="X95"/>
  <c r="X121"/>
  <c r="N125"/>
  <c r="W125" s="1"/>
  <c r="V112"/>
  <c r="G9"/>
  <c r="S9" s="1"/>
  <c r="G10"/>
  <c r="Q10" s="1"/>
  <c r="G11"/>
  <c r="Q11" s="1"/>
  <c r="G12"/>
  <c r="S12" s="1"/>
  <c r="G13"/>
  <c r="Q13" s="1"/>
  <c r="S13"/>
  <c r="G14"/>
  <c r="Q14" s="1"/>
  <c r="G15"/>
  <c r="S15" s="1"/>
  <c r="G16"/>
  <c r="T16" s="1"/>
  <c r="G17"/>
  <c r="S17" s="1"/>
  <c r="G19"/>
  <c r="Q19" s="1"/>
  <c r="G20"/>
  <c r="S20" s="1"/>
  <c r="G21"/>
  <c r="S21" s="1"/>
  <c r="T21"/>
  <c r="G23"/>
  <c r="S23" s="1"/>
  <c r="G25"/>
  <c r="T25" s="1"/>
  <c r="G26"/>
  <c r="Q26" s="1"/>
  <c r="G27"/>
  <c r="T27" s="1"/>
  <c r="G28"/>
  <c r="R28" s="1"/>
  <c r="G29"/>
  <c r="S29"/>
  <c r="Q29"/>
  <c r="G30"/>
  <c r="T30" s="1"/>
  <c r="G31"/>
  <c r="T31" s="1"/>
  <c r="G32"/>
  <c r="R32" s="1"/>
  <c r="G33"/>
  <c r="Q33" s="1"/>
  <c r="G34"/>
  <c r="T34" s="1"/>
  <c r="G35"/>
  <c r="T35" s="1"/>
  <c r="G36"/>
  <c r="T36" s="1"/>
  <c r="G37"/>
  <c r="S37" s="1"/>
  <c r="G38"/>
  <c r="Q38" s="1"/>
  <c r="G39"/>
  <c r="R39" s="1"/>
  <c r="G41"/>
  <c r="Q41" s="1"/>
  <c r="G42"/>
  <c r="Q42" s="1"/>
  <c r="G43"/>
  <c r="T43" s="1"/>
  <c r="G44"/>
  <c r="R44" s="1"/>
  <c r="G45"/>
  <c r="S45" s="1"/>
  <c r="Q45"/>
  <c r="G47"/>
  <c r="Q47" s="1"/>
  <c r="G48"/>
  <c r="S48" s="1"/>
  <c r="G49"/>
  <c r="T49" s="1"/>
  <c r="G51"/>
  <c r="T51" s="1"/>
  <c r="R51"/>
  <c r="G52"/>
  <c r="Q52" s="1"/>
  <c r="G53"/>
  <c r="Q53" s="1"/>
  <c r="G54"/>
  <c r="Q54" s="1"/>
  <c r="G55"/>
  <c r="R55" s="1"/>
  <c r="G57"/>
  <c r="S57" s="1"/>
  <c r="T57"/>
  <c r="G58"/>
  <c r="T58" s="1"/>
  <c r="R58"/>
  <c r="G59"/>
  <c r="T59" s="1"/>
  <c r="G60"/>
  <c r="R60" s="1"/>
  <c r="G61"/>
  <c r="Q61" s="1"/>
  <c r="G62"/>
  <c r="T62" s="1"/>
  <c r="G65"/>
  <c r="S65" s="1"/>
  <c r="G67"/>
  <c r="R67" s="1"/>
  <c r="G85"/>
  <c r="R85" s="1"/>
  <c r="G86"/>
  <c r="R86" s="1"/>
  <c r="G87"/>
  <c r="T87" s="1"/>
  <c r="G89"/>
  <c r="S89" s="1"/>
  <c r="G90"/>
  <c r="Q90" s="1"/>
  <c r="G91"/>
  <c r="S91"/>
  <c r="T91"/>
  <c r="G92"/>
  <c r="Q92" s="1"/>
  <c r="G93"/>
  <c r="R93" s="1"/>
  <c r="G95"/>
  <c r="Q95" s="1"/>
  <c r="G98"/>
  <c r="Q98" s="1"/>
  <c r="G99"/>
  <c r="Q99" s="1"/>
  <c r="G104"/>
  <c r="R104" s="1"/>
  <c r="G105"/>
  <c r="R105" s="1"/>
  <c r="G106"/>
  <c r="Q106" s="1"/>
  <c r="G107"/>
  <c r="T107" s="1"/>
  <c r="G108"/>
  <c r="Q108" s="1"/>
  <c r="F118"/>
  <c r="W118" s="1"/>
  <c r="F102"/>
  <c r="G102" s="1"/>
  <c r="F82"/>
  <c r="F66"/>
  <c r="G66" s="1"/>
  <c r="F50"/>
  <c r="W50" s="1"/>
  <c r="F18"/>
  <c r="V18" s="1"/>
  <c r="F101"/>
  <c r="F96"/>
  <c r="G96" s="1"/>
  <c r="F80"/>
  <c r="F64"/>
  <c r="G64" s="1"/>
  <c r="F40"/>
  <c r="R7"/>
  <c r="F68"/>
  <c r="G68" s="1"/>
  <c r="R84"/>
  <c r="F123"/>
  <c r="W123" s="1"/>
  <c r="W17"/>
  <c r="K20"/>
  <c r="K22"/>
  <c r="K58"/>
  <c r="W61"/>
  <c r="K73"/>
  <c r="K74"/>
  <c r="W77"/>
  <c r="W100"/>
  <c r="X53"/>
  <c r="X54"/>
  <c r="X58"/>
  <c r="X59"/>
  <c r="X84"/>
  <c r="X99"/>
  <c r="X120"/>
  <c r="K17"/>
  <c r="K24"/>
  <c r="K42"/>
  <c r="K43"/>
  <c r="K44"/>
  <c r="K47"/>
  <c r="K48"/>
  <c r="K49"/>
  <c r="K51"/>
  <c r="K52"/>
  <c r="K55"/>
  <c r="K56"/>
  <c r="K57"/>
  <c r="K72"/>
  <c r="K90"/>
  <c r="K91"/>
  <c r="O18"/>
  <c r="O30"/>
  <c r="O32"/>
  <c r="O50"/>
  <c r="O54"/>
  <c r="O58"/>
  <c r="O70"/>
  <c r="O74"/>
  <c r="N92"/>
  <c r="X92" s="1"/>
  <c r="X37"/>
  <c r="N38"/>
  <c r="X38" s="1"/>
  <c r="X29"/>
  <c r="X25"/>
  <c r="X21"/>
  <c r="N105"/>
  <c r="O105" s="1"/>
  <c r="N96"/>
  <c r="X96" s="1"/>
  <c r="N79"/>
  <c r="W79" s="1"/>
  <c r="N65"/>
  <c r="X65" s="1"/>
  <c r="N114"/>
  <c r="X114" s="1"/>
  <c r="N110"/>
  <c r="X110" s="1"/>
  <c r="N93"/>
  <c r="X93" s="1"/>
  <c r="K16"/>
  <c r="K23"/>
  <c r="W25"/>
  <c r="K37"/>
  <c r="K39"/>
  <c r="K40"/>
  <c r="W59"/>
  <c r="K63"/>
  <c r="K64"/>
  <c r="K71"/>
  <c r="W75"/>
  <c r="K79"/>
  <c r="K80"/>
  <c r="K81"/>
  <c r="K82"/>
  <c r="K83"/>
  <c r="K84"/>
  <c r="K86"/>
  <c r="K88"/>
  <c r="K99"/>
  <c r="K100"/>
  <c r="K124"/>
  <c r="M6"/>
  <c r="X41"/>
  <c r="N15"/>
  <c r="O15" s="1"/>
  <c r="N39"/>
  <c r="O39" s="1"/>
  <c r="X34"/>
  <c r="X26"/>
  <c r="N22"/>
  <c r="X22" s="1"/>
  <c r="N7"/>
  <c r="X106"/>
  <c r="N80"/>
  <c r="X80" s="1"/>
  <c r="N62"/>
  <c r="X62" s="1"/>
  <c r="N40"/>
  <c r="V40" s="1"/>
  <c r="N111"/>
  <c r="X111"/>
  <c r="N94"/>
  <c r="N10"/>
  <c r="X10" s="1"/>
  <c r="N16"/>
  <c r="X16" s="1"/>
  <c r="N20"/>
  <c r="V20" s="1"/>
  <c r="N44"/>
  <c r="X44" s="1"/>
  <c r="N52"/>
  <c r="X52"/>
  <c r="N56"/>
  <c r="X60"/>
  <c r="N69"/>
  <c r="X69"/>
  <c r="N73"/>
  <c r="X73" s="1"/>
  <c r="N83"/>
  <c r="W83" s="1"/>
  <c r="N87"/>
  <c r="X87" s="1"/>
  <c r="N91"/>
  <c r="X91" s="1"/>
  <c r="N103"/>
  <c r="X103" s="1"/>
  <c r="K21"/>
  <c r="K27"/>
  <c r="K28"/>
  <c r="K31"/>
  <c r="K32"/>
  <c r="K35"/>
  <c r="K36"/>
  <c r="W41"/>
  <c r="W57"/>
  <c r="K60"/>
  <c r="K76"/>
  <c r="W91"/>
  <c r="K94"/>
  <c r="K95"/>
  <c r="K96"/>
  <c r="K103"/>
  <c r="K104"/>
  <c r="K107"/>
  <c r="K108"/>
  <c r="K110"/>
  <c r="K111"/>
  <c r="K112"/>
  <c r="K117"/>
  <c r="K119"/>
  <c r="K120"/>
  <c r="K121"/>
  <c r="K122"/>
  <c r="K123"/>
  <c r="D4" i="57"/>
  <c r="L6" i="79" s="1"/>
  <c r="O11"/>
  <c r="O13"/>
  <c r="O17"/>
  <c r="O31"/>
  <c r="O51"/>
  <c r="O59"/>
  <c r="X45"/>
  <c r="X122"/>
  <c r="N46"/>
  <c r="X46" s="1"/>
  <c r="X35"/>
  <c r="X27"/>
  <c r="N23"/>
  <c r="X23" s="1"/>
  <c r="X9"/>
  <c r="X116"/>
  <c r="X98"/>
  <c r="X81"/>
  <c r="X77"/>
  <c r="N63"/>
  <c r="X63" s="1"/>
  <c r="X42"/>
  <c r="X112"/>
  <c r="X108"/>
  <c r="N8"/>
  <c r="X8" s="1"/>
  <c r="N14"/>
  <c r="X14" s="1"/>
  <c r="N19"/>
  <c r="X19"/>
  <c r="N68"/>
  <c r="X68" s="1"/>
  <c r="N72"/>
  <c r="W72" s="1"/>
  <c r="N76"/>
  <c r="X76" s="1"/>
  <c r="N86"/>
  <c r="W86" s="1"/>
  <c r="X86"/>
  <c r="N89"/>
  <c r="X89" s="1"/>
  <c r="N90"/>
  <c r="W90" s="1"/>
  <c r="N101"/>
  <c r="X101" s="1"/>
  <c r="N115"/>
  <c r="O115" s="1"/>
  <c r="N119"/>
  <c r="X119" s="1"/>
  <c r="N124"/>
  <c r="X124"/>
  <c r="AL125" i="78"/>
  <c r="K19" i="79"/>
  <c r="K25"/>
  <c r="K59"/>
  <c r="K67"/>
  <c r="K68"/>
  <c r="K75"/>
  <c r="X49"/>
  <c r="X33"/>
  <c r="N47"/>
  <c r="X47" s="1"/>
  <c r="N36"/>
  <c r="O36" s="1"/>
  <c r="N28"/>
  <c r="X28" s="1"/>
  <c r="N24"/>
  <c r="W24" s="1"/>
  <c r="N12"/>
  <c r="X12"/>
  <c r="X117"/>
  <c r="X104"/>
  <c r="X82"/>
  <c r="N78"/>
  <c r="X78" s="1"/>
  <c r="N64"/>
  <c r="X43"/>
  <c r="N113"/>
  <c r="V113" s="1"/>
  <c r="N109"/>
  <c r="X109" s="1"/>
  <c r="V122" i="71"/>
  <c r="AK125" i="78"/>
  <c r="AJ6" i="81"/>
  <c r="L98" i="1"/>
  <c r="AA6" i="81"/>
  <c r="Z6"/>
  <c r="AE6"/>
  <c r="G98" i="1"/>
  <c r="AJ9" i="81"/>
  <c r="AJ13"/>
  <c r="AJ17"/>
  <c r="AJ21"/>
  <c r="AJ25"/>
  <c r="AJ29"/>
  <c r="AJ33"/>
  <c r="AJ37"/>
  <c r="AJ41"/>
  <c r="AJ45"/>
  <c r="AJ49"/>
  <c r="AJ53"/>
  <c r="AJ57"/>
  <c r="AJ61"/>
  <c r="AJ65"/>
  <c r="AJ69"/>
  <c r="AJ73"/>
  <c r="AJ77"/>
  <c r="AJ81"/>
  <c r="AJ85"/>
  <c r="AJ89"/>
  <c r="AJ93"/>
  <c r="AJ97"/>
  <c r="AJ101"/>
  <c r="AJ105"/>
  <c r="AJ109"/>
  <c r="AJ113"/>
  <c r="AJ117"/>
  <c r="AJ121"/>
  <c r="AJ125"/>
  <c r="AA15"/>
  <c r="Z7"/>
  <c r="Z11"/>
  <c r="Z15"/>
  <c r="Z19"/>
  <c r="Z23"/>
  <c r="Z27"/>
  <c r="Z31"/>
  <c r="Z35"/>
  <c r="Z39"/>
  <c r="Z43"/>
  <c r="Z47"/>
  <c r="Z51"/>
  <c r="Z55"/>
  <c r="Z59"/>
  <c r="Z63"/>
  <c r="Z67"/>
  <c r="Z71"/>
  <c r="Z75"/>
  <c r="Z79"/>
  <c r="Z83"/>
  <c r="Z87"/>
  <c r="Z91"/>
  <c r="Z95"/>
  <c r="Z99"/>
  <c r="Z103"/>
  <c r="Z107"/>
  <c r="Z111"/>
  <c r="Z115"/>
  <c r="Z119"/>
  <c r="Z123"/>
  <c r="AJ10"/>
  <c r="AJ14"/>
  <c r="AJ18"/>
  <c r="AJ22"/>
  <c r="AJ26"/>
  <c r="AJ30"/>
  <c r="AJ34"/>
  <c r="AJ38"/>
  <c r="AJ42"/>
  <c r="AJ46"/>
  <c r="AJ50"/>
  <c r="AJ54"/>
  <c r="AJ58"/>
  <c r="AJ62"/>
  <c r="AJ66"/>
  <c r="AJ70"/>
  <c r="AJ74"/>
  <c r="AJ78"/>
  <c r="AJ82"/>
  <c r="AJ86"/>
  <c r="AJ90"/>
  <c r="AJ94"/>
  <c r="AJ98"/>
  <c r="AJ102"/>
  <c r="AJ106"/>
  <c r="AJ110"/>
  <c r="AJ114"/>
  <c r="AJ118"/>
  <c r="AJ122"/>
  <c r="AJ126"/>
  <c r="Z8"/>
  <c r="Z12"/>
  <c r="Z16"/>
  <c r="Z20"/>
  <c r="Z24"/>
  <c r="Z28"/>
  <c r="Z32"/>
  <c r="Z36"/>
  <c r="Z40"/>
  <c r="Z44"/>
  <c r="Z48"/>
  <c r="Z52"/>
  <c r="Z56"/>
  <c r="Z60"/>
  <c r="Z64"/>
  <c r="Z68"/>
  <c r="Z72"/>
  <c r="Z76"/>
  <c r="Z80"/>
  <c r="Z84"/>
  <c r="Z88"/>
  <c r="Z92"/>
  <c r="Z96"/>
  <c r="Z100"/>
  <c r="Z104"/>
  <c r="Z108"/>
  <c r="Z112"/>
  <c r="Z116"/>
  <c r="Z120"/>
  <c r="AA124"/>
  <c r="V102" i="79"/>
  <c r="V79"/>
  <c r="V100"/>
  <c r="V8"/>
  <c r="V98"/>
  <c r="S98"/>
  <c r="V58"/>
  <c r="S58"/>
  <c r="V55"/>
  <c r="V103"/>
  <c r="V70"/>
  <c r="V84"/>
  <c r="S84"/>
  <c r="S126"/>
  <c r="W68"/>
  <c r="O46"/>
  <c r="O8"/>
  <c r="W93"/>
  <c r="T106"/>
  <c r="T105"/>
  <c r="T104"/>
  <c r="T98"/>
  <c r="T93"/>
  <c r="T89"/>
  <c r="Q85"/>
  <c r="T67"/>
  <c r="T65"/>
  <c r="T61"/>
  <c r="Q60"/>
  <c r="T55"/>
  <c r="Q49"/>
  <c r="T45"/>
  <c r="T44"/>
  <c r="T41"/>
  <c r="Q39"/>
  <c r="Q37"/>
  <c r="T33"/>
  <c r="T32"/>
  <c r="T29"/>
  <c r="T28"/>
  <c r="Q25"/>
  <c r="T23"/>
  <c r="Q21"/>
  <c r="T20"/>
  <c r="Q17"/>
  <c r="T15"/>
  <c r="T13"/>
  <c r="Q9"/>
  <c r="O72"/>
  <c r="O52"/>
  <c r="W15"/>
  <c r="R65"/>
  <c r="R61"/>
  <c r="R57"/>
  <c r="R53"/>
  <c r="R49"/>
  <c r="R41"/>
  <c r="R37"/>
  <c r="R33"/>
  <c r="R29"/>
  <c r="R25"/>
  <c r="R17"/>
  <c r="R13"/>
  <c r="R9"/>
  <c r="T121"/>
  <c r="T117"/>
  <c r="T113"/>
  <c r="T112"/>
  <c r="W126"/>
  <c r="Q126"/>
  <c r="T76"/>
  <c r="T73"/>
  <c r="T69"/>
  <c r="O93"/>
  <c r="O69"/>
  <c r="W64"/>
  <c r="R75"/>
  <c r="V39"/>
  <c r="V19"/>
  <c r="V10"/>
  <c r="W12"/>
  <c r="W73"/>
  <c r="V124"/>
  <c r="V52"/>
  <c r="W66"/>
  <c r="W20"/>
  <c r="S77"/>
  <c r="S27"/>
  <c r="S51"/>
  <c r="S32"/>
  <c r="S47"/>
  <c r="W94"/>
  <c r="V93"/>
  <c r="V44"/>
  <c r="V123"/>
  <c r="V101"/>
  <c r="V82"/>
  <c r="V63"/>
  <c r="V111"/>
  <c r="V34"/>
  <c r="V110"/>
  <c r="V54"/>
  <c r="S54"/>
  <c r="V122"/>
  <c r="S122"/>
  <c r="S108"/>
  <c r="V42"/>
  <c r="S42"/>
  <c r="O28"/>
  <c r="Q104"/>
  <c r="Q93"/>
  <c r="Q91"/>
  <c r="T85"/>
  <c r="G50"/>
  <c r="S50" s="1"/>
  <c r="Q44"/>
  <c r="G40"/>
  <c r="T40" s="1"/>
  <c r="T39"/>
  <c r="Q28"/>
  <c r="T26"/>
  <c r="Q20"/>
  <c r="X118"/>
  <c r="O90"/>
  <c r="R107"/>
  <c r="R95"/>
  <c r="R91"/>
  <c r="R87"/>
  <c r="R38"/>
  <c r="R26"/>
  <c r="R10"/>
  <c r="G123"/>
  <c r="R123" s="1"/>
  <c r="X50"/>
  <c r="R112"/>
  <c r="G79"/>
  <c r="S79" s="1"/>
  <c r="X18"/>
  <c r="O109"/>
  <c r="O73"/>
  <c r="R76"/>
  <c r="F97"/>
  <c r="G97" s="1"/>
  <c r="W10"/>
  <c r="W111"/>
  <c r="S107"/>
  <c r="S39"/>
  <c r="S19"/>
  <c r="S92"/>
  <c r="S61"/>
  <c r="W38"/>
  <c r="S117"/>
  <c r="S28"/>
  <c r="S49"/>
  <c r="W105"/>
  <c r="W84"/>
  <c r="V105"/>
  <c r="V7"/>
  <c r="W14"/>
  <c r="W116"/>
  <c r="W8"/>
  <c r="W44"/>
  <c r="V23"/>
  <c r="S93"/>
  <c r="S44"/>
  <c r="S31"/>
  <c r="V66"/>
  <c r="S99"/>
  <c r="S62"/>
  <c r="V120"/>
  <c r="S90"/>
  <c r="S87"/>
  <c r="V106"/>
  <c r="V67"/>
  <c r="S67"/>
  <c r="O63"/>
  <c r="O19"/>
  <c r="W101"/>
  <c r="O40"/>
  <c r="O12"/>
  <c r="W16"/>
  <c r="Q67"/>
  <c r="Q65"/>
  <c r="Q55"/>
  <c r="T37"/>
  <c r="Q30"/>
  <c r="Q23"/>
  <c r="T17"/>
  <c r="Q15"/>
  <c r="T14"/>
  <c r="T9"/>
  <c r="O114"/>
  <c r="O80"/>
  <c r="O64"/>
  <c r="W96"/>
  <c r="R43"/>
  <c r="R23"/>
  <c r="R15"/>
  <c r="R11"/>
  <c r="G114"/>
  <c r="R114" s="1"/>
  <c r="G111"/>
  <c r="R111" s="1"/>
  <c r="W69"/>
  <c r="R121"/>
  <c r="R109"/>
  <c r="G82"/>
  <c r="R82" s="1"/>
  <c r="G80"/>
  <c r="S80" s="1"/>
  <c r="G78"/>
  <c r="R78" s="1"/>
  <c r="Q76"/>
  <c r="G72"/>
  <c r="T72" s="1"/>
  <c r="O111"/>
  <c r="O101"/>
  <c r="O89"/>
  <c r="O65"/>
  <c r="W89"/>
  <c r="R125"/>
  <c r="R73"/>
  <c r="W58"/>
  <c r="W28"/>
  <c r="V91"/>
  <c r="W22"/>
  <c r="V38"/>
  <c r="V12"/>
  <c r="V76"/>
  <c r="V73"/>
  <c r="V16"/>
  <c r="W98"/>
  <c r="S105"/>
  <c r="S7"/>
  <c r="S113"/>
  <c r="W108"/>
  <c r="V89"/>
  <c r="V65"/>
  <c r="V68"/>
  <c r="V80"/>
  <c r="V50"/>
  <c r="V118"/>
  <c r="S95"/>
  <c r="V46"/>
  <c r="V114"/>
  <c r="V56"/>
  <c r="S104"/>
  <c r="V71"/>
  <c r="V86"/>
  <c r="S86"/>
  <c r="V83"/>
  <c r="V69"/>
  <c r="V60"/>
  <c r="O23"/>
  <c r="W19"/>
  <c r="O78"/>
  <c r="O22"/>
  <c r="G101"/>
  <c r="Q101" s="1"/>
  <c r="O124"/>
  <c r="O94"/>
  <c r="O86"/>
  <c r="O68"/>
  <c r="R89"/>
  <c r="R20"/>
  <c r="R12"/>
  <c r="Q121"/>
  <c r="G118"/>
  <c r="R118" s="1"/>
  <c r="Q109"/>
  <c r="W124"/>
  <c r="Q75"/>
  <c r="O125"/>
  <c r="O113"/>
  <c r="O103"/>
  <c r="O91"/>
  <c r="O79"/>
  <c r="W122"/>
  <c r="W7"/>
  <c r="W70"/>
  <c r="W18"/>
  <c r="W82"/>
  <c r="W113"/>
  <c r="W55"/>
  <c r="W39"/>
  <c r="V47"/>
  <c r="W46"/>
  <c r="W104"/>
  <c r="W52"/>
  <c r="T82"/>
  <c r="R72"/>
  <c r="T80"/>
  <c r="R40"/>
  <c r="Q40"/>
  <c r="Q50"/>
  <c r="R50"/>
  <c r="S82"/>
  <c r="S40"/>
  <c r="Q78"/>
  <c r="T78"/>
  <c r="Q111"/>
  <c r="Q79"/>
  <c r="V97"/>
  <c r="W97"/>
  <c r="T123"/>
  <c r="S78"/>
  <c r="T64" l="1"/>
  <c r="Q64"/>
  <c r="H77" i="1"/>
  <c r="H86"/>
  <c r="T83" i="79"/>
  <c r="S83"/>
  <c r="R83"/>
  <c r="X88"/>
  <c r="Q41" i="39"/>
  <c r="I43"/>
  <c r="I45"/>
  <c r="Q54"/>
  <c r="Q65"/>
  <c r="Q72"/>
  <c r="I77"/>
  <c r="Q113"/>
  <c r="R79" i="79"/>
  <c r="R80"/>
  <c r="W88"/>
  <c r="W110"/>
  <c r="W103"/>
  <c r="T122"/>
  <c r="R48"/>
  <c r="O14"/>
  <c r="S69"/>
  <c r="V74"/>
  <c r="S114"/>
  <c r="V95"/>
  <c r="V109"/>
  <c r="W62"/>
  <c r="S36"/>
  <c r="W63"/>
  <c r="R113"/>
  <c r="G18"/>
  <c r="T18" s="1"/>
  <c r="O20"/>
  <c r="O47"/>
  <c r="S106"/>
  <c r="V87"/>
  <c r="V72"/>
  <c r="V99"/>
  <c r="W76"/>
  <c r="W78"/>
  <c r="S52"/>
  <c r="W92"/>
  <c r="S85"/>
  <c r="R124"/>
  <c r="O119"/>
  <c r="R14"/>
  <c r="R62"/>
  <c r="R99"/>
  <c r="O110"/>
  <c r="T60"/>
  <c r="T99"/>
  <c r="O38"/>
  <c r="V88"/>
  <c r="W109"/>
  <c r="O83"/>
  <c r="R115"/>
  <c r="T115"/>
  <c r="R45"/>
  <c r="T12"/>
  <c r="Q27"/>
  <c r="T52"/>
  <c r="O62"/>
  <c r="S55"/>
  <c r="X64"/>
  <c r="X115"/>
  <c r="X72"/>
  <c r="O55"/>
  <c r="W56"/>
  <c r="X20"/>
  <c r="V94"/>
  <c r="G103"/>
  <c r="R103" s="1"/>
  <c r="R92"/>
  <c r="G63"/>
  <c r="Q59"/>
  <c r="Q35"/>
  <c r="R27"/>
  <c r="S16"/>
  <c r="X125"/>
  <c r="Q122"/>
  <c r="G116"/>
  <c r="S125"/>
  <c r="I83" i="1"/>
  <c r="M21" i="39"/>
  <c r="Q70"/>
  <c r="Q111"/>
  <c r="I5"/>
  <c r="I94"/>
  <c r="Q101"/>
  <c r="I106"/>
  <c r="Q109"/>
  <c r="O102" i="79"/>
  <c r="O104"/>
  <c r="O116"/>
  <c r="T92"/>
  <c r="S64"/>
  <c r="T79"/>
  <c r="T50"/>
  <c r="Q114"/>
  <c r="T101"/>
  <c r="W47"/>
  <c r="V115"/>
  <c r="G74"/>
  <c r="R74" s="1"/>
  <c r="R16"/>
  <c r="W102"/>
  <c r="O44"/>
  <c r="S60"/>
  <c r="V119"/>
  <c r="V14"/>
  <c r="W34"/>
  <c r="V125"/>
  <c r="T75"/>
  <c r="W23"/>
  <c r="R59"/>
  <c r="O92"/>
  <c r="W36"/>
  <c r="V22"/>
  <c r="V90"/>
  <c r="V96"/>
  <c r="S35"/>
  <c r="V15"/>
  <c r="S81"/>
  <c r="O87"/>
  <c r="R30"/>
  <c r="O76"/>
  <c r="Q12"/>
  <c r="Q32"/>
  <c r="Q48"/>
  <c r="O10"/>
  <c r="V92"/>
  <c r="W115"/>
  <c r="T81"/>
  <c r="R21"/>
  <c r="R106"/>
  <c r="O96"/>
  <c r="T48"/>
  <c r="Q57"/>
  <c r="O24"/>
  <c r="O6"/>
  <c r="X83"/>
  <c r="Q58"/>
  <c r="R54"/>
  <c r="Q51"/>
  <c r="Q34"/>
  <c r="R126"/>
  <c r="S124"/>
  <c r="Q7"/>
  <c r="Q4" i="39"/>
  <c r="E6"/>
  <c r="S102" i="79"/>
  <c r="R102"/>
  <c r="T102"/>
  <c r="T94"/>
  <c r="Q94"/>
  <c r="R94"/>
  <c r="S94"/>
  <c r="R6"/>
  <c r="G6"/>
  <c r="T6" s="1"/>
  <c r="V6"/>
  <c r="X6"/>
  <c r="W6"/>
  <c r="T96"/>
  <c r="Q96"/>
  <c r="S96"/>
  <c r="R96"/>
  <c r="R56"/>
  <c r="T56"/>
  <c r="S56"/>
  <c r="Q56"/>
  <c r="Q22"/>
  <c r="R22"/>
  <c r="S22"/>
  <c r="S74"/>
  <c r="R64"/>
  <c r="T118"/>
  <c r="V78"/>
  <c r="V28"/>
  <c r="V64"/>
  <c r="X90"/>
  <c r="W65"/>
  <c r="X39"/>
  <c r="X100"/>
  <c r="X102"/>
  <c r="W80"/>
  <c r="Q105"/>
  <c r="T103"/>
  <c r="R98"/>
  <c r="Q86"/>
  <c r="T54"/>
  <c r="R47"/>
  <c r="S38"/>
  <c r="R36"/>
  <c r="S33"/>
  <c r="S26"/>
  <c r="Q16"/>
  <c r="X67"/>
  <c r="R117"/>
  <c r="Q115"/>
  <c r="S109"/>
  <c r="Q125"/>
  <c r="T124"/>
  <c r="R69"/>
  <c r="X71"/>
  <c r="I74" i="1"/>
  <c r="I87" s="1"/>
  <c r="I72"/>
  <c r="Q118" i="79"/>
  <c r="Q103"/>
  <c r="Q89"/>
  <c r="T86"/>
  <c r="T47"/>
  <c r="T38"/>
  <c r="Q36"/>
  <c r="T10"/>
  <c r="W77" i="1"/>
  <c r="Q77" i="79"/>
  <c r="W119"/>
  <c r="W79" i="1"/>
  <c r="H75"/>
  <c r="I85"/>
  <c r="I11" i="39"/>
  <c r="I16"/>
  <c r="Q20"/>
  <c r="I29"/>
  <c r="I51"/>
  <c r="I53"/>
  <c r="I67"/>
  <c r="I69"/>
  <c r="I79"/>
  <c r="I86"/>
  <c r="I95"/>
  <c r="Q105"/>
  <c r="Q110"/>
  <c r="Q12"/>
  <c r="Y12"/>
  <c r="I47"/>
  <c r="Q47"/>
  <c r="I63"/>
  <c r="Q63"/>
  <c r="I75"/>
  <c r="Q75"/>
  <c r="I82"/>
  <c r="I91"/>
  <c r="I98"/>
  <c r="Q103"/>
  <c r="I108"/>
  <c r="Q108"/>
  <c r="I116"/>
  <c r="Q116"/>
  <c r="K101" i="79"/>
  <c r="O48"/>
  <c r="K69"/>
  <c r="K41"/>
  <c r="K77"/>
  <c r="K89"/>
  <c r="K126"/>
  <c r="O41"/>
  <c r="Q45" i="39"/>
  <c r="Q115"/>
  <c r="K125" i="79"/>
  <c r="O77"/>
  <c r="O81"/>
  <c r="O82"/>
  <c r="O107"/>
  <c r="O108"/>
  <c r="O112"/>
  <c r="M7"/>
  <c r="O7" s="1"/>
  <c r="AD6" i="81"/>
  <c r="F98" i="1" s="1"/>
  <c r="I22" i="39"/>
  <c r="I93"/>
  <c r="I101"/>
  <c r="I105"/>
  <c r="O26" i="79"/>
  <c r="O27"/>
  <c r="O29"/>
  <c r="O120"/>
  <c r="O123"/>
  <c r="T68"/>
  <c r="R68"/>
  <c r="Q68"/>
  <c r="S68"/>
  <c r="S120"/>
  <c r="R120"/>
  <c r="Q120"/>
  <c r="T120"/>
  <c r="G87" i="1"/>
  <c r="G75" s="1"/>
  <c r="T97" i="79"/>
  <c r="R97"/>
  <c r="Q97"/>
  <c r="R66"/>
  <c r="Q66"/>
  <c r="S66"/>
  <c r="T66"/>
  <c r="R24"/>
  <c r="Q24"/>
  <c r="T24"/>
  <c r="S24"/>
  <c r="Q46"/>
  <c r="S46"/>
  <c r="R46"/>
  <c r="T46"/>
  <c r="S71"/>
  <c r="Q71"/>
  <c r="T71"/>
  <c r="R71"/>
  <c r="Q8"/>
  <c r="S8"/>
  <c r="T8"/>
  <c r="R8"/>
  <c r="R110"/>
  <c r="S110"/>
  <c r="T110"/>
  <c r="Q110"/>
  <c r="T70"/>
  <c r="R70"/>
  <c r="S70"/>
  <c r="Q70"/>
  <c r="F77" i="1"/>
  <c r="V77"/>
  <c r="F86"/>
  <c r="F75"/>
  <c r="W114" i="79"/>
  <c r="W87"/>
  <c r="X97"/>
  <c r="Q82"/>
  <c r="S18"/>
  <c r="O16"/>
  <c r="X113"/>
  <c r="X24"/>
  <c r="X36"/>
  <c r="X56"/>
  <c r="X94"/>
  <c r="X40"/>
  <c r="X66"/>
  <c r="X7"/>
  <c r="X15"/>
  <c r="X79"/>
  <c r="X105"/>
  <c r="R108"/>
  <c r="Q102"/>
  <c r="R100"/>
  <c r="T95"/>
  <c r="R90"/>
  <c r="Q87"/>
  <c r="S53"/>
  <c r="R52"/>
  <c r="S43"/>
  <c r="R42"/>
  <c r="R31"/>
  <c r="S25"/>
  <c r="R19"/>
  <c r="S11"/>
  <c r="S112"/>
  <c r="G119"/>
  <c r="Q116"/>
  <c r="X126"/>
  <c r="X74"/>
  <c r="R116"/>
  <c r="W120"/>
  <c r="Q83"/>
  <c r="R81"/>
  <c r="G45" i="1"/>
  <c r="V79"/>
  <c r="L96"/>
  <c r="G43"/>
  <c r="Q18" i="79"/>
  <c r="T114"/>
  <c r="Q6"/>
  <c r="S101"/>
  <c r="Q123"/>
  <c r="S97"/>
  <c r="R18"/>
  <c r="T111"/>
  <c r="Q80"/>
  <c r="Q72"/>
  <c r="R101"/>
  <c r="S6"/>
  <c r="S111"/>
  <c r="W40"/>
  <c r="O56"/>
  <c r="T90"/>
  <c r="S100"/>
  <c r="X123"/>
  <c r="X70"/>
  <c r="T108"/>
  <c r="Q107"/>
  <c r="Q100"/>
  <c r="Q62"/>
  <c r="S59"/>
  <c r="T53"/>
  <c r="Q43"/>
  <c r="T42"/>
  <c r="S41"/>
  <c r="R35"/>
  <c r="R34"/>
  <c r="Q31"/>
  <c r="S30"/>
  <c r="T22"/>
  <c r="T19"/>
  <c r="S14"/>
  <c r="T11"/>
  <c r="S10"/>
  <c r="W71"/>
  <c r="R77"/>
  <c r="S73"/>
  <c r="T84"/>
  <c r="S123"/>
  <c r="S118"/>
  <c r="S72"/>
  <c r="V24"/>
  <c r="V36"/>
  <c r="G88"/>
  <c r="R63" l="1"/>
  <c r="Q63"/>
  <c r="T63"/>
  <c r="V128"/>
  <c r="S103"/>
  <c r="S63"/>
  <c r="T74"/>
  <c r="Q74"/>
  <c r="T116"/>
  <c r="S116"/>
  <c r="V80" i="1"/>
  <c r="F88"/>
  <c r="H88"/>
  <c r="V78"/>
  <c r="Q88" i="79"/>
  <c r="S88"/>
  <c r="S129" s="1"/>
  <c r="R88"/>
  <c r="T88"/>
  <c r="L97" i="1"/>
  <c r="M96"/>
  <c r="M94"/>
  <c r="V129" i="79"/>
  <c r="M95" i="1"/>
  <c r="W80"/>
  <c r="T119" i="79"/>
  <c r="R119"/>
  <c r="S119"/>
  <c r="Q119"/>
  <c r="G77" i="1"/>
  <c r="G86"/>
  <c r="G88"/>
  <c r="W78"/>
  <c r="M88"/>
  <c r="I77"/>
  <c r="X128" i="79"/>
  <c r="X129"/>
  <c r="R128"/>
  <c r="I88" i="1"/>
  <c r="I75"/>
  <c r="Q128" i="79"/>
  <c r="Q129"/>
  <c r="I86" i="1"/>
  <c r="R129" i="79" l="1"/>
  <c r="T129"/>
  <c r="S128"/>
  <c r="T128"/>
</calcChain>
</file>

<file path=xl/comments1.xml><?xml version="1.0" encoding="utf-8"?>
<comments xmlns="http://schemas.openxmlformats.org/spreadsheetml/2006/main">
  <authors>
    <author>AXW09990</author>
  </authors>
  <commentList>
    <comment ref="K4" authorId="0">
      <text>
        <r>
          <rPr>
            <b/>
            <sz val="10"/>
            <color indexed="81"/>
            <rFont val="Tahoma"/>
            <family val="2"/>
          </rPr>
          <t>AXW09990:</t>
        </r>
        <r>
          <rPr>
            <sz val="10"/>
            <color indexed="81"/>
            <rFont val="Tahoma"/>
            <family val="2"/>
          </rPr>
          <t xml:space="preserve">
</t>
        </r>
      </text>
    </comment>
  </commentList>
</comments>
</file>

<file path=xl/sharedStrings.xml><?xml version="1.0" encoding="utf-8"?>
<sst xmlns="http://schemas.openxmlformats.org/spreadsheetml/2006/main" count="14045" uniqueCount="1176">
  <si>
    <t>FIPS:</t>
  </si>
  <si>
    <t>Locality Name:</t>
  </si>
  <si>
    <t>White</t>
  </si>
  <si>
    <t>African American</t>
  </si>
  <si>
    <t>FIPS</t>
  </si>
  <si>
    <t>Locality</t>
  </si>
  <si>
    <t>Adults</t>
  </si>
  <si>
    <t>Children</t>
  </si>
  <si>
    <t>999</t>
  </si>
  <si>
    <t>Statewide</t>
  </si>
  <si>
    <t>001</t>
  </si>
  <si>
    <t>Accomack</t>
  </si>
  <si>
    <t>003</t>
  </si>
  <si>
    <t>Albemarle</t>
  </si>
  <si>
    <t>510</t>
  </si>
  <si>
    <t>Alexandria</t>
  </si>
  <si>
    <t>005</t>
  </si>
  <si>
    <t>Alleghany/ Covington</t>
  </si>
  <si>
    <t>007</t>
  </si>
  <si>
    <t>Amelia</t>
  </si>
  <si>
    <t>009</t>
  </si>
  <si>
    <t>Amherst</t>
  </si>
  <si>
    <t>011</t>
  </si>
  <si>
    <t>Appomattox</t>
  </si>
  <si>
    <t>013</t>
  </si>
  <si>
    <t>Arlington</t>
  </si>
  <si>
    <t>015</t>
  </si>
  <si>
    <t>017</t>
  </si>
  <si>
    <t>Bath</t>
  </si>
  <si>
    <t>019</t>
  </si>
  <si>
    <t>Bedford Co./ City</t>
  </si>
  <si>
    <t>021</t>
  </si>
  <si>
    <t>Bland</t>
  </si>
  <si>
    <t>023</t>
  </si>
  <si>
    <t>Botetourt</t>
  </si>
  <si>
    <t>520</t>
  </si>
  <si>
    <t>Bristol</t>
  </si>
  <si>
    <t>025</t>
  </si>
  <si>
    <t>Brunswick</t>
  </si>
  <si>
    <t>027</t>
  </si>
  <si>
    <t>Buchanan</t>
  </si>
  <si>
    <t>029</t>
  </si>
  <si>
    <t>Buckingham</t>
  </si>
  <si>
    <t>031</t>
  </si>
  <si>
    <t>Campbell</t>
  </si>
  <si>
    <t>033</t>
  </si>
  <si>
    <t>Caroline</t>
  </si>
  <si>
    <t>035</t>
  </si>
  <si>
    <t>Carroll</t>
  </si>
  <si>
    <t>036</t>
  </si>
  <si>
    <t>Charles City Co</t>
  </si>
  <si>
    <t>037</t>
  </si>
  <si>
    <t>Charlotte</t>
  </si>
  <si>
    <t>540</t>
  </si>
  <si>
    <t>Charlottesville</t>
  </si>
  <si>
    <t>550</t>
  </si>
  <si>
    <t>Chesapeake</t>
  </si>
  <si>
    <t>041</t>
  </si>
  <si>
    <t>Chesterfield/ Colonial Heights</t>
  </si>
  <si>
    <t>043</t>
  </si>
  <si>
    <t>Clarke</t>
  </si>
  <si>
    <t>045</t>
  </si>
  <si>
    <t>Craig</t>
  </si>
  <si>
    <t>047</t>
  </si>
  <si>
    <t>Culpeper</t>
  </si>
  <si>
    <t>049</t>
  </si>
  <si>
    <t>Cumberland</t>
  </si>
  <si>
    <t>590</t>
  </si>
  <si>
    <t>Danville</t>
  </si>
  <si>
    <t>051</t>
  </si>
  <si>
    <t>Dickenson</t>
  </si>
  <si>
    <t>053</t>
  </si>
  <si>
    <t>Dinwiddie</t>
  </si>
  <si>
    <t>057</t>
  </si>
  <si>
    <t>Essex</t>
  </si>
  <si>
    <t>059</t>
  </si>
  <si>
    <t>Fairfax Co./ City/ /Falls Church</t>
  </si>
  <si>
    <t>061</t>
  </si>
  <si>
    <t>Fauquier</t>
  </si>
  <si>
    <t>063</t>
  </si>
  <si>
    <t>Floyd</t>
  </si>
  <si>
    <t>065</t>
  </si>
  <si>
    <t>Fluvanna</t>
  </si>
  <si>
    <t>620</t>
  </si>
  <si>
    <t>Franklin City</t>
  </si>
  <si>
    <t>067</t>
  </si>
  <si>
    <t>Franklin County</t>
  </si>
  <si>
    <t>069</t>
  </si>
  <si>
    <t>Frederick</t>
  </si>
  <si>
    <t>630</t>
  </si>
  <si>
    <t>Fredericksburg</t>
  </si>
  <si>
    <t>640</t>
  </si>
  <si>
    <t>Galax</t>
  </si>
  <si>
    <t>071</t>
  </si>
  <si>
    <t>Giles</t>
  </si>
  <si>
    <t>073</t>
  </si>
  <si>
    <t>Gloucester</t>
  </si>
  <si>
    <t>075</t>
  </si>
  <si>
    <t>Goochland</t>
  </si>
  <si>
    <t>077</t>
  </si>
  <si>
    <t>Grayson</t>
  </si>
  <si>
    <t>079</t>
  </si>
  <si>
    <t>Greene</t>
  </si>
  <si>
    <t>081</t>
  </si>
  <si>
    <t>Greensville/ Emporia</t>
  </si>
  <si>
    <t>083</t>
  </si>
  <si>
    <t>Halifax</t>
  </si>
  <si>
    <t>650</t>
  </si>
  <si>
    <t>Hampton</t>
  </si>
  <si>
    <t>085</t>
  </si>
  <si>
    <t>Hanover</t>
  </si>
  <si>
    <t>087</t>
  </si>
  <si>
    <t>Henrico</t>
  </si>
  <si>
    <t>089</t>
  </si>
  <si>
    <t>Henry/ Martinsville</t>
  </si>
  <si>
    <t>091</t>
  </si>
  <si>
    <t>Highland</t>
  </si>
  <si>
    <t>670</t>
  </si>
  <si>
    <t>Hopewell</t>
  </si>
  <si>
    <t>093</t>
  </si>
  <si>
    <t>Isle Of Wight</t>
  </si>
  <si>
    <t>095</t>
  </si>
  <si>
    <t>James City</t>
  </si>
  <si>
    <t>097</t>
  </si>
  <si>
    <t>King And Queen</t>
  </si>
  <si>
    <t>099</t>
  </si>
  <si>
    <t>King George</t>
  </si>
  <si>
    <t>101</t>
  </si>
  <si>
    <t>King William</t>
  </si>
  <si>
    <t>103</t>
  </si>
  <si>
    <t>Lancaster</t>
  </si>
  <si>
    <t>105</t>
  </si>
  <si>
    <t>Lee</t>
  </si>
  <si>
    <t>107</t>
  </si>
  <si>
    <t>Loudoun</t>
  </si>
  <si>
    <t>109</t>
  </si>
  <si>
    <t>Louisa</t>
  </si>
  <si>
    <t>111</t>
  </si>
  <si>
    <t>Lunenburg</t>
  </si>
  <si>
    <t>680</t>
  </si>
  <si>
    <t>Lynchburg</t>
  </si>
  <si>
    <t>113</t>
  </si>
  <si>
    <t>Madison</t>
  </si>
  <si>
    <t>683</t>
  </si>
  <si>
    <t>Manassas</t>
  </si>
  <si>
    <t>685</t>
  </si>
  <si>
    <t>Manassas Park</t>
  </si>
  <si>
    <t>115</t>
  </si>
  <si>
    <t>Mathews</t>
  </si>
  <si>
    <t>117</t>
  </si>
  <si>
    <t>Mecklenburg</t>
  </si>
  <si>
    <t>119</t>
  </si>
  <si>
    <t>Middlesex</t>
  </si>
  <si>
    <t>121</t>
  </si>
  <si>
    <t>Montgomery</t>
  </si>
  <si>
    <t>125</t>
  </si>
  <si>
    <t>Nelson</t>
  </si>
  <si>
    <t>127</t>
  </si>
  <si>
    <t>New Kent</t>
  </si>
  <si>
    <t>700</t>
  </si>
  <si>
    <t>Newport News</t>
  </si>
  <si>
    <t>710</t>
  </si>
  <si>
    <t>Norfolk</t>
  </si>
  <si>
    <t>131</t>
  </si>
  <si>
    <t>Northampton</t>
  </si>
  <si>
    <t>133</t>
  </si>
  <si>
    <t>Northumberland</t>
  </si>
  <si>
    <t>720</t>
  </si>
  <si>
    <t>Norton</t>
  </si>
  <si>
    <t>135</t>
  </si>
  <si>
    <t>Nottoway</t>
  </si>
  <si>
    <t>137</t>
  </si>
  <si>
    <t>Orange</t>
  </si>
  <si>
    <t>139</t>
  </si>
  <si>
    <t>Page</t>
  </si>
  <si>
    <t>141</t>
  </si>
  <si>
    <t>Patrick</t>
  </si>
  <si>
    <t>730</t>
  </si>
  <si>
    <t>Petersburg</t>
  </si>
  <si>
    <t>143</t>
  </si>
  <si>
    <t>Pittsylvania</t>
  </si>
  <si>
    <t>740</t>
  </si>
  <si>
    <t>Portsmouth</t>
  </si>
  <si>
    <t>145</t>
  </si>
  <si>
    <t>Powhatan</t>
  </si>
  <si>
    <t>147</t>
  </si>
  <si>
    <t>Prince Edward</t>
  </si>
  <si>
    <t>149</t>
  </si>
  <si>
    <t>Prince George</t>
  </si>
  <si>
    <t>153</t>
  </si>
  <si>
    <t>Prince William</t>
  </si>
  <si>
    <t>155</t>
  </si>
  <si>
    <t>Pulaski</t>
  </si>
  <si>
    <t>750</t>
  </si>
  <si>
    <t>Radford</t>
  </si>
  <si>
    <t>157</t>
  </si>
  <si>
    <t>Rappahannock</t>
  </si>
  <si>
    <t>760</t>
  </si>
  <si>
    <t>Richmond City</t>
  </si>
  <si>
    <t>159</t>
  </si>
  <si>
    <t>Richmond Co.</t>
  </si>
  <si>
    <t>770</t>
  </si>
  <si>
    <t>Roanoke City</t>
  </si>
  <si>
    <t>161</t>
  </si>
  <si>
    <t>Roanoke Co./ Salem</t>
  </si>
  <si>
    <t>163</t>
  </si>
  <si>
    <t>Rockbridge/ Buena Vista/ Lexington</t>
  </si>
  <si>
    <t>165</t>
  </si>
  <si>
    <t>Rockingham/ Harrisonburg</t>
  </si>
  <si>
    <t>167</t>
  </si>
  <si>
    <t>Russell</t>
  </si>
  <si>
    <t>169</t>
  </si>
  <si>
    <t>Scott</t>
  </si>
  <si>
    <t>171</t>
  </si>
  <si>
    <t>Shenandoah</t>
  </si>
  <si>
    <t>173</t>
  </si>
  <si>
    <t>Smyth</t>
  </si>
  <si>
    <t>175</t>
  </si>
  <si>
    <t>Southampton</t>
  </si>
  <si>
    <t>177</t>
  </si>
  <si>
    <t>Spotsylvania</t>
  </si>
  <si>
    <t>179</t>
  </si>
  <si>
    <t>Stafford</t>
  </si>
  <si>
    <t>800</t>
  </si>
  <si>
    <t>Suffolk</t>
  </si>
  <si>
    <t>181</t>
  </si>
  <si>
    <t>Surry</t>
  </si>
  <si>
    <t>183</t>
  </si>
  <si>
    <t>Sussex</t>
  </si>
  <si>
    <t>185</t>
  </si>
  <si>
    <t>Tazewell</t>
  </si>
  <si>
    <t>810</t>
  </si>
  <si>
    <t>Virginia Beach</t>
  </si>
  <si>
    <t>187</t>
  </si>
  <si>
    <t>Warren</t>
  </si>
  <si>
    <t>191</t>
  </si>
  <si>
    <t>Washington</t>
  </si>
  <si>
    <t>193</t>
  </si>
  <si>
    <t>Westmoreland</t>
  </si>
  <si>
    <t>830</t>
  </si>
  <si>
    <t>Williamsburg</t>
  </si>
  <si>
    <t>840</t>
  </si>
  <si>
    <t>Winchester</t>
  </si>
  <si>
    <t>195</t>
  </si>
  <si>
    <t>Wise</t>
  </si>
  <si>
    <t>197</t>
  </si>
  <si>
    <t>Wythe</t>
  </si>
  <si>
    <t>199</t>
  </si>
  <si>
    <t>York/Poquoson</t>
  </si>
  <si>
    <r>
      <rPr>
        <b/>
        <sz val="10"/>
        <color indexed="8"/>
        <rFont val="Courier New"/>
        <family val="3"/>
      </rPr>
      <t xml:space="preserve">Source: </t>
    </r>
    <r>
      <rPr>
        <sz val="10"/>
        <color indexed="8"/>
        <rFont val="Courier New"/>
        <family val="3"/>
      </rPr>
      <t>SNAP Recipients - VDSS Data Warehouse, ADAPT Client Cube, December 2010.</t>
    </r>
    <r>
      <rPr>
        <sz val="10"/>
        <color indexed="10"/>
        <rFont val="Courier New"/>
        <family val="3"/>
      </rPr>
      <t xml:space="preserve"> </t>
    </r>
    <r>
      <rPr>
        <sz val="10"/>
        <rFont val="Courier New"/>
        <family val="3"/>
      </rPr>
      <t xml:space="preserve"> Population - U.S. Census, Current Population Survey 2009, file CC-EST2009-ALLDATA.</t>
    </r>
    <r>
      <rPr>
        <sz val="10"/>
        <color indexed="10"/>
        <rFont val="Courier New"/>
        <family val="3"/>
      </rPr>
      <t xml:space="preserve"> </t>
    </r>
  </si>
  <si>
    <t>For questions, contact the Virginia Department of Social Services, Office of Research and Planning.</t>
  </si>
  <si>
    <t>Email:</t>
  </si>
  <si>
    <t>Research@dss.virginia.gov</t>
  </si>
  <si>
    <t>Region</t>
  </si>
  <si>
    <t>Civilian Labor Force 2004</t>
  </si>
  <si>
    <t>Unemployed 2004</t>
  </si>
  <si>
    <t>Unemployment Rate 2004</t>
  </si>
  <si>
    <t>Civilian Labor Force 2005</t>
  </si>
  <si>
    <t>Unemployed 2005</t>
  </si>
  <si>
    <t>Unemployment Rate 2005</t>
  </si>
  <si>
    <t>Civilian Labor Force 2006</t>
  </si>
  <si>
    <t>Unemployed 2006</t>
  </si>
  <si>
    <t>Unemployment Rate 2006</t>
  </si>
  <si>
    <t>Civilian Labor Force 2007</t>
  </si>
  <si>
    <t>Unemployed 2007</t>
  </si>
  <si>
    <t>Unemployment Rate 2007</t>
  </si>
  <si>
    <t>Civilian Labor Force 2008</t>
  </si>
  <si>
    <t>Unemployed 2008</t>
  </si>
  <si>
    <t>Unemployment Rate 2008</t>
  </si>
  <si>
    <t>Civilian Labor Force 2009</t>
  </si>
  <si>
    <t>Unemployed 2009</t>
  </si>
  <si>
    <t>Unemployment Rate 2009</t>
  </si>
  <si>
    <t>Eastern</t>
  </si>
  <si>
    <t>Piedmont</t>
  </si>
  <si>
    <t>Alleghany</t>
  </si>
  <si>
    <t>Central</t>
  </si>
  <si>
    <t>Northern</t>
  </si>
  <si>
    <t>Augusta</t>
  </si>
  <si>
    <t>Western</t>
  </si>
  <si>
    <t>Charles City</t>
  </si>
  <si>
    <t>Chesterfield</t>
  </si>
  <si>
    <t>Greensville</t>
  </si>
  <si>
    <t>Henry</t>
  </si>
  <si>
    <t>Isle of Wight</t>
  </si>
  <si>
    <t>King &amp; Queen</t>
  </si>
  <si>
    <t>Richmond County</t>
  </si>
  <si>
    <t>Roanoke County</t>
  </si>
  <si>
    <t>Rockbridge</t>
  </si>
  <si>
    <t>Rockingham</t>
  </si>
  <si>
    <t>York</t>
  </si>
  <si>
    <t>515</t>
  </si>
  <si>
    <t>Bedford City</t>
  </si>
  <si>
    <t>530</t>
  </si>
  <si>
    <t>Buena Vista</t>
  </si>
  <si>
    <t>570</t>
  </si>
  <si>
    <t>Colonial Heights</t>
  </si>
  <si>
    <t>580</t>
  </si>
  <si>
    <t>595</t>
  </si>
  <si>
    <t>Emporia</t>
  </si>
  <si>
    <t>600</t>
  </si>
  <si>
    <t>Fairfax City</t>
  </si>
  <si>
    <t>610</t>
  </si>
  <si>
    <t>Falls Church</t>
  </si>
  <si>
    <t>660</t>
  </si>
  <si>
    <t>Harrisonburg</t>
  </si>
  <si>
    <t>678</t>
  </si>
  <si>
    <t>Lexington</t>
  </si>
  <si>
    <t>Manassas City</t>
  </si>
  <si>
    <t>690</t>
  </si>
  <si>
    <t>Martinsville</t>
  </si>
  <si>
    <t>735</t>
  </si>
  <si>
    <t>Poquoson</t>
  </si>
  <si>
    <t>775</t>
  </si>
  <si>
    <t>Salem</t>
  </si>
  <si>
    <t>790</t>
  </si>
  <si>
    <t>Staunton</t>
  </si>
  <si>
    <t>820</t>
  </si>
  <si>
    <t>Waynesboro</t>
  </si>
  <si>
    <t>Source:  Virginia Employment Commission - Labor Force and Employment and Unemployment (LAUS) data.</t>
  </si>
  <si>
    <t>2004</t>
  </si>
  <si>
    <t>2005</t>
  </si>
  <si>
    <t>2006</t>
  </si>
  <si>
    <t>2007</t>
  </si>
  <si>
    <t>2008</t>
  </si>
  <si>
    <t>2009</t>
  </si>
  <si>
    <t>Number of Children in Foster Care, December 2010, 
by Race and Locality</t>
  </si>
  <si>
    <t>Number in Care</t>
  </si>
  <si>
    <t>Percent</t>
  </si>
  <si>
    <t>Total</t>
  </si>
  <si>
    <t>Greensville/Emporia</t>
  </si>
  <si>
    <t>Roanoke County/ Salem</t>
  </si>
  <si>
    <t>Rockbridge/BV/ Lexington</t>
  </si>
  <si>
    <t>na</t>
  </si>
  <si>
    <t>Number of Children in CPS Investigations, SFY 2010,
by Race and Locality</t>
  </si>
  <si>
    <t>James City County</t>
  </si>
  <si>
    <t>Details</t>
  </si>
  <si>
    <t>Rates of Abuse and Neglect Per 1,000 Children,
State Fiscal Year 2004-2008, By Locality</t>
  </si>
  <si>
    <t>Location</t>
  </si>
  <si>
    <t>Children Abused 2004</t>
  </si>
  <si>
    <t>Children 0-17, July 2003 (1000)</t>
  </si>
  <si>
    <t>Children Abused 2005</t>
  </si>
  <si>
    <t>Children 0-17, July 2004 (1000)</t>
  </si>
  <si>
    <t>Children Abused 2006</t>
  </si>
  <si>
    <t>Children 0-17, July 2005 (1000)</t>
  </si>
  <si>
    <t>Children Abused 2007</t>
  </si>
  <si>
    <t>Children 0-17, July 2006 (1000)</t>
  </si>
  <si>
    <t>Children Abused 2008</t>
  </si>
  <si>
    <t>Children 0-17, July 2007 (1000)</t>
  </si>
  <si>
    <t>Bedford County</t>
  </si>
  <si>
    <t>Covington</t>
  </si>
  <si>
    <t>Fairfax County</t>
  </si>
  <si>
    <t>King and Queen</t>
  </si>
  <si>
    <t>Source:  Kids Count, CPS Program and Statistical Reports, 2009 Census population estimates by age (CC-ESP2009-agesex-51.</t>
  </si>
  <si>
    <t>SNAP Participation Rate, 2004-2010, by Locality</t>
  </si>
  <si>
    <t>Alleghany-Covington</t>
  </si>
  <si>
    <t>Bedford Co./ Bedford City</t>
  </si>
  <si>
    <t>Fairfax-Falls Church</t>
  </si>
  <si>
    <t>Henry-Martinsville</t>
  </si>
  <si>
    <t>Roanoke Co. Salem</t>
  </si>
  <si>
    <t>Rockbridge/Buena Vista/Lexington</t>
  </si>
  <si>
    <t>Rockingham/Harrisonburg</t>
  </si>
  <si>
    <t>Source: VDSS Performance Indicators Report system.</t>
  </si>
  <si>
    <t>Chesterfield/Colonial Heights</t>
  </si>
  <si>
    <t>Fairfax County/City/Falls Church</t>
  </si>
  <si>
    <t>Alleghany/Covington</t>
  </si>
  <si>
    <t>Augusta/Staunton/Waynesboro</t>
  </si>
  <si>
    <t>Bedford County/City</t>
  </si>
  <si>
    <t>Henry/Martinsville</t>
  </si>
  <si>
    <t>Roanoke County/Salem</t>
  </si>
  <si>
    <t>Fairfax Co./ City/ Falls Church</t>
  </si>
  <si>
    <t>FIPS Number</t>
  </si>
  <si>
    <t>NER</t>
  </si>
  <si>
    <t>Combined FIPS</t>
  </si>
  <si>
    <t>Combined Name</t>
  </si>
  <si>
    <t>853_Fed</t>
  </si>
  <si>
    <t>853_ARRA</t>
  </si>
  <si>
    <t>853_State</t>
  </si>
  <si>
    <t>853_Local</t>
  </si>
  <si>
    <t>853_NR</t>
  </si>
  <si>
    <t>853_Total</t>
  </si>
  <si>
    <t>856_Fed</t>
  </si>
  <si>
    <t>856_ARRA</t>
  </si>
  <si>
    <t>856_State</t>
  </si>
  <si>
    <t>856_Local</t>
  </si>
  <si>
    <t>856_NR</t>
  </si>
  <si>
    <t>856_Total</t>
  </si>
  <si>
    <t>Bedford Co./City</t>
  </si>
  <si>
    <t>Franklin Co.</t>
  </si>
  <si>
    <t>Halifax/ So. Boston</t>
  </si>
  <si>
    <t>York/ Poquoson</t>
  </si>
  <si>
    <t>Franklin</t>
  </si>
  <si>
    <t>Richmond</t>
  </si>
  <si>
    <t>Roanoke</t>
  </si>
  <si>
    <t>Federal</t>
  </si>
  <si>
    <t>State</t>
  </si>
  <si>
    <t>Local</t>
  </si>
  <si>
    <t>Administrative costs</t>
  </si>
  <si>
    <t>Eligibility staff and operations</t>
  </si>
  <si>
    <t>Services staff and operations</t>
  </si>
  <si>
    <t>Other expenses</t>
  </si>
  <si>
    <t>Services purchased for clients</t>
  </si>
  <si>
    <t>Medicaid &amp; FAMIS</t>
  </si>
  <si>
    <t>SNAP</t>
  </si>
  <si>
    <t>Energy Assistance</t>
  </si>
  <si>
    <t>Foster care and adoption</t>
  </si>
  <si>
    <t>Other Benefits</t>
  </si>
  <si>
    <t>854_Fed</t>
  </si>
  <si>
    <t>854_ARRA</t>
  </si>
  <si>
    <t>854_State</t>
  </si>
  <si>
    <t>854_Local</t>
  </si>
  <si>
    <t>854_NR</t>
  </si>
  <si>
    <t>854_Total</t>
  </si>
  <si>
    <t>857_Fed</t>
  </si>
  <si>
    <t>857_ARRA</t>
  </si>
  <si>
    <t>857_State</t>
  </si>
  <si>
    <t>857_Local</t>
  </si>
  <si>
    <t>857_NR</t>
  </si>
  <si>
    <t>857_Total</t>
  </si>
  <si>
    <t>000_Fed</t>
  </si>
  <si>
    <t>000_ARRA</t>
  </si>
  <si>
    <t>000_Local</t>
  </si>
  <si>
    <t>000_Total</t>
  </si>
  <si>
    <t>805_Fed</t>
  </si>
  <si>
    <t>805_ARRA</t>
  </si>
  <si>
    <t>805_State</t>
  </si>
  <si>
    <t>805_Local</t>
  </si>
  <si>
    <t>805_NR</t>
  </si>
  <si>
    <t>805_Total</t>
  </si>
  <si>
    <t>843_Fed</t>
  </si>
  <si>
    <t>843_ARRA</t>
  </si>
  <si>
    <t>843_State</t>
  </si>
  <si>
    <t>843_Local</t>
  </si>
  <si>
    <t>843_NR</t>
  </si>
  <si>
    <t>843_Total</t>
  </si>
  <si>
    <t>217_Fed</t>
  </si>
  <si>
    <t>217_ARRA</t>
  </si>
  <si>
    <t>217_State</t>
  </si>
  <si>
    <t>217_Local</t>
  </si>
  <si>
    <t>217_NR</t>
  </si>
  <si>
    <t>217_Total</t>
  </si>
  <si>
    <t>824_Fed</t>
  </si>
  <si>
    <t>824_ARRA</t>
  </si>
  <si>
    <t>824_State</t>
  </si>
  <si>
    <t>824_Local</t>
  </si>
  <si>
    <t>824_NR</t>
  </si>
  <si>
    <t>824_Total</t>
  </si>
  <si>
    <t>829_Fed</t>
  </si>
  <si>
    <t>829_ARRA</t>
  </si>
  <si>
    <t>829_State</t>
  </si>
  <si>
    <t>829_Local</t>
  </si>
  <si>
    <t>829_NR</t>
  </si>
  <si>
    <t>829_Total</t>
  </si>
  <si>
    <t>833_Fed</t>
  </si>
  <si>
    <t>833_ARRA</t>
  </si>
  <si>
    <t>833_State</t>
  </si>
  <si>
    <t>833_Local</t>
  </si>
  <si>
    <t>833_NR</t>
  </si>
  <si>
    <t>833_Total</t>
  </si>
  <si>
    <t>844_ARRA</t>
  </si>
  <si>
    <t>844_State</t>
  </si>
  <si>
    <t>844_Local</t>
  </si>
  <si>
    <t>844_NR</t>
  </si>
  <si>
    <t>844_Total</t>
  </si>
  <si>
    <t>861_Fed</t>
  </si>
  <si>
    <t>861_ARRA</t>
  </si>
  <si>
    <t>861_State</t>
  </si>
  <si>
    <t>861_Local</t>
  </si>
  <si>
    <t>861_NR</t>
  </si>
  <si>
    <t>861_Total</t>
  </si>
  <si>
    <t>862_Fed</t>
  </si>
  <si>
    <t>862_ARRA</t>
  </si>
  <si>
    <t>862_State</t>
  </si>
  <si>
    <t>862_Local</t>
  </si>
  <si>
    <t>862_NR</t>
  </si>
  <si>
    <t>862_Total</t>
  </si>
  <si>
    <t>863_Fed</t>
  </si>
  <si>
    <t>863_ARRA</t>
  </si>
  <si>
    <t>863_State</t>
  </si>
  <si>
    <t>863_Local</t>
  </si>
  <si>
    <t>863_NR</t>
  </si>
  <si>
    <t>863_Total</t>
  </si>
  <si>
    <t>864_Fed</t>
  </si>
  <si>
    <t>864_ARRA</t>
  </si>
  <si>
    <t>864_State</t>
  </si>
  <si>
    <t>864_Local</t>
  </si>
  <si>
    <t>864_NR</t>
  </si>
  <si>
    <t>864_Total</t>
  </si>
  <si>
    <t>866_Fed</t>
  </si>
  <si>
    <t>866_ARRA</t>
  </si>
  <si>
    <t>866_State</t>
  </si>
  <si>
    <t>866_Local</t>
  </si>
  <si>
    <t>866_NR</t>
  </si>
  <si>
    <t>866_Total</t>
  </si>
  <si>
    <t>871_Fed</t>
  </si>
  <si>
    <t>871_ARRA</t>
  </si>
  <si>
    <t>871_State</t>
  </si>
  <si>
    <t>871_Local</t>
  </si>
  <si>
    <t>871_NR</t>
  </si>
  <si>
    <t>871_Total</t>
  </si>
  <si>
    <t>872_Fed</t>
  </si>
  <si>
    <t>872_ARRA</t>
  </si>
  <si>
    <t>872_State</t>
  </si>
  <si>
    <t>872_Local</t>
  </si>
  <si>
    <t>872_NR</t>
  </si>
  <si>
    <t>872_Total</t>
  </si>
  <si>
    <t>873_Fed</t>
  </si>
  <si>
    <t>873_ARRA</t>
  </si>
  <si>
    <t>873_State</t>
  </si>
  <si>
    <t>873_Local</t>
  </si>
  <si>
    <t>873_NR</t>
  </si>
  <si>
    <t>873_Total</t>
  </si>
  <si>
    <t>875_Fed</t>
  </si>
  <si>
    <t>875_ARRA</t>
  </si>
  <si>
    <t>875_State</t>
  </si>
  <si>
    <t>875_Local</t>
  </si>
  <si>
    <t>875_NR</t>
  </si>
  <si>
    <t>875_Total</t>
  </si>
  <si>
    <t>878_Fed</t>
  </si>
  <si>
    <t>878_ARRA</t>
  </si>
  <si>
    <t>878_State</t>
  </si>
  <si>
    <t>878_Local</t>
  </si>
  <si>
    <t>878_NR</t>
  </si>
  <si>
    <t>878_Total</t>
  </si>
  <si>
    <t>881_Fed</t>
  </si>
  <si>
    <t>881_ARRA</t>
  </si>
  <si>
    <t>881_State</t>
  </si>
  <si>
    <t>881_Local</t>
  </si>
  <si>
    <t>881_NR</t>
  </si>
  <si>
    <t>881_Total</t>
  </si>
  <si>
    <t>883_Fed</t>
  </si>
  <si>
    <t>883_ARRA</t>
  </si>
  <si>
    <t>883_State</t>
  </si>
  <si>
    <t>883_Local</t>
  </si>
  <si>
    <t>883_NR</t>
  </si>
  <si>
    <t>883_Total</t>
  </si>
  <si>
    <t>890_Fed</t>
  </si>
  <si>
    <t>890_ARRA</t>
  </si>
  <si>
    <t>890_State</t>
  </si>
  <si>
    <t>890_Local</t>
  </si>
  <si>
    <t>890_NR</t>
  </si>
  <si>
    <t>890_Total</t>
  </si>
  <si>
    <t>895_Fed</t>
  </si>
  <si>
    <t>895_ARRA</t>
  </si>
  <si>
    <t>895_State</t>
  </si>
  <si>
    <t>895_Local</t>
  </si>
  <si>
    <t>895_NR</t>
  </si>
  <si>
    <t>895_Total</t>
  </si>
  <si>
    <t>936_Fed</t>
  </si>
  <si>
    <t>936_ARRA</t>
  </si>
  <si>
    <t>936_State</t>
  </si>
  <si>
    <t>936_Local</t>
  </si>
  <si>
    <t>936_NR</t>
  </si>
  <si>
    <t>936_Total</t>
  </si>
  <si>
    <t>Federal/ ARRA</t>
  </si>
  <si>
    <t>Local &amp; NER</t>
  </si>
  <si>
    <t>Local &amp; Non-Reimbursable</t>
  </si>
  <si>
    <t>Local &amp; NRE</t>
  </si>
  <si>
    <t>Medicaid_Fed</t>
  </si>
  <si>
    <t>SNAP_Total</t>
  </si>
  <si>
    <t>SNAP_FED</t>
  </si>
  <si>
    <t>SNAP_ARRA</t>
  </si>
  <si>
    <t>SNAP_STATE</t>
  </si>
  <si>
    <t>LIHEAP_Total</t>
  </si>
  <si>
    <t>LIHEAP_Fed</t>
  </si>
  <si>
    <t>811_Fed</t>
  </si>
  <si>
    <t>811_ARRA</t>
  </si>
  <si>
    <t>811_State</t>
  </si>
  <si>
    <t>811_Local</t>
  </si>
  <si>
    <t>811_NR</t>
  </si>
  <si>
    <t>811_Total</t>
  </si>
  <si>
    <t>812_Fed</t>
  </si>
  <si>
    <t>812_ARRA</t>
  </si>
  <si>
    <t>812_State</t>
  </si>
  <si>
    <t>812_Local</t>
  </si>
  <si>
    <t>812_NR</t>
  </si>
  <si>
    <t>812_Total</t>
  </si>
  <si>
    <t>817_Fed</t>
  </si>
  <si>
    <t>817_ARRA</t>
  </si>
  <si>
    <t>817_State</t>
  </si>
  <si>
    <t>817_Local</t>
  </si>
  <si>
    <t>817_NR</t>
  </si>
  <si>
    <t>817_Total</t>
  </si>
  <si>
    <t>820Fed</t>
  </si>
  <si>
    <t>820_ARRA</t>
  </si>
  <si>
    <t>820_State</t>
  </si>
  <si>
    <t>820_Local</t>
  </si>
  <si>
    <t>820_NR</t>
  </si>
  <si>
    <t>820_Total</t>
  </si>
  <si>
    <t>CSA_FED</t>
  </si>
  <si>
    <t>CSA_ARRA</t>
  </si>
  <si>
    <t>CSA_STATE</t>
  </si>
  <si>
    <t>CSA_LOCAL</t>
  </si>
  <si>
    <t>CSA_Non-Reimbursed</t>
  </si>
  <si>
    <t>CSA_Total</t>
  </si>
  <si>
    <t>Local and Non-Reimbursable</t>
  </si>
  <si>
    <t>Non-Reimbursable</t>
  </si>
  <si>
    <t>TANF</t>
  </si>
  <si>
    <t>867_Local</t>
  </si>
  <si>
    <t>867_Total</t>
  </si>
  <si>
    <t>808_Fed</t>
  </si>
  <si>
    <t>808_ARRA</t>
  </si>
  <si>
    <t>808_State</t>
  </si>
  <si>
    <t>808_Local</t>
  </si>
  <si>
    <t>808_NR</t>
  </si>
  <si>
    <t>808_Total</t>
  </si>
  <si>
    <t>810_Fed</t>
  </si>
  <si>
    <t>810_ARRA</t>
  </si>
  <si>
    <t>810_State</t>
  </si>
  <si>
    <t>810_Local</t>
  </si>
  <si>
    <t>810_NR</t>
  </si>
  <si>
    <t>810_Total</t>
  </si>
  <si>
    <t>848_Fed</t>
  </si>
  <si>
    <t>848_ARRA</t>
  </si>
  <si>
    <t>848_State</t>
  </si>
  <si>
    <t>848_Local</t>
  </si>
  <si>
    <t>848_NR</t>
  </si>
  <si>
    <t>848_Total</t>
  </si>
  <si>
    <t>851_Fed</t>
  </si>
  <si>
    <t>851_ARRA</t>
  </si>
  <si>
    <t>851_State</t>
  </si>
  <si>
    <t>851_Local</t>
  </si>
  <si>
    <t>851_NR</t>
  </si>
  <si>
    <t>851_Total</t>
  </si>
  <si>
    <t>867_Fed</t>
  </si>
  <si>
    <t>867_ARRA</t>
  </si>
  <si>
    <t>867_State</t>
  </si>
  <si>
    <t>867_NR</t>
  </si>
  <si>
    <t>TANF_Fed</t>
  </si>
  <si>
    <t>TANF_ARRA</t>
  </si>
  <si>
    <t>TANF_State</t>
  </si>
  <si>
    <t>TANF_Total</t>
  </si>
  <si>
    <t>804_Fed</t>
  </si>
  <si>
    <t>804_ARRA</t>
  </si>
  <si>
    <t>804_State</t>
  </si>
  <si>
    <t>804_Local</t>
  </si>
  <si>
    <t>804_NR</t>
  </si>
  <si>
    <t>804_Total</t>
  </si>
  <si>
    <t>813_Fed</t>
  </si>
  <si>
    <t>813_ARRA</t>
  </si>
  <si>
    <t>813_State</t>
  </si>
  <si>
    <t>813_Local</t>
  </si>
  <si>
    <t>813_NR</t>
  </si>
  <si>
    <t>813_Total</t>
  </si>
  <si>
    <t>819_Fed</t>
  </si>
  <si>
    <t>819_ARRA</t>
  </si>
  <si>
    <t>819_State</t>
  </si>
  <si>
    <t>819_Local</t>
  </si>
  <si>
    <t>819_NR</t>
  </si>
  <si>
    <t>819_Total</t>
  </si>
  <si>
    <t>821_Fed</t>
  </si>
  <si>
    <t>821_ARRA</t>
  </si>
  <si>
    <t>821_State</t>
  </si>
  <si>
    <t>821_Local</t>
  </si>
  <si>
    <t>821_NR</t>
  </si>
  <si>
    <t>821_Total</t>
  </si>
  <si>
    <t>Total Social Services Spending, SFY2010</t>
  </si>
  <si>
    <t>Civilian Labor Force 2001</t>
  </si>
  <si>
    <t>Unemployed 2001</t>
  </si>
  <si>
    <t>Unemployment Rate 2001</t>
  </si>
  <si>
    <t>Civilian Labor Force 2002</t>
  </si>
  <si>
    <t>Unemployed 2002</t>
  </si>
  <si>
    <t>Unemployment Rate 2002</t>
  </si>
  <si>
    <t>Civilian Labor Force 2003</t>
  </si>
  <si>
    <t>Unemployed 2003</t>
  </si>
  <si>
    <t>Unemployment Rate 2003</t>
  </si>
  <si>
    <t>Agency Name</t>
  </si>
  <si>
    <t>2010</t>
  </si>
  <si>
    <t>Black</t>
  </si>
  <si>
    <t>Other</t>
  </si>
  <si>
    <t>Medicaid</t>
  </si>
  <si>
    <t>Child welfare</t>
  </si>
  <si>
    <t>Child</t>
  </si>
  <si>
    <t>Adult</t>
  </si>
  <si>
    <t>Other Race</t>
  </si>
  <si>
    <t>Total Population</t>
  </si>
  <si>
    <t>Total Children</t>
  </si>
  <si>
    <t>Accomack County</t>
  </si>
  <si>
    <t>Albemarle County</t>
  </si>
  <si>
    <t>Amelia County</t>
  </si>
  <si>
    <t>Amherst County</t>
  </si>
  <si>
    <t>Appomattox County</t>
  </si>
  <si>
    <t>Arlington County</t>
  </si>
  <si>
    <t>Bath County</t>
  </si>
  <si>
    <t>Bland County</t>
  </si>
  <si>
    <t>Botetourt County</t>
  </si>
  <si>
    <t>Brunswick County</t>
  </si>
  <si>
    <t>Buchanan County</t>
  </si>
  <si>
    <t>Buckingham County</t>
  </si>
  <si>
    <t>Campbell County</t>
  </si>
  <si>
    <t>Caroline County</t>
  </si>
  <si>
    <t>Carroll County</t>
  </si>
  <si>
    <t>Charles City County</t>
  </si>
  <si>
    <t>Charlotte County</t>
  </si>
  <si>
    <t>Clarke County</t>
  </si>
  <si>
    <t>Craig County</t>
  </si>
  <si>
    <t>Culpeper County</t>
  </si>
  <si>
    <t>Cumberland County</t>
  </si>
  <si>
    <t>Dickenson County</t>
  </si>
  <si>
    <t>Dinwiddie County</t>
  </si>
  <si>
    <t>Essex County</t>
  </si>
  <si>
    <t>Fauquier County</t>
  </si>
  <si>
    <t>Floyd County</t>
  </si>
  <si>
    <t>Fluvanna County</t>
  </si>
  <si>
    <t>Frederick County</t>
  </si>
  <si>
    <t>Giles County</t>
  </si>
  <si>
    <t>Gloucester County</t>
  </si>
  <si>
    <t>Goochland County</t>
  </si>
  <si>
    <t>Grayson County</t>
  </si>
  <si>
    <t>Greene County</t>
  </si>
  <si>
    <t>Hanover County</t>
  </si>
  <si>
    <t>Henrico County</t>
  </si>
  <si>
    <t>Highland County</t>
  </si>
  <si>
    <t>Isle of Wight County</t>
  </si>
  <si>
    <t>King and Queen County</t>
  </si>
  <si>
    <t>King George County</t>
  </si>
  <si>
    <t>King William County</t>
  </si>
  <si>
    <t>Lancaster County</t>
  </si>
  <si>
    <t>Lee County</t>
  </si>
  <si>
    <t>Loudoun County</t>
  </si>
  <si>
    <t>Louisa County</t>
  </si>
  <si>
    <t>Lunenburg County</t>
  </si>
  <si>
    <t>Madison County</t>
  </si>
  <si>
    <t>Mathews County</t>
  </si>
  <si>
    <t>Mecklenburg County</t>
  </si>
  <si>
    <t>Middlesex County</t>
  </si>
  <si>
    <t>Montgomery County</t>
  </si>
  <si>
    <t>Nelson County</t>
  </si>
  <si>
    <t>New Kent County</t>
  </si>
  <si>
    <t>Northampton County</t>
  </si>
  <si>
    <t>Northumberland County</t>
  </si>
  <si>
    <t>Nottoway County</t>
  </si>
  <si>
    <t>Orange County</t>
  </si>
  <si>
    <t>Page County</t>
  </si>
  <si>
    <t>Patrick County</t>
  </si>
  <si>
    <t>Pittsylvania County</t>
  </si>
  <si>
    <t>Powhatan County</t>
  </si>
  <si>
    <t>Prince Edward County</t>
  </si>
  <si>
    <t>Prince George County</t>
  </si>
  <si>
    <t>Prince William County</t>
  </si>
  <si>
    <t>Pulaski County</t>
  </si>
  <si>
    <t>Rappahannock County</t>
  </si>
  <si>
    <t>Russell County</t>
  </si>
  <si>
    <t>Scott County</t>
  </si>
  <si>
    <t>Shenandoah County</t>
  </si>
  <si>
    <t>Smyth County</t>
  </si>
  <si>
    <t>Southampton County</t>
  </si>
  <si>
    <t>Spotsylvania County</t>
  </si>
  <si>
    <t>Stafford County</t>
  </si>
  <si>
    <t>Surry County</t>
  </si>
  <si>
    <t>Sussex County</t>
  </si>
  <si>
    <t>Tazewell County</t>
  </si>
  <si>
    <t>Warren County</t>
  </si>
  <si>
    <t>Washington County</t>
  </si>
  <si>
    <t>Westmoreland County</t>
  </si>
  <si>
    <t>Wise County</t>
  </si>
  <si>
    <t>Wythe County</t>
  </si>
  <si>
    <t>Number of Positions</t>
  </si>
  <si>
    <t>Clients Served by Local Department</t>
  </si>
  <si>
    <t>SNAP SFY 2005</t>
  </si>
  <si>
    <t>SNAP SFY 2006</t>
  </si>
  <si>
    <t>SNAP SFY  2007</t>
  </si>
  <si>
    <t>SNAP SFY 2008</t>
  </si>
  <si>
    <t>SNAP SFY 2009</t>
  </si>
  <si>
    <t>SNAP SFY 2010</t>
  </si>
  <si>
    <t>TANF SFY 2005</t>
  </si>
  <si>
    <t>TANF SFY 2006</t>
  </si>
  <si>
    <t>TANF SFY 2007</t>
  </si>
  <si>
    <t>TANF SFY 2008</t>
  </si>
  <si>
    <t>TANF SFY 2009</t>
  </si>
  <si>
    <t>TANF SFY 2010</t>
  </si>
  <si>
    <t>Number of Clients</t>
  </si>
  <si>
    <t>Spanish American</t>
  </si>
  <si>
    <t>Asian</t>
  </si>
  <si>
    <t>Black/ African American</t>
  </si>
  <si>
    <t xml:space="preserve"> -  1  - </t>
  </si>
  <si>
    <t>&lt;-SFY 2010 Counts are from the new demographic analysis cube</t>
  </si>
  <si>
    <t>TANF SFY 2010 - original</t>
  </si>
  <si>
    <t>Children in CPS Referral SFY 2010</t>
  </si>
  <si>
    <t>Source: VCWOR - CPS Sysems Annual Reports -Demographic Annual Reports/ Childrens Demograhic Annual Report - All Referrals , 07/01/09 to 06/30/10</t>
  </si>
  <si>
    <t>Local Agency</t>
  </si>
  <si>
    <t>RegionName</t>
  </si>
  <si>
    <t>Male</t>
  </si>
  <si>
    <t>Female</t>
  </si>
  <si>
    <t>Sex Unknown</t>
  </si>
  <si>
    <t>Hispanic</t>
  </si>
  <si>
    <t>American Indian</t>
  </si>
  <si>
    <t>Hawaiian-Pacific Islander</t>
  </si>
  <si>
    <t>Race Unknown</t>
  </si>
  <si>
    <t>Age &gt;= 00 and &lt; 01</t>
  </si>
  <si>
    <t>Age &gt;= 01 and &lt; 04</t>
  </si>
  <si>
    <t>Age &gt;= 04 and &lt; 08</t>
  </si>
  <si>
    <t>Age &gt;= 08 and &lt; 12</t>
  </si>
  <si>
    <t>Age &gt;= 12 and &lt; 16</t>
  </si>
  <si>
    <t>Age &gt;= 16 and &lt; 18</t>
  </si>
  <si>
    <t>Age Unknown</t>
  </si>
  <si>
    <t>Other Calculated</t>
  </si>
  <si>
    <t>WHITE</t>
  </si>
  <si>
    <t>BLACK</t>
  </si>
  <si>
    <t>(3) Other key programs administered by LDSS include: Child Care, Energy Assistance, Auxiliary Grant, General Relief, and Adult Services.</t>
  </si>
  <si>
    <t>(2) "Participants as a Percent of Subpopulation" shows the percentage of each subpopulation that receives benefits; e.g., white children receiving benefits as a percent of all white children in the locality.</t>
  </si>
  <si>
    <t>(2) Services staff and operations - 854, and  857</t>
  </si>
  <si>
    <t>Notes:  Budget line (BL) key for spending categories.</t>
  </si>
  <si>
    <t>(1) Eligibility staff and operations -853, and 856.</t>
  </si>
  <si>
    <t>(3) Other expenses -  843, 000, and 805</t>
  </si>
  <si>
    <t>(4) Services purchased for clients - 217, 824, 829, 833, 844, 861, 862, 863, 864, 866, 871, 872, 873, 875, 878, 881, 883, 890, 895, 936</t>
  </si>
  <si>
    <t>(6) SNAP - benefits paid.</t>
  </si>
  <si>
    <t>(5) Medicaid &amp; FAMIS - Benefits paid.</t>
  </si>
  <si>
    <t>(7) Energy Assistance - benefits paid.</t>
  </si>
  <si>
    <t>(8) Foster care and adoption - 811- IV_E Foster Care, 812 - IV-E Adoption Assistance, 817- Special Needs Adoptions, 820- Adoptions Incentive, CSA</t>
  </si>
  <si>
    <t>(9) TANF - 808,810, 848, 851, 867, Section III TANF benefits paid.</t>
  </si>
  <si>
    <t>(10) Other Benefits - 804 - Auxiliary Grant, 813 - General Relief, 819 - Refugee Cash Assistance,  821 - Petersburg Stabilization Project Initiative,  819 Refugee Assistance</t>
  </si>
  <si>
    <t>Adoptions_Open</t>
  </si>
  <si>
    <t>Adoptions_Closed</t>
  </si>
  <si>
    <t>Adoptions_Continue</t>
  </si>
  <si>
    <t>Average Adoption Cases Continued</t>
  </si>
  <si>
    <t>Source: OASIS Statistical Care Report</t>
  </si>
  <si>
    <t>http://spark.dss.virginia.gov/divisions/dfs/generic_reports/</t>
  </si>
  <si>
    <t xml:space="preserve">Notes: (1) For Benefit programs, the number of participants is an unduplicated count of the number of individuals in the locality who received benefits at some point during the fiscal year.  For child welfare, the number of participants is an unduplicated count of individuals served. 
</t>
  </si>
  <si>
    <t>Medicaid Children</t>
  </si>
  <si>
    <t>Medicaid Adults</t>
  </si>
  <si>
    <t>SNAP Children</t>
  </si>
  <si>
    <t>SNAP Adults</t>
  </si>
  <si>
    <t>TANF Children</t>
  </si>
  <si>
    <t>TANF Adults</t>
  </si>
  <si>
    <t>Recipients</t>
  </si>
  <si>
    <t>Population</t>
  </si>
  <si>
    <t>Percent Receiving Assistance</t>
  </si>
  <si>
    <t>Other race</t>
  </si>
  <si>
    <t>Admin costs as percent of total</t>
  </si>
  <si>
    <t>Total administrative costs</t>
  </si>
  <si>
    <t>Total Recipients</t>
  </si>
  <si>
    <t>The password for the main sheet is:</t>
  </si>
  <si>
    <t>research</t>
  </si>
  <si>
    <t>lower case</t>
  </si>
  <si>
    <t>Children in CPS referrals</t>
  </si>
  <si>
    <t>Medicaid Clients</t>
  </si>
  <si>
    <t>2011</t>
  </si>
  <si>
    <t>Client Count</t>
  </si>
  <si>
    <t>Total Adults</t>
  </si>
  <si>
    <t>Recipients of Social Services, SFY2011</t>
  </si>
  <si>
    <t>Total Persons</t>
  </si>
  <si>
    <t>Spanish American Adjustment Factor</t>
  </si>
  <si>
    <t>Number of Participants, SFY2011</t>
  </si>
  <si>
    <t>SNAP SFY 2011</t>
  </si>
  <si>
    <t>TANF SFY 2011</t>
  </si>
  <si>
    <t>Civilian Labor Force 2010</t>
  </si>
  <si>
    <t>Unemployed 2010</t>
  </si>
  <si>
    <t>Unemployment Rate 2010</t>
  </si>
  <si>
    <t>Civilian Labor Force 2011</t>
  </si>
  <si>
    <t>Unemployed 2011</t>
  </si>
  <si>
    <t>Unemployment Rate 2011</t>
  </si>
  <si>
    <t>Population Calculated 2010</t>
  </si>
  <si>
    <t>Other_Race</t>
  </si>
  <si>
    <t>In foster care</t>
  </si>
  <si>
    <t>Recipients of Social Services, SFY 2011</t>
  </si>
  <si>
    <t>000_State</t>
  </si>
  <si>
    <t>Medicaid_State</t>
  </si>
  <si>
    <t>FAMIS_TOTAL</t>
  </si>
  <si>
    <t>FAMIS_FED</t>
  </si>
  <si>
    <t>FAMIS_STATE</t>
  </si>
  <si>
    <t>Total_Medicaid</t>
  </si>
  <si>
    <t>Total Social Services Spending, SFY2011</t>
  </si>
  <si>
    <t>Number, SFY2011</t>
  </si>
  <si>
    <t>(4) Population estimates from the New American Factfinders, 2010 Decennial Census, SF1 100% data tables : P12 Age by Sex, all persons; P12A, Age by Sex, Whites Alone; P12B, Age by Sex, Black or African American Alone</t>
  </si>
  <si>
    <t>000_Non- Reimbursable</t>
  </si>
  <si>
    <t xml:space="preserve">Percent Below Poverty </t>
  </si>
  <si>
    <t>Combined FIPS Code</t>
  </si>
  <si>
    <t>Level of IT support</t>
  </si>
  <si>
    <t>Alleghany/Covington/Clifton Forge</t>
  </si>
  <si>
    <t>Bedford Co./ city</t>
  </si>
  <si>
    <t>Fairfax/Fairfax City/Falls Church</t>
  </si>
  <si>
    <t>Halifax/South Boston</t>
  </si>
  <si>
    <t># with Full Support</t>
  </si>
  <si>
    <t># with Shared Support</t>
  </si>
  <si>
    <t>"Full" and "shared" IT support refer to the level of support provided by the VDSS Division of Information Services to local DSS agencies.</t>
  </si>
  <si>
    <t>Source: Virginia Department of Social Services, Division of Information Services.  Information was provided on 2/1/2012.</t>
  </si>
  <si>
    <t>LOCALITY</t>
  </si>
  <si>
    <t>Agency Class/Level</t>
  </si>
  <si>
    <t>Source: VDSS, Division of Human Resources, Agency level designation. Accessed from LETS on 12/14/2011.</t>
  </si>
  <si>
    <t>LDSS</t>
  </si>
  <si>
    <t>Deviation Status</t>
  </si>
  <si>
    <t>ND</t>
  </si>
  <si>
    <t>JW</t>
  </si>
  <si>
    <t>ND :  Non-Deviating</t>
  </si>
  <si>
    <t>JW:    Jurisdiction Wide Deviation</t>
  </si>
  <si>
    <t>Fairfax Co./Fairfax City/Falls Church</t>
  </si>
  <si>
    <t>Bedford Co./Bedford City</t>
  </si>
  <si>
    <t>Roanoke Co./Salem</t>
  </si>
  <si>
    <t>Black-/African American</t>
  </si>
  <si>
    <t>Black/-African American</t>
  </si>
  <si>
    <t>Total Positions</t>
  </si>
  <si>
    <t>Deviation Name</t>
  </si>
  <si>
    <t>% of Total Positions</t>
  </si>
  <si>
    <t>Region:</t>
  </si>
  <si>
    <t>% of Persons in Poverty Served (annualized reach)</t>
  </si>
  <si>
    <r>
      <t>Receiving adoption assistance</t>
    </r>
    <r>
      <rPr>
        <vertAlign val="superscript"/>
        <sz val="9"/>
        <color indexed="8"/>
        <rFont val="Cambria"/>
        <family val="1"/>
      </rPr>
      <t>2</t>
    </r>
  </si>
  <si>
    <r>
      <t>Agency Level:</t>
    </r>
    <r>
      <rPr>
        <b/>
        <vertAlign val="superscript"/>
        <sz val="9"/>
        <color indexed="8"/>
        <rFont val="Cambria"/>
        <family val="1"/>
      </rPr>
      <t>1</t>
    </r>
  </si>
  <si>
    <r>
      <t>HR  Policy:</t>
    </r>
    <r>
      <rPr>
        <b/>
        <vertAlign val="superscript"/>
        <sz val="9"/>
        <color indexed="8"/>
        <rFont val="Cambria"/>
        <family val="1"/>
      </rPr>
      <t>2</t>
    </r>
  </si>
  <si>
    <r>
      <t>IT Support:</t>
    </r>
    <r>
      <rPr>
        <b/>
        <vertAlign val="superscript"/>
        <sz val="9"/>
        <color indexed="8"/>
        <rFont val="Cambria"/>
        <family val="1"/>
      </rPr>
      <t>3</t>
    </r>
  </si>
  <si>
    <r>
      <t>1</t>
    </r>
    <r>
      <rPr>
        <sz val="8"/>
        <color indexed="8"/>
        <rFont val="Cambria"/>
        <family val="1"/>
      </rPr>
      <t xml:space="preserve">  Percentages are based on population estimates, which sometimes lead to percentages greater than 100%.  Percentages are capped at 100%.</t>
    </r>
  </si>
  <si>
    <r>
      <t>2</t>
    </r>
    <r>
      <rPr>
        <sz val="8"/>
        <color indexed="8"/>
        <rFont val="Cambria"/>
        <family val="1"/>
      </rPr>
      <t xml:space="preserve"> Children as of December 1, 2011.</t>
    </r>
  </si>
  <si>
    <r>
      <t xml:space="preserve">   Participants - Percent of Subpopulation</t>
    </r>
    <r>
      <rPr>
        <vertAlign val="superscript"/>
        <sz val="9"/>
        <color indexed="8"/>
        <rFont val="Cambria"/>
        <family val="1"/>
      </rPr>
      <t>1</t>
    </r>
  </si>
  <si>
    <t>By Age</t>
  </si>
  <si>
    <t>Children (0-17 years)</t>
  </si>
  <si>
    <t>Adults (18 years and older)</t>
  </si>
  <si>
    <t>By Race/Ethnicity</t>
  </si>
  <si>
    <t>Black or African American</t>
  </si>
  <si>
    <t>Hispanic/Latino</t>
  </si>
  <si>
    <t>Adult and Child Population by Locality by Race, 2010</t>
  </si>
  <si>
    <t>Adults and Children</t>
  </si>
  <si>
    <t>Hispanics-Counts</t>
  </si>
  <si>
    <t>Hispanics-Percentage</t>
  </si>
  <si>
    <t>Count</t>
  </si>
  <si>
    <t>Population, 2010</t>
  </si>
  <si>
    <t>All Children</t>
  </si>
  <si>
    <t>Percent of Children Living in Single Parent Households, 2010, by Race/Ethnicity and County/City</t>
  </si>
  <si>
    <t>Total Child Population</t>
  </si>
  <si>
    <t xml:space="preserve">African American </t>
  </si>
  <si>
    <t>Hispanic or Latino</t>
  </si>
  <si>
    <t>Percent in Single Parent Families</t>
  </si>
  <si>
    <t>Number In Single Parent HH</t>
  </si>
  <si>
    <t>Source: U.S. Census Bureau, 2010 Census Summary File 1 (Table P31), Household Type by Relationship for Population Under 18 years.  Refers to population of children (&lt; 18 years) living in their own parents' households. Excludes minors who are heads of households, spouses, or other relatives (e.g., grandchildren) living in the household as well as children living in institutionalized settings.  Hispanic origin is not mutually exclusive of race.</t>
  </si>
  <si>
    <t>Number and Percent of Children Living in Single-Parent Homes</t>
  </si>
  <si>
    <t>Filled Positions</t>
  </si>
  <si>
    <t>Unfilled Positions</t>
  </si>
  <si>
    <t>Social Services Staffing</t>
  </si>
  <si>
    <t>Administration</t>
  </si>
  <si>
    <t>Source: Virginia Employment Commission (unemployment); U.S. Census Bureau, SAIPE (poverty).</t>
  </si>
  <si>
    <t>NA</t>
  </si>
  <si>
    <t>Percent of Positions Unfilled</t>
  </si>
  <si>
    <t>Pct. of Positions Unfilled-Statewide</t>
  </si>
  <si>
    <t>Live Births, Nonmarital Births, and Non-Marital Birth Rate (per 1,000), by LDSS Locality and Race of Mother, Virginia, 2010</t>
  </si>
  <si>
    <t>RESIDENT TOTAL LIVE BIRTHS</t>
  </si>
  <si>
    <t>RESIDENT NON-MARITAL LIVE BIRTHS</t>
  </si>
  <si>
    <t>2010 Population Females Aged 15-44 Years</t>
  </si>
  <si>
    <t>Number of Live Births</t>
  </si>
  <si>
    <t>Birth Rate (per 1,000 females aged 15-44 years)</t>
  </si>
  <si>
    <t>Number of Live Non-Marital Births</t>
  </si>
  <si>
    <t>Percent Non-Marital</t>
  </si>
  <si>
    <t>Non-Marital Birth Rate (per 1,000 females aged 15-44 years)</t>
  </si>
  <si>
    <t>TOTAL</t>
  </si>
  <si>
    <t>OTHER</t>
  </si>
  <si>
    <t xml:space="preserve">TOTAL  </t>
  </si>
  <si>
    <t xml:space="preserve">WHITE  </t>
  </si>
  <si>
    <t xml:space="preserve">BLACK  </t>
  </si>
  <si>
    <t xml:space="preserve">OTHER  </t>
  </si>
  <si>
    <t>Filled</t>
  </si>
  <si>
    <t>Number</t>
  </si>
  <si>
    <t>Non-Marital Births, 2010</t>
  </si>
  <si>
    <t>Source: Virginia Department of Health, Division of Health Statistics. Based on 2010 records of live births among women aged 15-44 years.</t>
  </si>
  <si>
    <t>Married</t>
  </si>
  <si>
    <t>Unmarried</t>
  </si>
  <si>
    <t>Percent of Couples who are Married vs. Cohabiting, 2010</t>
  </si>
  <si>
    <t>Source: U.S. Census Bureau, 2010 Census, Summary File 1 (Table PCT15).  Excludes same-sex couples.</t>
  </si>
  <si>
    <t>Board</t>
  </si>
  <si>
    <t>Advisory</t>
  </si>
  <si>
    <t>Fairfax County/Fairfax City/Falls Church</t>
  </si>
  <si>
    <t>Total - Advisory</t>
  </si>
  <si>
    <t>Public Assistance Programs</t>
  </si>
  <si>
    <t>Trends in Public Assistance Caseloads by SFY</t>
  </si>
  <si>
    <t>Client Benefits Spending</t>
  </si>
  <si>
    <t>Number and Percentage of Households Where Heterosexual Couples are Married or Cohabiting, by Local DSS Agency, 2010</t>
  </si>
  <si>
    <t>Number of Households with Heterosexual Couples</t>
  </si>
  <si>
    <t>Percent (%) of Households with Heterosexual Couples</t>
  </si>
  <si>
    <t>LDSS Agency</t>
  </si>
  <si>
    <t>Cohabiting</t>
  </si>
  <si>
    <t>Source: U.S. Census Bureau, 2010 Census, Summary File 1 (Table PCT15). Excludes households with homosexual couples.</t>
  </si>
  <si>
    <r>
      <t>Agency Board:</t>
    </r>
    <r>
      <rPr>
        <b/>
        <vertAlign val="superscript"/>
        <sz val="9"/>
        <color indexed="8"/>
        <rFont val="Cambria"/>
        <family val="1"/>
      </rPr>
      <t>4</t>
    </r>
  </si>
  <si>
    <t>Administrative</t>
  </si>
  <si>
    <t>Fairfax Co./ Fairfax City/ Falls Church</t>
  </si>
  <si>
    <t>Halifax/ South Boston</t>
  </si>
  <si>
    <t>Number of Heterosexual Couples in Households With Own Children</t>
  </si>
  <si>
    <t>Percent (%) of Heterosexual Couples in Households With Own Children</t>
  </si>
  <si>
    <t>Married with own children</t>
  </si>
  <si>
    <t>Unmarried with own children</t>
  </si>
  <si>
    <t>Total client benefits spending</t>
  </si>
  <si>
    <t>Benefits as a percent of total</t>
  </si>
  <si>
    <t>Total Social Services Spending</t>
  </si>
  <si>
    <t>Services as a percent of total</t>
  </si>
  <si>
    <t xml:space="preserve">Total Social Services Spending = </t>
  </si>
  <si>
    <t>Percent by funding source</t>
  </si>
  <si>
    <t>Benefits &amp; Services*</t>
  </si>
  <si>
    <t>UnFilled (VACANT)</t>
  </si>
  <si>
    <t>Invalid Filled Positions</t>
  </si>
  <si>
    <t>% UnFilled (VACANT)</t>
  </si>
  <si>
    <t>Invalid position is no longer active for various reasons (e.g., abolished, redefined, reallocated) and are not included in the total positions.  Filled positions that have expired beyond their due date are considered invalid and are not counted in the totals.</t>
  </si>
  <si>
    <t>Local Director</t>
  </si>
  <si>
    <t>County Administrator</t>
  </si>
  <si>
    <t>City Administrator</t>
  </si>
  <si>
    <t>Number of TANF Recipients by Age and Race, SFY 2011</t>
  </si>
  <si>
    <t>Number of SNAP Recipients by Age and Race, SFY 2011</t>
  </si>
  <si>
    <t>Source: VDSS, ADAPT System Reporting, SFY ADAPT Client Analysis. Accessed from the Data Warehouse on 3/29/2012. (revised)</t>
  </si>
  <si>
    <t>Sources: VDSS, Data Warehouse, SFY ADAPT Client Analysis (public assistance programs). Foster Care counts are from VCWOR.  Adoptions and CPS referral counts provided by Family Services Staff. Note: Receiving Adoption Assistance is the average of adoption cases continued from monthly reports in SFY 2010.</t>
  </si>
  <si>
    <t>Unduplicated Number of Medicaid and FAMIS Enrollees</t>
  </si>
  <si>
    <t>by Age and Race in Virginia</t>
  </si>
  <si>
    <t>Medicaid and FAMIS - Original Numbers</t>
  </si>
  <si>
    <t>Locaality</t>
  </si>
  <si>
    <t>Prepared by:  Virginia Department of Social Services, Office of Research and Planning, Michael Theis, michael.theis@dss.virginia.gov</t>
  </si>
  <si>
    <t>Note:  Spanish-American (Hispanic) is listed as a  race in the MMIS data.  The term hispanic is an ethnicity not a race. Using population estimates by race and ethnicity from the census bureau, an adjustment factor was calculted based on the percentage of hispanics who identify themselves as white or african american.  The factor was used to calculate the number of "spanish-american" enrollees who were white or african american and add that number to the number of white or african american enrollees.</t>
  </si>
  <si>
    <t>Source: VDSS, Data Warehouse, ADAPT System Reporting, SFY Locality Program Analysis.</t>
  </si>
  <si>
    <t>Percent of Population Living Below Poverty, 1998-2010</t>
  </si>
  <si>
    <t>Source: U.S. Census Bureau, 2010 Small Area Income and Poverty Estimates (SAIPE)</t>
  </si>
  <si>
    <t>Population below poverty (estimated count)</t>
  </si>
  <si>
    <t xml:space="preserve">Source: Virginia Department of Health, Division of Health Statistics, Resident live birth data.  </t>
  </si>
  <si>
    <t>Level of IT Support by Local DSS Agency</t>
  </si>
  <si>
    <t>Local DSS Agency Level Classification</t>
  </si>
  <si>
    <t>Total # Level I</t>
  </si>
  <si>
    <t>Total # Level 2</t>
  </si>
  <si>
    <t>Total # Level 3</t>
  </si>
  <si>
    <t>Local DSS Agency Human Resources (HR) Policy/Practice Classification</t>
  </si>
  <si>
    <t>Source: VDSS, Division of Human Resources. Accessed in November 2011.</t>
  </si>
  <si>
    <t>Local DSS Agency Board Type: Advisory versus Administrative</t>
  </si>
  <si>
    <t>Serves as Administrative Entity*</t>
  </si>
  <si>
    <t>* For localities with Advisory Boards only</t>
  </si>
  <si>
    <t>Total - Administrative</t>
  </si>
  <si>
    <t>Source: VDSS, Division of Community and Volunteer Services. Reported by localities by March 2012.</t>
  </si>
  <si>
    <t>Number of Foster Children Receiving Adoption Assistance by Race of Child, SFY 2011</t>
  </si>
  <si>
    <t>Number of CPS Referrals by Race, SFY 2011</t>
  </si>
  <si>
    <t>Source: VDSS, Division of Family Services, VCWOR/OASIS reports.</t>
  </si>
  <si>
    <t>Source: VDSS, Division of Family Services staff. Report provided for December 1, 2012 by Rebecca Hjelm.</t>
  </si>
  <si>
    <t>Source: VDSS, Division of Family Services, CPS Referrals by Race Report for SFY 2011. Report provided by Rebecca Hjelm.</t>
  </si>
  <si>
    <t>Number of Children in Foster Care by Race of Child, SFY 2011</t>
  </si>
  <si>
    <t>Number of TANF Recipients by State Fiscal Year, 2005-2011</t>
  </si>
  <si>
    <t>Number of SNAP Recipients by State Fiscal Year, 2005-2011</t>
  </si>
  <si>
    <t>Source: Virginia Department of Health, Division of Health Statistics. Bridged-race population estimates were obtained from the National Center for Health Statistics.  Hispanic origin is not mutually exclusive of race categories.</t>
  </si>
  <si>
    <t>Expenditures for Eligibility Staffing, SFY 2011</t>
  </si>
  <si>
    <t>Source: VDSS, Division of Finances, LASER reports.</t>
  </si>
  <si>
    <t>Local*</t>
  </si>
  <si>
    <t>Source: VDSS, LASER, annual financial statements. "Local" includes expenses that are not eligible for reimbursement.</t>
  </si>
  <si>
    <t>Local/NER</t>
  </si>
  <si>
    <t>Expenditures for Services Staffing, SFY 2011</t>
  </si>
  <si>
    <t>Other Expenditures, SFY 2011</t>
  </si>
  <si>
    <t>Expenditures for Client Services, SFY 2011</t>
  </si>
  <si>
    <t>Total FAMIS &amp; Medicaid</t>
  </si>
  <si>
    <t>Fairfax Co./Fairfax City/ Falls Church</t>
  </si>
  <si>
    <r>
      <t>2010</t>
    </r>
    <r>
      <rPr>
        <b/>
        <vertAlign val="superscript"/>
        <sz val="10"/>
        <color indexed="8"/>
        <rFont val="Calibri"/>
        <family val="2"/>
      </rPr>
      <t>1</t>
    </r>
  </si>
  <si>
    <r>
      <t>1</t>
    </r>
    <r>
      <rPr>
        <sz val="10"/>
        <rFont val="Calibri"/>
        <family val="2"/>
      </rPr>
      <t xml:space="preserve"> Calendar year-to-date through May 2010</t>
    </r>
  </si>
  <si>
    <r>
      <t xml:space="preserve">Source: </t>
    </r>
    <r>
      <rPr>
        <sz val="10"/>
        <color indexed="8"/>
        <rFont val="Calibri"/>
        <family val="2"/>
      </rPr>
      <t>VCWOR, version 3.6, Virginia Child Protective Service, Child Demographics Annual Report - All Investigations, SFY 2010.</t>
    </r>
  </si>
  <si>
    <r>
      <t xml:space="preserve">Source: </t>
    </r>
    <r>
      <rPr>
        <sz val="10"/>
        <color indexed="8"/>
        <rFont val="Calibri"/>
        <family val="2"/>
      </rPr>
      <t>VDSS Foster Care Demographic Report, December 2010.</t>
    </r>
  </si>
  <si>
    <t>Children (0-19 years)</t>
  </si>
  <si>
    <t>Adults (20 years and older)</t>
  </si>
  <si>
    <t>Source: U.S. Census Bureau, 2010 Census. "Other race" includes Asians, Hawaiians/Pacific Islanders, American Indians, Alaskan Natives, and people who report more than one race. Hispanic origin is not mutually exclusive from race.</t>
  </si>
  <si>
    <t>TOTAL VIRGINIA HISPANIC POPULATION 2010</t>
  </si>
  <si>
    <t>AGE COHORTS FOR AGE ADJUSTING FORMULAS</t>
  </si>
  <si>
    <t>Age</t>
  </si>
  <si>
    <t>0</t>
  </si>
  <si>
    <t>1-4</t>
  </si>
  <si>
    <t>5-9</t>
  </si>
  <si>
    <t>10-14</t>
  </si>
  <si>
    <t>15-17</t>
  </si>
  <si>
    <t>18-19</t>
  </si>
  <si>
    <t>20-24</t>
  </si>
  <si>
    <t>25-29</t>
  </si>
  <si>
    <t>30-34</t>
  </si>
  <si>
    <t>35-39</t>
  </si>
  <si>
    <t>40-44</t>
  </si>
  <si>
    <t>45-49</t>
  </si>
  <si>
    <t>50-54</t>
  </si>
  <si>
    <t>55-59</t>
  </si>
  <si>
    <t>60-64</t>
  </si>
  <si>
    <t>65-69</t>
  </si>
  <si>
    <t>70-74</t>
  </si>
  <si>
    <t>75-79</t>
  </si>
  <si>
    <t>80-84</t>
  </si>
  <si>
    <t>0-4</t>
  </si>
  <si>
    <t>5-14</t>
  </si>
  <si>
    <t>15-19</t>
  </si>
  <si>
    <t>25-34</t>
  </si>
  <si>
    <t>35-44</t>
  </si>
  <si>
    <t>45-54</t>
  </si>
  <si>
    <t>55-64</t>
  </si>
  <si>
    <t>65-74</t>
  </si>
  <si>
    <t>75-84</t>
  </si>
  <si>
    <t>85+</t>
  </si>
  <si>
    <t>0-19</t>
  </si>
  <si>
    <t>20+</t>
  </si>
  <si>
    <t>Norton City</t>
  </si>
  <si>
    <t>Bristol City</t>
  </si>
  <si>
    <t>Galax City</t>
  </si>
  <si>
    <t>Radford City</t>
  </si>
  <si>
    <t>Winchester City</t>
  </si>
  <si>
    <t>Alexandria City</t>
  </si>
  <si>
    <t>Manassas Park City</t>
  </si>
  <si>
    <t>Charlottesville City</t>
  </si>
  <si>
    <t>Lynchburg City</t>
  </si>
  <si>
    <t>Danville City</t>
  </si>
  <si>
    <t>Fredericksburg City</t>
  </si>
  <si>
    <t>Hopewell City</t>
  </si>
  <si>
    <t>Petersburg City</t>
  </si>
  <si>
    <t>Chesapeake City</t>
  </si>
  <si>
    <t>Norfolk City</t>
  </si>
  <si>
    <t>Portsmouth City</t>
  </si>
  <si>
    <t>Suffolk City</t>
  </si>
  <si>
    <t>Virginia Beach City</t>
  </si>
  <si>
    <t>Hampton City</t>
  </si>
  <si>
    <t>Newport News City</t>
  </si>
  <si>
    <t>Williamsburg City</t>
  </si>
  <si>
    <t>Source: Virginia Department of Health, Division of Health Statistics. Bridged-race population estimates were obtained from the Centers for Disease Prevention and Control's National Center for Health Statistics.</t>
  </si>
  <si>
    <t>Medicaid and FAMIS Benefit Spending, SFY 2011</t>
  </si>
  <si>
    <t>SNAP Benefit Spending, SFY 2011</t>
  </si>
  <si>
    <t>TANF Benefit Spending, SFY 2011</t>
  </si>
  <si>
    <t>LIHEAP Benefit Spending, SFY 2011</t>
  </si>
  <si>
    <t>Foster Care and Adoption Spending, SFY 2011</t>
  </si>
  <si>
    <t>Other Benefits Spending, SFY 2011</t>
  </si>
  <si>
    <t>Unemployed</t>
  </si>
  <si>
    <t>Poverty</t>
  </si>
  <si>
    <t xml:space="preserve"> Unemployment and Poverty Rate (% of population)</t>
  </si>
  <si>
    <r>
      <rPr>
        <vertAlign val="superscript"/>
        <sz val="8"/>
        <color indexed="8"/>
        <rFont val="Cambria"/>
        <family val="1"/>
      </rPr>
      <t>4</t>
    </r>
    <r>
      <rPr>
        <sz val="8"/>
        <color indexed="8"/>
        <rFont val="Cambria"/>
        <family val="1"/>
      </rPr>
      <t xml:space="preserve"> Refers to whether the local agency has an administrative or advisory board. For agencies with advisory boards, administrative entity is underlined.</t>
    </r>
  </si>
  <si>
    <t>85 &amp; OVER</t>
  </si>
  <si>
    <t>Eligibility Direct</t>
  </si>
  <si>
    <t>Eligibility Indirect</t>
  </si>
  <si>
    <t>Not eligible for reimbursement</t>
  </si>
  <si>
    <t>Service Direct</t>
  </si>
  <si>
    <t>Service Indirect</t>
  </si>
  <si>
    <t>Augusta/ Staunton/ Waynesboro</t>
  </si>
  <si>
    <t>Alleghany County/Covington</t>
  </si>
  <si>
    <t>Bedford County/Bedford City</t>
  </si>
  <si>
    <t>Chesterfield County/Colonial Heights</t>
  </si>
  <si>
    <t>York County/Poquoson</t>
  </si>
  <si>
    <t>Rockbridge County/Buena Vista/Lexington</t>
  </si>
  <si>
    <t>Rockingham County/Harrisonburg</t>
  </si>
  <si>
    <t>Henry County/Martinsville</t>
  </si>
  <si>
    <t>Greensville County/Emporia</t>
  </si>
  <si>
    <t>Halifax County/South Boston</t>
  </si>
  <si>
    <t>County/City Administrator</t>
  </si>
  <si>
    <t>PCC</t>
  </si>
  <si>
    <t>P</t>
  </si>
  <si>
    <t>PC</t>
  </si>
  <si>
    <t>P: Partial deviations</t>
  </si>
  <si>
    <t>PCC:    Partial Deviation w/ Compensation &amp; Class</t>
  </si>
  <si>
    <t>PC: Partial Deviation w/ Compensation</t>
  </si>
  <si>
    <r>
      <rPr>
        <vertAlign val="superscript"/>
        <sz val="8"/>
        <color indexed="8"/>
        <rFont val="Cambria"/>
        <family val="1"/>
      </rPr>
      <t>2</t>
    </r>
    <r>
      <rPr>
        <sz val="8"/>
        <color indexed="8"/>
        <rFont val="Cambria"/>
        <family val="1"/>
      </rPr>
      <t xml:space="preserve"> The local department's HR policy either completely deviates from VDSS policies ("Jurisdiction-wide"), does not vary ("Non-deviating"), or is a mix of VDSS and local policies ("Partial deviating"). </t>
    </r>
  </si>
  <si>
    <t>Client Benefits</t>
  </si>
  <si>
    <t>Total Admin Spending</t>
  </si>
  <si>
    <t>Federal - %</t>
  </si>
  <si>
    <t>State - %</t>
  </si>
  <si>
    <t>Local - %</t>
  </si>
  <si>
    <t>Administrative Costs</t>
  </si>
  <si>
    <t>Purchased Services for Clients</t>
  </si>
  <si>
    <t>MINIMUM</t>
  </si>
  <si>
    <t>MAXIMUM</t>
  </si>
  <si>
    <t>Total Local Spending</t>
  </si>
  <si>
    <t>Admin - %</t>
  </si>
  <si>
    <t>Purchased Svcs. - %</t>
  </si>
  <si>
    <t>Benefits - %</t>
  </si>
  <si>
    <t>Fed &amp; State Comb. - %</t>
  </si>
  <si>
    <t>GRAND TOTAL</t>
  </si>
  <si>
    <t xml:space="preserve">Eligibility - Direct </t>
  </si>
  <si>
    <t>Eligibility-Indirect</t>
  </si>
  <si>
    <t>Services - Direct</t>
  </si>
  <si>
    <t>Services - Indirect</t>
  </si>
  <si>
    <t>Number of Filled and Unfilled Positions by Locality (as of 3/31/2012)</t>
  </si>
  <si>
    <t>Source: VDSS, Human Resources, LETS data system (Position Reimbursement and Status Report Summary). Accessed on 4/1/2012.</t>
  </si>
  <si>
    <t xml:space="preserve">* NER = Position that is not reimbursable is not reported in LASER.  </t>
  </si>
  <si>
    <t>TOTAL LESS INVALID POSITIONS</t>
  </si>
  <si>
    <t>Eligibility - Direct</t>
  </si>
  <si>
    <t>Eligibility - Indirect</t>
  </si>
  <si>
    <t>Source: LETS, Position Reimbursement And Status Report (as of 3/31/2012). Staffing data (unduplicated counts) are reported. Invalid filled positions are excluded. NER= Not eligible for reimbursement.</t>
  </si>
  <si>
    <t>Other Indirect</t>
  </si>
  <si>
    <t>Benefits Spending - Summary, SFY 2011</t>
  </si>
  <si>
    <t>Non-Deviating</t>
  </si>
  <si>
    <t>Partial deviating</t>
  </si>
  <si>
    <t>Jurisdiction-wide</t>
  </si>
  <si>
    <t>II (Two)</t>
  </si>
  <si>
    <t>I (One)</t>
  </si>
  <si>
    <t>III (Three)</t>
  </si>
  <si>
    <t>Shared</t>
  </si>
  <si>
    <t>Full</t>
  </si>
  <si>
    <r>
      <rPr>
        <vertAlign val="superscript"/>
        <sz val="8"/>
        <color indexed="8"/>
        <rFont val="Cambria"/>
        <family val="1"/>
      </rPr>
      <t>1</t>
    </r>
    <r>
      <rPr>
        <sz val="8"/>
        <color indexed="8"/>
        <rFont val="Cambria"/>
        <family val="1"/>
      </rPr>
      <t xml:space="preserve"> Refers to the local agency's level or size, varying from I (one) to III (three), with III being the largest. </t>
    </r>
  </si>
  <si>
    <r>
      <rPr>
        <vertAlign val="superscript"/>
        <sz val="8"/>
        <color indexed="8"/>
        <rFont val="Cambria"/>
        <family val="1"/>
      </rPr>
      <t>3</t>
    </r>
    <r>
      <rPr>
        <sz val="8"/>
        <color indexed="8"/>
        <rFont val="Cambria"/>
        <family val="1"/>
      </rPr>
      <t xml:space="preserve"> Refers to the local agency's level of IT support from VDSS. </t>
    </r>
  </si>
  <si>
    <t>Unemployment Rate by Locality, 2001-20101</t>
  </si>
  <si>
    <t>Unemployment Rate 2001-2011, by Locality</t>
  </si>
  <si>
    <t>Source: VDSS, ADAPT System Reporting, SFY ADAPT Client Analysis. Accessed in November 2011. Unique client counts reported.</t>
  </si>
  <si>
    <t>Source: VDSS, ADAPT System Reporting, SFY ADAPT Client Analysis. Annual count data accessed on 8/23/10. Unique client counts reported. SFY 2011 counts were updated on 3/29/2012.</t>
  </si>
  <si>
    <t>Source: VDSS, Data Warehouse - MMIS Reporting, SFY MMIS Enrollee Analysis. Accessed from the Data Warehouse on 3/29/2012.</t>
  </si>
  <si>
    <t>Local Department of Social Services Profile Report, SFY 2011</t>
  </si>
</sst>
</file>

<file path=xl/styles.xml><?xml version="1.0" encoding="utf-8"?>
<styleSheet xmlns="http://schemas.openxmlformats.org/spreadsheetml/2006/main">
  <numFmts count="22">
    <numFmt numFmtId="5" formatCode="&quot;$&quot;#,##0_);\(&quot;$&quot;#,##0\)"/>
    <numFmt numFmtId="7" formatCode="&quot;$&quot;#,##0.00_);\(&quot;$&quot;#,##0.00\)"/>
    <numFmt numFmtId="44" formatCode="_(&quot;$&quot;* #,##0.00_);_(&quot;$&quot;* \(#,##0.00\);_(&quot;$&quot;* &quot;-&quot;??_);_(@_)"/>
    <numFmt numFmtId="43" formatCode="_(* #,##0.00_);_(* \(#,##0.00\);_(* &quot;-&quot;??_);_(@_)"/>
    <numFmt numFmtId="164" formatCode="0.0%"/>
    <numFmt numFmtId="165" formatCode="0.0"/>
    <numFmt numFmtId="166" formatCode="&quot;$&quot;#,##0.00;\(&quot;$&quot;#,##0.00\)"/>
    <numFmt numFmtId="167" formatCode="&quot;$&quot;#,##0"/>
    <numFmt numFmtId="168" formatCode="#0"/>
    <numFmt numFmtId="169" formatCode="h\:mm\:ss\ AM/PM;@"/>
    <numFmt numFmtId="170" formatCode="mmm\ d\,\ yyyy;@"/>
    <numFmt numFmtId="171" formatCode="&quot;$&quot;#,##0.00;[Red]\(&quot;$&quot;#,##0.00\)"/>
    <numFmt numFmtId="172" formatCode="&quot;$&quot;#,##0.00"/>
    <numFmt numFmtId="173" formatCode="_(* #,##0_);_(* \(#,##0\);_(* &quot;-&quot;??_);_(@_)"/>
    <numFmt numFmtId="174" formatCode="_(* #,##0.0_);_(* \(#,##0.0\);_(* &quot;-&quot;??_);_(@_)"/>
    <numFmt numFmtId="175" formatCode="#_)"/>
    <numFmt numFmtId="176" formatCode="#,###_)"/>
    <numFmt numFmtId="177" formatCode="0.0_)"/>
    <numFmt numFmtId="178" formatCode="#,##0.0_);\(#,##0.0\)"/>
    <numFmt numFmtId="179" formatCode="#,##0_)"/>
    <numFmt numFmtId="180" formatCode="0_);\(0\)"/>
    <numFmt numFmtId="181" formatCode="_(&quot;$&quot;* #,##0_);_(&quot;$&quot;* \(#,##0\);_(&quot;$&quot;* &quot;-&quot;??_);_(@_)"/>
  </numFmts>
  <fonts count="95">
    <font>
      <sz val="12"/>
      <color theme="1"/>
      <name val="Times New Roman"/>
      <family val="2"/>
    </font>
    <font>
      <sz val="12"/>
      <color indexed="8"/>
      <name val="Times New Roman"/>
      <family val="1"/>
    </font>
    <font>
      <b/>
      <sz val="10"/>
      <color indexed="8"/>
      <name val="Courier New"/>
      <family val="3"/>
    </font>
    <font>
      <sz val="10"/>
      <color indexed="8"/>
      <name val="Courier New"/>
      <family val="3"/>
    </font>
    <font>
      <sz val="10"/>
      <name val="Courier New"/>
      <family val="3"/>
    </font>
    <font>
      <sz val="10"/>
      <color indexed="10"/>
      <name val="Courier New"/>
      <family val="3"/>
    </font>
    <font>
      <u/>
      <sz val="10"/>
      <color indexed="12"/>
      <name val="Arial"/>
      <family val="2"/>
    </font>
    <font>
      <u/>
      <sz val="10"/>
      <color indexed="12"/>
      <name val="Courier New"/>
      <family val="3"/>
    </font>
    <font>
      <sz val="12"/>
      <name val="Times New Roman"/>
      <family val="1"/>
    </font>
    <font>
      <sz val="10"/>
      <name val="Arial"/>
      <family val="2"/>
    </font>
    <font>
      <sz val="10"/>
      <name val="Times New Roman"/>
      <family val="1"/>
    </font>
    <font>
      <b/>
      <sz val="12"/>
      <name val="Courier New"/>
      <family val="3"/>
    </font>
    <font>
      <b/>
      <sz val="12"/>
      <color indexed="8"/>
      <name val="Times New Roman"/>
      <family val="1"/>
    </font>
    <font>
      <sz val="10"/>
      <color indexed="8"/>
      <name val="Arial"/>
      <family val="2"/>
    </font>
    <font>
      <sz val="12"/>
      <color indexed="8"/>
      <name val="Courier New"/>
      <family val="3"/>
    </font>
    <font>
      <sz val="10"/>
      <color indexed="8"/>
      <name val="Arial"/>
      <family val="2"/>
    </font>
    <font>
      <sz val="10"/>
      <color indexed="81"/>
      <name val="Tahoma"/>
      <family val="2"/>
    </font>
    <font>
      <b/>
      <sz val="10"/>
      <color indexed="81"/>
      <name val="Tahoma"/>
      <family val="2"/>
    </font>
    <font>
      <sz val="10"/>
      <color indexed="8"/>
      <name val="Arial"/>
      <family val="2"/>
    </font>
    <font>
      <sz val="12"/>
      <color indexed="8"/>
      <name val="Times New Roman"/>
      <family val="1"/>
    </font>
    <font>
      <b/>
      <sz val="10"/>
      <color indexed="8"/>
      <name val="Arial"/>
      <family val="2"/>
    </font>
    <font>
      <b/>
      <sz val="12"/>
      <color indexed="8"/>
      <name val="Arial"/>
      <family val="2"/>
    </font>
    <font>
      <sz val="10"/>
      <name val="Arial"/>
      <family val="2"/>
    </font>
    <font>
      <sz val="10"/>
      <color indexed="8"/>
      <name val="Arial"/>
      <family val="2"/>
    </font>
    <font>
      <b/>
      <sz val="10"/>
      <name val="Arial"/>
      <family val="2"/>
    </font>
    <font>
      <vertAlign val="superscript"/>
      <sz val="9"/>
      <color indexed="8"/>
      <name val="Cambria"/>
      <family val="1"/>
    </font>
    <font>
      <b/>
      <vertAlign val="superscript"/>
      <sz val="9"/>
      <color indexed="8"/>
      <name val="Cambria"/>
      <family val="1"/>
    </font>
    <font>
      <sz val="8"/>
      <color indexed="8"/>
      <name val="Cambria"/>
      <family val="1"/>
    </font>
    <font>
      <vertAlign val="superscript"/>
      <sz val="8"/>
      <color indexed="8"/>
      <name val="Cambria"/>
      <family val="1"/>
    </font>
    <font>
      <sz val="10"/>
      <name val="Calibri"/>
      <family val="2"/>
    </font>
    <font>
      <u/>
      <sz val="10"/>
      <color indexed="12"/>
      <name val="Calibri"/>
      <family val="2"/>
    </font>
    <font>
      <b/>
      <sz val="10"/>
      <name val="Calibri"/>
      <family val="2"/>
    </font>
    <font>
      <b/>
      <sz val="12"/>
      <name val="Calibri"/>
      <family val="2"/>
    </font>
    <font>
      <b/>
      <sz val="10"/>
      <color indexed="8"/>
      <name val="Calibri"/>
      <family val="2"/>
    </font>
    <font>
      <b/>
      <vertAlign val="superscript"/>
      <sz val="10"/>
      <color indexed="8"/>
      <name val="Calibri"/>
      <family val="2"/>
    </font>
    <font>
      <sz val="10"/>
      <color indexed="8"/>
      <name val="Calibri"/>
      <family val="2"/>
    </font>
    <font>
      <vertAlign val="superscript"/>
      <sz val="10"/>
      <name val="Calibri"/>
      <family val="2"/>
    </font>
    <font>
      <sz val="12"/>
      <name val="Calibri"/>
      <family val="2"/>
    </font>
    <font>
      <b/>
      <sz val="10"/>
      <color indexed="10"/>
      <name val="Calibri"/>
      <family val="2"/>
    </font>
    <font>
      <sz val="12"/>
      <color theme="1"/>
      <name val="Times New Roman"/>
      <family val="2"/>
    </font>
    <font>
      <sz val="11"/>
      <color theme="1"/>
      <name val="Calibri"/>
      <family val="2"/>
      <scheme val="minor"/>
    </font>
    <font>
      <sz val="10"/>
      <color theme="1"/>
      <name val="Tahoma"/>
      <family val="2"/>
    </font>
    <font>
      <u/>
      <sz val="12"/>
      <color theme="10"/>
      <name val="Times New Roman"/>
      <family val="2"/>
    </font>
    <font>
      <sz val="12"/>
      <color theme="1"/>
      <name val="Times New Roman"/>
      <family val="1"/>
    </font>
    <font>
      <b/>
      <sz val="14"/>
      <color theme="1"/>
      <name val="Times New Roman"/>
      <family val="1"/>
    </font>
    <font>
      <b/>
      <sz val="12"/>
      <color theme="1"/>
      <name val="Couier new"/>
    </font>
    <font>
      <b/>
      <sz val="10"/>
      <color theme="1"/>
      <name val="Courier New"/>
      <family val="3"/>
    </font>
    <font>
      <sz val="10"/>
      <color theme="1"/>
      <name val="Courier New"/>
      <family val="3"/>
    </font>
    <font>
      <sz val="10"/>
      <color theme="1"/>
      <name val="Times New Roman"/>
      <family val="1"/>
    </font>
    <font>
      <sz val="12"/>
      <color theme="1"/>
      <name val="Courier New"/>
      <family val="3"/>
    </font>
    <font>
      <u/>
      <sz val="8"/>
      <color rgb="FF000000"/>
      <name val="Tahoma"/>
      <family val="2"/>
    </font>
    <font>
      <sz val="8"/>
      <color rgb="FF000000"/>
      <name val="Tahoma"/>
      <family val="2"/>
    </font>
    <font>
      <sz val="10"/>
      <color rgb="FF000000"/>
      <name val="Tahoma"/>
      <family val="2"/>
    </font>
    <font>
      <sz val="10"/>
      <color theme="1"/>
      <name val="Arial"/>
      <family val="2"/>
    </font>
    <font>
      <b/>
      <sz val="12"/>
      <color rgb="FFFF0000"/>
      <name val="Times New Roman"/>
      <family val="1"/>
    </font>
    <font>
      <b/>
      <sz val="8"/>
      <color rgb="FF000000"/>
      <name val="Tahoma"/>
      <family val="2"/>
    </font>
    <font>
      <b/>
      <sz val="12"/>
      <color theme="1"/>
      <name val="Calibri"/>
      <family val="2"/>
      <scheme val="minor"/>
    </font>
    <font>
      <b/>
      <sz val="10"/>
      <color theme="1"/>
      <name val="Calibri"/>
      <family val="2"/>
      <scheme val="minor"/>
    </font>
    <font>
      <sz val="9"/>
      <color theme="1"/>
      <name val="Cambria"/>
      <family val="1"/>
      <scheme val="major"/>
    </font>
    <font>
      <b/>
      <sz val="9"/>
      <color theme="1"/>
      <name val="Cambria"/>
      <family val="1"/>
      <scheme val="major"/>
    </font>
    <font>
      <b/>
      <sz val="9"/>
      <color rgb="FFFF0000"/>
      <name val="Cambria"/>
      <family val="1"/>
      <scheme val="major"/>
    </font>
    <font>
      <vertAlign val="superscript"/>
      <sz val="9"/>
      <color theme="1"/>
      <name val="Cambria"/>
      <family val="1"/>
      <scheme val="major"/>
    </font>
    <font>
      <sz val="8"/>
      <color theme="1"/>
      <name val="Cambria"/>
      <family val="1"/>
      <scheme val="major"/>
    </font>
    <font>
      <vertAlign val="superscript"/>
      <sz val="8"/>
      <color theme="1"/>
      <name val="Cambria"/>
      <family val="1"/>
      <scheme val="major"/>
    </font>
    <font>
      <i/>
      <sz val="10"/>
      <color theme="1"/>
      <name val="Cambria"/>
      <family val="1"/>
      <scheme val="major"/>
    </font>
    <font>
      <sz val="10"/>
      <color theme="1"/>
      <name val="Cambria"/>
      <family val="1"/>
      <scheme val="major"/>
    </font>
    <font>
      <b/>
      <sz val="10"/>
      <name val="Calibri"/>
      <family val="2"/>
      <scheme val="minor"/>
    </font>
    <font>
      <sz val="10"/>
      <color theme="1"/>
      <name val="Times New Roman"/>
      <family val="2"/>
    </font>
    <font>
      <b/>
      <sz val="10"/>
      <color theme="1"/>
      <name val="Calibri"/>
      <family val="2"/>
    </font>
    <font>
      <sz val="10"/>
      <color theme="1"/>
      <name val="Calibri"/>
      <family val="2"/>
    </font>
    <font>
      <sz val="12"/>
      <color theme="1"/>
      <name val="Calibri"/>
      <family val="2"/>
    </font>
    <font>
      <b/>
      <sz val="10"/>
      <color theme="1"/>
      <name val="Cambria"/>
      <family val="1"/>
      <scheme val="major"/>
    </font>
    <font>
      <sz val="12"/>
      <color theme="1"/>
      <name val="Cambria"/>
      <family val="1"/>
      <scheme val="major"/>
    </font>
    <font>
      <u/>
      <sz val="10"/>
      <color indexed="12"/>
      <name val="Calibri"/>
      <family val="2"/>
      <scheme val="minor"/>
    </font>
    <font>
      <b/>
      <sz val="12"/>
      <color theme="1"/>
      <name val="Cambria"/>
      <family val="1"/>
      <scheme val="major"/>
    </font>
    <font>
      <i/>
      <sz val="9"/>
      <color theme="1"/>
      <name val="Cambria"/>
      <family val="1"/>
      <scheme val="major"/>
    </font>
    <font>
      <b/>
      <i/>
      <sz val="9"/>
      <color theme="1"/>
      <name val="Cambria"/>
      <family val="1"/>
      <scheme val="major"/>
    </font>
    <font>
      <b/>
      <sz val="11"/>
      <color rgb="FFFF0000"/>
      <name val="Cambria"/>
      <family val="1"/>
      <scheme val="major"/>
    </font>
    <font>
      <b/>
      <sz val="9"/>
      <color theme="3"/>
      <name val="Cambria"/>
      <family val="1"/>
      <scheme val="major"/>
    </font>
    <font>
      <b/>
      <sz val="12"/>
      <color theme="1"/>
      <name val="Calibri"/>
      <family val="2"/>
    </font>
    <font>
      <b/>
      <sz val="12"/>
      <name val="Calibri"/>
      <family val="2"/>
      <scheme val="minor"/>
    </font>
    <font>
      <sz val="10"/>
      <name val="Calibri"/>
      <family val="2"/>
      <scheme val="minor"/>
    </font>
    <font>
      <b/>
      <sz val="10"/>
      <color indexed="8"/>
      <name val="Calibri"/>
      <family val="2"/>
      <scheme val="minor"/>
    </font>
    <font>
      <b/>
      <sz val="12"/>
      <color indexed="8"/>
      <name val="Calibri"/>
      <family val="2"/>
      <scheme val="minor"/>
    </font>
    <font>
      <sz val="10"/>
      <color indexed="8"/>
      <name val="Calibri"/>
      <family val="2"/>
      <scheme val="minor"/>
    </font>
    <font>
      <sz val="12"/>
      <color indexed="8"/>
      <name val="Calibri"/>
      <family val="2"/>
      <scheme val="minor"/>
    </font>
    <font>
      <sz val="10"/>
      <color theme="1"/>
      <name val="Calibri"/>
      <family val="2"/>
      <scheme val="minor"/>
    </font>
    <font>
      <sz val="10"/>
      <color rgb="FF000000"/>
      <name val="Calibri"/>
      <family val="2"/>
      <scheme val="minor"/>
    </font>
    <font>
      <u/>
      <sz val="10"/>
      <color rgb="FF000000"/>
      <name val="Calibri"/>
      <family val="2"/>
      <scheme val="minor"/>
    </font>
    <font>
      <b/>
      <sz val="10"/>
      <color rgb="FF000000"/>
      <name val="Calibri"/>
      <family val="2"/>
      <scheme val="minor"/>
    </font>
    <font>
      <b/>
      <sz val="9"/>
      <color theme="0"/>
      <name val="Cambria"/>
      <family val="1"/>
      <scheme val="major"/>
    </font>
    <font>
      <b/>
      <sz val="10"/>
      <color theme="0"/>
      <name val="Cambria"/>
      <family val="1"/>
      <scheme val="major"/>
    </font>
    <font>
      <u/>
      <sz val="9"/>
      <color theme="1"/>
      <name val="Cambria"/>
      <family val="1"/>
      <scheme val="major"/>
    </font>
    <font>
      <b/>
      <sz val="11"/>
      <color theme="3"/>
      <name val="Cambria"/>
      <family val="1"/>
      <scheme val="major"/>
    </font>
    <font>
      <b/>
      <sz val="10"/>
      <color theme="1"/>
      <name val="Times New Roman"/>
      <family val="1"/>
    </font>
  </fonts>
  <fills count="18">
    <fill>
      <patternFill patternType="none"/>
    </fill>
    <fill>
      <patternFill patternType="gray125"/>
    </fill>
    <fill>
      <patternFill patternType="solid">
        <fgColor indexed="22"/>
        <bgColor indexed="0"/>
      </patternFill>
    </fill>
    <fill>
      <patternFill patternType="solid">
        <fgColor rgb="FFDFDFDF"/>
        <bgColor indexed="64"/>
      </patternFill>
    </fill>
    <fill>
      <patternFill patternType="solid">
        <fgColor rgb="FFBFD2E2"/>
        <bgColor indexed="64"/>
      </patternFill>
    </fill>
    <fill>
      <patternFill patternType="solid">
        <fgColor theme="4" tint="0.79998168889431442"/>
        <bgColor indexed="64"/>
      </patternFill>
    </fill>
    <fill>
      <patternFill patternType="solid">
        <fgColor theme="3"/>
        <bgColor indexed="64"/>
      </patternFill>
    </fill>
    <fill>
      <patternFill patternType="solid">
        <fgColor theme="3" tint="-0.24997711111789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0"/>
      </patternFill>
    </fill>
    <fill>
      <patternFill patternType="solid">
        <fgColor rgb="FFBFD2E2"/>
      </patternFill>
    </fill>
    <fill>
      <patternFill patternType="solid">
        <fgColor rgb="FFDFDFDF"/>
      </patternFill>
    </fill>
    <fill>
      <patternFill patternType="solid">
        <fgColor theme="0" tint="-0.249977111117893"/>
        <bgColor indexed="64"/>
      </patternFill>
    </fill>
    <fill>
      <patternFill patternType="solid">
        <fgColor rgb="FFFFFF00"/>
        <bgColor indexed="64"/>
      </patternFill>
    </fill>
    <fill>
      <patternFill patternType="solid">
        <fgColor theme="4"/>
        <bgColor indexed="64"/>
      </patternFill>
    </fill>
  </fills>
  <borders count="226">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right/>
      <top/>
      <bottom style="thin">
        <color indexed="8"/>
      </bottom>
      <diagonal/>
    </border>
    <border>
      <left/>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22"/>
      </right>
      <top style="thin">
        <color indexed="22"/>
      </top>
      <bottom style="thin">
        <color indexed="22"/>
      </bottom>
      <diagonal/>
    </border>
    <border>
      <left style="thin">
        <color indexed="8"/>
      </left>
      <right/>
      <top/>
      <bottom/>
      <diagonal/>
    </border>
    <border>
      <left style="thin">
        <color indexed="22"/>
      </left>
      <right style="thin">
        <color indexed="22"/>
      </right>
      <top/>
      <bottom style="thin">
        <color indexed="22"/>
      </bottom>
      <diagonal/>
    </border>
    <border>
      <left style="thin">
        <color indexed="22"/>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dashed">
        <color indexed="64"/>
      </left>
      <right style="thin">
        <color indexed="64"/>
      </right>
      <top/>
      <bottom/>
      <diagonal/>
    </border>
    <border>
      <left style="thin">
        <color indexed="64"/>
      </left>
      <right style="dashed">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right style="thin">
        <color indexed="64"/>
      </right>
      <top/>
      <bottom style="thin">
        <color indexed="64"/>
      </bottom>
      <diagonal/>
    </border>
    <border>
      <left style="dashed">
        <color indexed="64"/>
      </left>
      <right style="dashed">
        <color indexed="64"/>
      </right>
      <top/>
      <bottom style="thin">
        <color indexed="64"/>
      </bottom>
      <diagonal/>
    </border>
    <border>
      <left/>
      <right style="thin">
        <color indexed="64"/>
      </right>
      <top style="thin">
        <color indexed="64"/>
      </top>
      <bottom/>
      <diagonal/>
    </border>
    <border>
      <left style="dashed">
        <color indexed="8"/>
      </left>
      <right style="thin">
        <color indexed="8"/>
      </right>
      <top/>
      <bottom/>
      <diagonal/>
    </border>
    <border>
      <left style="dashed">
        <color indexed="8"/>
      </left>
      <right style="thin">
        <color indexed="8"/>
      </right>
      <top style="thin">
        <color indexed="8"/>
      </top>
      <bottom/>
      <diagonal/>
    </border>
    <border>
      <left style="thin">
        <color indexed="8"/>
      </left>
      <right style="dashed">
        <color indexed="8"/>
      </right>
      <top style="thin">
        <color indexed="8"/>
      </top>
      <bottom style="thin">
        <color indexed="8"/>
      </bottom>
      <diagonal/>
    </border>
    <border>
      <left style="dashed">
        <color indexed="8"/>
      </left>
      <right style="dashed">
        <color indexed="8"/>
      </right>
      <top style="thin">
        <color indexed="8"/>
      </top>
      <bottom style="thin">
        <color indexed="8"/>
      </bottom>
      <diagonal/>
    </border>
    <border>
      <left style="dashed">
        <color indexed="8"/>
      </left>
      <right style="thin">
        <color indexed="8"/>
      </right>
      <top style="thin">
        <color indexed="8"/>
      </top>
      <bottom style="thin">
        <color indexed="8"/>
      </bottom>
      <diagonal/>
    </border>
    <border>
      <left style="thin">
        <color indexed="8"/>
      </left>
      <right style="dashed">
        <color indexed="8"/>
      </right>
      <top style="thin">
        <color indexed="22"/>
      </top>
      <bottom style="thin">
        <color indexed="22"/>
      </bottom>
      <diagonal/>
    </border>
    <border>
      <left style="dashed">
        <color indexed="8"/>
      </left>
      <right style="dashed">
        <color indexed="8"/>
      </right>
      <top style="thin">
        <color indexed="22"/>
      </top>
      <bottom style="thin">
        <color indexed="22"/>
      </bottom>
      <diagonal/>
    </border>
    <border>
      <left style="dashed">
        <color indexed="8"/>
      </left>
      <right style="thin">
        <color indexed="8"/>
      </right>
      <top style="thin">
        <color indexed="22"/>
      </top>
      <bottom style="thin">
        <color indexed="22"/>
      </bottom>
      <diagonal/>
    </border>
    <border>
      <left/>
      <right/>
      <top style="thin">
        <color indexed="22"/>
      </top>
      <bottom style="thin">
        <color indexed="22"/>
      </bottom>
      <diagonal/>
    </border>
    <border>
      <left style="thin">
        <color indexed="22"/>
      </left>
      <right/>
      <top/>
      <bottom/>
      <diagonal/>
    </border>
    <border>
      <left style="thin">
        <color indexed="8"/>
      </left>
      <right style="dashed">
        <color indexed="8"/>
      </right>
      <top/>
      <bottom/>
      <diagonal/>
    </border>
    <border>
      <left style="dashed">
        <color indexed="8"/>
      </left>
      <right style="dashed">
        <color indexed="8"/>
      </right>
      <top/>
      <bottom/>
      <diagonal/>
    </border>
    <border>
      <left style="thin">
        <color indexed="64"/>
      </left>
      <right style="dashed">
        <color indexed="64"/>
      </right>
      <top/>
      <bottom style="thin">
        <color indexed="8"/>
      </bottom>
      <diagonal/>
    </border>
    <border>
      <left style="dashed">
        <color indexed="64"/>
      </left>
      <right style="dashed">
        <color indexed="64"/>
      </right>
      <top/>
      <bottom style="thin">
        <color indexed="8"/>
      </bottom>
      <diagonal/>
    </border>
    <border>
      <left style="dashed">
        <color indexed="64"/>
      </left>
      <right style="thin">
        <color indexed="64"/>
      </right>
      <top/>
      <bottom style="thin">
        <color indexed="8"/>
      </bottom>
      <diagonal/>
    </border>
    <border>
      <left style="thin">
        <color indexed="64"/>
      </left>
      <right style="dashed">
        <color indexed="64"/>
      </right>
      <top style="thin">
        <color indexed="22"/>
      </top>
      <bottom style="thin">
        <color indexed="22"/>
      </bottom>
      <diagonal/>
    </border>
    <border>
      <left style="dashed">
        <color indexed="64"/>
      </left>
      <right style="dashed">
        <color indexed="64"/>
      </right>
      <top style="thin">
        <color indexed="22"/>
      </top>
      <bottom style="thin">
        <color indexed="22"/>
      </bottom>
      <diagonal/>
    </border>
    <border>
      <left style="dashed">
        <color indexed="64"/>
      </left>
      <right/>
      <top/>
      <bottom style="thin">
        <color indexed="8"/>
      </bottom>
      <diagonal/>
    </border>
    <border>
      <left style="dashed">
        <color indexed="64"/>
      </left>
      <right/>
      <top style="thin">
        <color indexed="22"/>
      </top>
      <bottom style="thin">
        <color indexed="22"/>
      </bottom>
      <diagonal/>
    </border>
    <border>
      <left style="dashed">
        <color indexed="64"/>
      </left>
      <right style="thin">
        <color indexed="64"/>
      </right>
      <top style="thin">
        <color indexed="22"/>
      </top>
      <bottom style="thin">
        <color indexed="22"/>
      </bottom>
      <diagonal/>
    </border>
    <border>
      <left/>
      <right style="dashed">
        <color indexed="64"/>
      </right>
      <top/>
      <bottom/>
      <diagonal/>
    </border>
    <border>
      <left style="dashed">
        <color indexed="64"/>
      </left>
      <right style="dashed">
        <color indexed="64"/>
      </right>
      <top style="thin">
        <color indexed="64"/>
      </top>
      <bottom style="thin">
        <color indexed="8"/>
      </bottom>
      <diagonal/>
    </border>
    <border>
      <left style="dashed">
        <color indexed="64"/>
      </left>
      <right style="thin">
        <color indexed="64"/>
      </right>
      <top style="thin">
        <color indexed="64"/>
      </top>
      <bottom style="thin">
        <color indexed="8"/>
      </bottom>
      <diagonal/>
    </border>
    <border>
      <left/>
      <right style="dashed">
        <color indexed="64"/>
      </right>
      <top style="thin">
        <color indexed="64"/>
      </top>
      <bottom style="thin">
        <color indexed="8"/>
      </bottom>
      <diagonal/>
    </border>
    <border>
      <left/>
      <right style="dashed">
        <color indexed="64"/>
      </right>
      <top style="thin">
        <color indexed="22"/>
      </top>
      <bottom style="thin">
        <color indexed="22"/>
      </bottom>
      <diagonal/>
    </border>
    <border>
      <left style="thin">
        <color indexed="64"/>
      </left>
      <right style="dashed">
        <color indexed="64"/>
      </right>
      <top style="thin">
        <color indexed="64"/>
      </top>
      <bottom style="thin">
        <color indexed="8"/>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22"/>
      </left>
      <right/>
      <top/>
      <bottom style="thin">
        <color indexed="22"/>
      </bottom>
      <diagonal/>
    </border>
    <border>
      <left/>
      <right style="dashed">
        <color indexed="8"/>
      </right>
      <top style="thin">
        <color indexed="8"/>
      </top>
      <bottom style="thin">
        <color indexed="8"/>
      </bottom>
      <diagonal/>
    </border>
    <border>
      <left/>
      <right style="dashed">
        <color indexed="8"/>
      </right>
      <top style="thin">
        <color indexed="22"/>
      </top>
      <bottom style="thin">
        <color indexed="22"/>
      </bottom>
      <diagonal/>
    </border>
    <border>
      <left style="thin">
        <color indexed="8"/>
      </left>
      <right style="dashed">
        <color indexed="8"/>
      </right>
      <top/>
      <bottom style="thin">
        <color indexed="22"/>
      </bottom>
      <diagonal/>
    </border>
    <border>
      <left style="dashed">
        <color indexed="8"/>
      </left>
      <right style="dashed">
        <color indexed="8"/>
      </right>
      <top/>
      <bottom style="thin">
        <color indexed="22"/>
      </bottom>
      <diagonal/>
    </border>
    <border>
      <left style="dashed">
        <color indexed="8"/>
      </left>
      <right style="thin">
        <color indexed="8"/>
      </right>
      <top/>
      <bottom style="thin">
        <color indexed="22"/>
      </bottom>
      <diagonal/>
    </border>
    <border>
      <left/>
      <right style="dashed">
        <color indexed="8"/>
      </right>
      <top/>
      <bottom style="thin">
        <color indexed="22"/>
      </bottom>
      <diagonal/>
    </border>
    <border>
      <left style="thin">
        <color indexed="8"/>
      </left>
      <right style="thin">
        <color indexed="8"/>
      </right>
      <top style="thin">
        <color indexed="8"/>
      </top>
      <bottom/>
      <diagonal/>
    </border>
    <border>
      <left style="thin">
        <color indexed="8"/>
      </left>
      <right style="thin">
        <color indexed="8"/>
      </right>
      <top style="thin">
        <color indexed="22"/>
      </top>
      <bottom style="thin">
        <color indexed="8"/>
      </bottom>
      <diagonal/>
    </border>
    <border>
      <left style="thin">
        <color indexed="8"/>
      </left>
      <right style="thin">
        <color indexed="8"/>
      </right>
      <top/>
      <bottom style="thin">
        <color indexed="8"/>
      </bottom>
      <diagonal/>
    </border>
    <border>
      <left/>
      <right style="thin">
        <color indexed="22"/>
      </right>
      <top/>
      <bottom style="thin">
        <color indexed="22"/>
      </bottom>
      <diagonal/>
    </border>
    <border>
      <left style="thin">
        <color indexed="22"/>
      </left>
      <right style="thin">
        <color indexed="22"/>
      </right>
      <top style="thin">
        <color indexed="22"/>
      </top>
      <bottom/>
      <diagonal/>
    </border>
    <border>
      <left style="thin">
        <color indexed="22"/>
      </left>
      <right/>
      <top style="thin">
        <color indexed="22"/>
      </top>
      <bottom/>
      <diagonal/>
    </border>
    <border>
      <left style="thin">
        <color indexed="8"/>
      </left>
      <right style="dashed">
        <color indexed="8"/>
      </right>
      <top style="thin">
        <color indexed="22"/>
      </top>
      <bottom/>
      <diagonal/>
    </border>
    <border>
      <left style="dashed">
        <color indexed="8"/>
      </left>
      <right style="dashed">
        <color indexed="8"/>
      </right>
      <top style="thin">
        <color indexed="22"/>
      </top>
      <bottom/>
      <diagonal/>
    </border>
    <border>
      <left style="dashed">
        <color indexed="8"/>
      </left>
      <right style="thin">
        <color indexed="8"/>
      </right>
      <top style="thin">
        <color indexed="22"/>
      </top>
      <bottom/>
      <diagonal/>
    </border>
    <border>
      <left style="thin">
        <color indexed="8"/>
      </left>
      <right style="dashed">
        <color indexed="8"/>
      </right>
      <top style="thin">
        <color indexed="8"/>
      </top>
      <bottom/>
      <diagonal/>
    </border>
    <border>
      <left style="dashed">
        <color indexed="8"/>
      </left>
      <right style="dashed">
        <color indexed="8"/>
      </right>
      <top style="thin">
        <color indexed="8"/>
      </top>
      <bottom/>
      <diagonal/>
    </border>
    <border>
      <left/>
      <right style="dashed">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8"/>
      </top>
      <bottom style="thin">
        <color indexed="8"/>
      </bottom>
      <diagonal/>
    </border>
    <border>
      <left style="thin">
        <color rgb="FFA2C4E0"/>
      </left>
      <right style="thin">
        <color rgb="FFA2C4E0"/>
      </right>
      <top style="thin">
        <color rgb="FFA2C4E0"/>
      </top>
      <bottom style="thin">
        <color rgb="FFA2C4E0"/>
      </bottom>
      <diagonal/>
    </border>
    <border>
      <left/>
      <right style="thin">
        <color rgb="FF93B1CD"/>
      </right>
      <top style="thin">
        <color rgb="FFCFCFCF"/>
      </top>
      <bottom style="thin">
        <color rgb="FF93B1CD"/>
      </bottom>
      <diagonal/>
    </border>
    <border>
      <left style="thin">
        <color rgb="FF93B1CD"/>
      </left>
      <right style="thin">
        <color rgb="FF93B1CD"/>
      </right>
      <top style="thin">
        <color rgb="FF93B1CD"/>
      </top>
      <bottom style="thin">
        <color rgb="FF93B1CD"/>
      </bottom>
      <diagonal/>
    </border>
    <border>
      <left/>
      <right style="thin">
        <color rgb="FF93B1CD"/>
      </right>
      <top style="thin">
        <color rgb="FF93B1CD"/>
      </top>
      <bottom style="thin">
        <color rgb="FF93B1CD"/>
      </bottom>
      <diagonal/>
    </border>
    <border>
      <left style="thin">
        <color indexed="64"/>
      </left>
      <right style="thin">
        <color theme="1"/>
      </right>
      <top/>
      <bottom/>
      <diagonal/>
    </border>
    <border>
      <left style="thin">
        <color theme="3"/>
      </left>
      <right style="thin">
        <color theme="3"/>
      </right>
      <top style="thin">
        <color theme="3"/>
      </top>
      <bottom style="thin">
        <color theme="3"/>
      </bottom>
      <diagonal/>
    </border>
    <border>
      <left style="dashed">
        <color indexed="64"/>
      </left>
      <right style="medium">
        <color theme="3"/>
      </right>
      <top/>
      <bottom/>
      <diagonal/>
    </border>
    <border>
      <left style="thin">
        <color indexed="64"/>
      </left>
      <right style="dashed">
        <color indexed="64"/>
      </right>
      <top/>
      <bottom style="medium">
        <color theme="3"/>
      </bottom>
      <diagonal/>
    </border>
    <border>
      <left style="dashed">
        <color indexed="64"/>
      </left>
      <right style="thin">
        <color indexed="64"/>
      </right>
      <top/>
      <bottom style="medium">
        <color theme="3"/>
      </bottom>
      <diagonal/>
    </border>
    <border>
      <left style="dashed">
        <color indexed="64"/>
      </left>
      <right style="medium">
        <color theme="3"/>
      </right>
      <top/>
      <bottom style="medium">
        <color theme="3"/>
      </bottom>
      <diagonal/>
    </border>
    <border>
      <left style="dashed">
        <color indexed="64"/>
      </left>
      <right style="medium">
        <color theme="3"/>
      </right>
      <top style="thin">
        <color indexed="64"/>
      </top>
      <bottom style="thin">
        <color indexed="64"/>
      </bottom>
      <diagonal/>
    </border>
    <border>
      <left style="thin">
        <color indexed="64"/>
      </left>
      <right style="dashed">
        <color indexed="64"/>
      </right>
      <top style="thin">
        <color theme="1"/>
      </top>
      <bottom style="thin">
        <color theme="1"/>
      </bottom>
      <diagonal/>
    </border>
    <border>
      <left style="dashed">
        <color indexed="64"/>
      </left>
      <right style="dashed">
        <color indexed="64"/>
      </right>
      <top style="thin">
        <color theme="1"/>
      </top>
      <bottom style="thin">
        <color theme="1"/>
      </bottom>
      <diagonal/>
    </border>
    <border>
      <left style="dashed">
        <color indexed="64"/>
      </left>
      <right style="thin">
        <color indexed="64"/>
      </right>
      <top style="thin">
        <color theme="1"/>
      </top>
      <bottom style="thin">
        <color theme="1"/>
      </bottom>
      <diagonal/>
    </border>
    <border>
      <left style="dashed">
        <color indexed="64"/>
      </left>
      <right style="medium">
        <color theme="3"/>
      </right>
      <top style="thin">
        <color theme="1"/>
      </top>
      <bottom style="thin">
        <color theme="1"/>
      </bottom>
      <diagonal/>
    </border>
    <border>
      <left style="thin">
        <color indexed="64"/>
      </left>
      <right style="thin">
        <color theme="1"/>
      </right>
      <top style="thin">
        <color indexed="64"/>
      </top>
      <bottom style="thin">
        <color indexed="64"/>
      </bottom>
      <diagonal/>
    </border>
    <border>
      <left style="thin">
        <color theme="1"/>
      </left>
      <right style="medium">
        <color theme="3"/>
      </right>
      <top style="thin">
        <color indexed="64"/>
      </top>
      <bottom style="thin">
        <color indexed="64"/>
      </bottom>
      <diagonal/>
    </border>
    <border>
      <left style="thin">
        <color theme="1"/>
      </left>
      <right style="medium">
        <color theme="3"/>
      </right>
      <top/>
      <bottom/>
      <diagonal/>
    </border>
    <border>
      <left style="thin">
        <color indexed="64"/>
      </left>
      <right style="thin">
        <color theme="1"/>
      </right>
      <top/>
      <bottom style="medium">
        <color theme="3"/>
      </bottom>
      <diagonal/>
    </border>
    <border>
      <left style="thin">
        <color theme="1"/>
      </left>
      <right style="medium">
        <color theme="3"/>
      </right>
      <top/>
      <bottom style="medium">
        <color theme="3"/>
      </bottom>
      <diagonal/>
    </border>
    <border>
      <left style="thin">
        <color indexed="64"/>
      </left>
      <right style="dashed">
        <color indexed="64"/>
      </right>
      <top style="medium">
        <color theme="3"/>
      </top>
      <bottom style="thin">
        <color indexed="64"/>
      </bottom>
      <diagonal/>
    </border>
    <border>
      <left style="dashed">
        <color indexed="64"/>
      </left>
      <right style="dashed">
        <color indexed="64"/>
      </right>
      <top style="medium">
        <color theme="3"/>
      </top>
      <bottom style="thin">
        <color indexed="64"/>
      </bottom>
      <diagonal/>
    </border>
    <border>
      <left style="dashed">
        <color indexed="64"/>
      </left>
      <right style="medium">
        <color theme="3"/>
      </right>
      <top style="medium">
        <color theme="3"/>
      </top>
      <bottom style="thin">
        <color indexed="64"/>
      </bottom>
      <diagonal/>
    </border>
    <border>
      <left style="medium">
        <color theme="3"/>
      </left>
      <right/>
      <top/>
      <bottom/>
      <diagonal/>
    </border>
    <border>
      <left style="medium">
        <color theme="3"/>
      </left>
      <right/>
      <top style="thin">
        <color theme="1"/>
      </top>
      <bottom/>
      <diagonal/>
    </border>
    <border>
      <left/>
      <right/>
      <top style="thin">
        <color theme="1"/>
      </top>
      <bottom/>
      <diagonal/>
    </border>
    <border>
      <left/>
      <right style="thin">
        <color indexed="64"/>
      </right>
      <top style="thin">
        <color theme="1"/>
      </top>
      <bottom/>
      <diagonal/>
    </border>
    <border>
      <left style="medium">
        <color theme="3"/>
      </left>
      <right/>
      <top style="thin">
        <color indexed="64"/>
      </top>
      <bottom/>
      <diagonal/>
    </border>
    <border>
      <left style="medium">
        <color theme="3"/>
      </left>
      <right/>
      <top/>
      <bottom style="medium">
        <color theme="3"/>
      </bottom>
      <diagonal/>
    </border>
    <border>
      <left/>
      <right/>
      <top/>
      <bottom style="medium">
        <color theme="3"/>
      </bottom>
      <diagonal/>
    </border>
    <border>
      <left/>
      <right style="thin">
        <color indexed="64"/>
      </right>
      <top/>
      <bottom style="medium">
        <color theme="3"/>
      </bottom>
      <diagonal/>
    </border>
    <border>
      <left/>
      <right style="medium">
        <color theme="3"/>
      </right>
      <top style="medium">
        <color theme="3"/>
      </top>
      <bottom style="thin">
        <color indexed="64"/>
      </bottom>
      <diagonal/>
    </border>
    <border>
      <left style="thin">
        <color indexed="64"/>
      </left>
      <right style="dashed">
        <color theme="1"/>
      </right>
      <top style="thin">
        <color indexed="64"/>
      </top>
      <bottom style="thin">
        <color indexed="64"/>
      </bottom>
      <diagonal/>
    </border>
    <border>
      <left style="dashed">
        <color theme="1"/>
      </left>
      <right style="thin">
        <color theme="1"/>
      </right>
      <top style="thin">
        <color indexed="64"/>
      </top>
      <bottom style="thin">
        <color indexed="64"/>
      </bottom>
      <diagonal/>
    </border>
    <border>
      <left/>
      <right style="medium">
        <color theme="3"/>
      </right>
      <top style="thin">
        <color indexed="64"/>
      </top>
      <bottom style="thin">
        <color indexed="64"/>
      </bottom>
      <diagonal/>
    </border>
    <border>
      <left style="thin">
        <color indexed="64"/>
      </left>
      <right style="dashed">
        <color theme="1"/>
      </right>
      <top/>
      <bottom/>
      <diagonal/>
    </border>
    <border>
      <left style="dashed">
        <color theme="1"/>
      </left>
      <right style="thin">
        <color theme="1"/>
      </right>
      <top/>
      <bottom/>
      <diagonal/>
    </border>
    <border>
      <left/>
      <right style="medium">
        <color theme="3"/>
      </right>
      <top/>
      <bottom/>
      <diagonal/>
    </border>
    <border>
      <left/>
      <right style="medium">
        <color theme="3"/>
      </right>
      <top/>
      <bottom style="medium">
        <color theme="3"/>
      </bottom>
      <diagonal/>
    </border>
    <border>
      <left style="thin">
        <color indexed="64"/>
      </left>
      <right style="dashed">
        <color theme="1"/>
      </right>
      <top style="thin">
        <color theme="1"/>
      </top>
      <bottom/>
      <diagonal/>
    </border>
    <border>
      <left style="dashed">
        <color theme="1"/>
      </left>
      <right style="thin">
        <color theme="1"/>
      </right>
      <top style="thin">
        <color theme="1"/>
      </top>
      <bottom/>
      <diagonal/>
    </border>
    <border>
      <left/>
      <right style="medium">
        <color theme="3"/>
      </right>
      <top style="thin">
        <color theme="1"/>
      </top>
      <bottom/>
      <diagonal/>
    </border>
    <border>
      <left style="thin">
        <color indexed="64"/>
      </left>
      <right style="dashed">
        <color theme="1"/>
      </right>
      <top/>
      <bottom style="medium">
        <color theme="3"/>
      </bottom>
      <diagonal/>
    </border>
    <border>
      <left style="dashed">
        <color theme="1"/>
      </left>
      <right style="thin">
        <color theme="1"/>
      </right>
      <top/>
      <bottom style="medium">
        <color theme="3"/>
      </bottom>
      <diagonal/>
    </border>
    <border>
      <left style="thin">
        <color indexed="64"/>
      </left>
      <right style="medium">
        <color theme="3"/>
      </right>
      <top/>
      <bottom/>
      <diagonal/>
    </border>
    <border>
      <left style="medium">
        <color theme="3"/>
      </left>
      <right/>
      <top style="thin">
        <color theme="3"/>
      </top>
      <bottom style="thin">
        <color theme="3"/>
      </bottom>
      <diagonal/>
    </border>
    <border>
      <left/>
      <right/>
      <top style="thin">
        <color theme="3"/>
      </top>
      <bottom style="thin">
        <color theme="3"/>
      </bottom>
      <diagonal/>
    </border>
    <border>
      <left style="thin">
        <color indexed="64"/>
      </left>
      <right style="dashed">
        <color indexed="64"/>
      </right>
      <top style="thin">
        <color theme="3"/>
      </top>
      <bottom style="thin">
        <color theme="3"/>
      </bottom>
      <diagonal/>
    </border>
    <border>
      <left style="dashed">
        <color indexed="64"/>
      </left>
      <right style="dashed">
        <color indexed="64"/>
      </right>
      <top style="thin">
        <color theme="3"/>
      </top>
      <bottom style="thin">
        <color theme="3"/>
      </bottom>
      <diagonal/>
    </border>
    <border>
      <left style="dashed">
        <color indexed="64"/>
      </left>
      <right style="medium">
        <color theme="3"/>
      </right>
      <top style="thin">
        <color theme="3"/>
      </top>
      <bottom style="thin">
        <color theme="3"/>
      </bottom>
      <diagonal/>
    </border>
    <border>
      <left style="thin">
        <color indexed="64"/>
      </left>
      <right style="thin">
        <color indexed="64"/>
      </right>
      <top/>
      <bottom style="medium">
        <color theme="3"/>
      </bottom>
      <diagonal/>
    </border>
    <border>
      <left style="dashed">
        <color indexed="64"/>
      </left>
      <right style="dashed">
        <color indexed="64"/>
      </right>
      <top/>
      <bottom style="medium">
        <color theme="3"/>
      </bottom>
      <diagonal/>
    </border>
    <border>
      <left/>
      <right style="thin">
        <color rgb="FF93B1CD"/>
      </right>
      <top style="thin">
        <color indexed="64"/>
      </top>
      <bottom style="thin">
        <color indexed="64"/>
      </bottom>
      <diagonal/>
    </border>
    <border>
      <left style="thin">
        <color rgb="FF93B1CD"/>
      </left>
      <right/>
      <top style="thin">
        <color rgb="FF93B1CD"/>
      </top>
      <bottom style="thin">
        <color rgb="FF93B1CD"/>
      </bottom>
      <diagonal/>
    </border>
    <border>
      <left/>
      <right style="thin">
        <color rgb="FFA2C4E0"/>
      </right>
      <top/>
      <bottom style="thin">
        <color rgb="FFA2C4E0"/>
      </bottom>
      <diagonal/>
    </border>
    <border>
      <left/>
      <right style="thin">
        <color rgb="FFA2C4E0"/>
      </right>
      <top style="thin">
        <color rgb="FFA2C4E0"/>
      </top>
      <bottom style="thin">
        <color rgb="FFA2C4E0"/>
      </bottom>
      <diagonal/>
    </border>
    <border>
      <left style="thin">
        <color indexed="64"/>
      </left>
      <right style="dashed">
        <color indexed="64"/>
      </right>
      <top/>
      <bottom style="thin">
        <color rgb="FFA2C4E0"/>
      </bottom>
      <diagonal/>
    </border>
    <border>
      <left style="dashed">
        <color indexed="64"/>
      </left>
      <right style="dashed">
        <color indexed="64"/>
      </right>
      <top/>
      <bottom style="thin">
        <color rgb="FFA2C4E0"/>
      </bottom>
      <diagonal/>
    </border>
    <border>
      <left style="dashed">
        <color indexed="64"/>
      </left>
      <right style="thin">
        <color indexed="64"/>
      </right>
      <top/>
      <bottom style="thin">
        <color rgb="FFA2C4E0"/>
      </bottom>
      <diagonal/>
    </border>
    <border>
      <left style="thin">
        <color indexed="64"/>
      </left>
      <right style="dashed">
        <color indexed="64"/>
      </right>
      <top style="thin">
        <color rgb="FFA2C4E0"/>
      </top>
      <bottom style="thin">
        <color rgb="FFA2C4E0"/>
      </bottom>
      <diagonal/>
    </border>
    <border>
      <left style="dashed">
        <color indexed="64"/>
      </left>
      <right style="dashed">
        <color indexed="64"/>
      </right>
      <top style="thin">
        <color rgb="FFA2C4E0"/>
      </top>
      <bottom style="thin">
        <color rgb="FFA2C4E0"/>
      </bottom>
      <diagonal/>
    </border>
    <border>
      <left style="dashed">
        <color indexed="64"/>
      </left>
      <right style="thin">
        <color indexed="64"/>
      </right>
      <top style="thin">
        <color rgb="FFA2C4E0"/>
      </top>
      <bottom style="thin">
        <color rgb="FFA2C4E0"/>
      </bottom>
      <diagonal/>
    </border>
    <border>
      <left style="medium">
        <color indexed="64"/>
      </left>
      <right/>
      <top style="thick">
        <color theme="1"/>
      </top>
      <bottom style="medium">
        <color indexed="64"/>
      </bottom>
      <diagonal/>
    </border>
    <border>
      <left/>
      <right/>
      <top style="thick">
        <color theme="1"/>
      </top>
      <bottom style="medium">
        <color indexed="64"/>
      </bottom>
      <diagonal/>
    </border>
    <border>
      <left/>
      <right style="medium">
        <color indexed="64"/>
      </right>
      <top style="thick">
        <color theme="1"/>
      </top>
      <bottom style="medium">
        <color indexed="64"/>
      </bottom>
      <diagonal/>
    </border>
    <border>
      <left style="thin">
        <color rgb="FFA2C4E0"/>
      </left>
      <right style="thin">
        <color rgb="FFA2C4E0"/>
      </right>
      <top/>
      <bottom style="thin">
        <color rgb="FFA2C4E0"/>
      </bottom>
      <diagonal/>
    </border>
    <border>
      <left style="medium">
        <color rgb="FFCFCFCF"/>
      </left>
      <right style="medium">
        <color rgb="FFCFCFCF"/>
      </right>
      <top style="medium">
        <color rgb="FFCFCFCF"/>
      </top>
      <bottom style="medium">
        <color rgb="FFCFCFCF"/>
      </bottom>
      <diagonal/>
    </border>
    <border>
      <left style="medium">
        <color rgb="FF93B1CD"/>
      </left>
      <right style="medium">
        <color rgb="FF93B1CD"/>
      </right>
      <top style="medium">
        <color rgb="FF93B1CD"/>
      </top>
      <bottom style="medium">
        <color rgb="FF93B1CD"/>
      </bottom>
      <diagonal/>
    </border>
    <border>
      <left style="medium">
        <color rgb="FFA2C4E0"/>
      </left>
      <right style="medium">
        <color rgb="FFA2C4E0"/>
      </right>
      <top style="medium">
        <color rgb="FFA2C4E0"/>
      </top>
      <bottom style="medium">
        <color rgb="FFA2C4E0"/>
      </bottom>
      <diagonal/>
    </border>
    <border>
      <left style="medium">
        <color rgb="FFA2C4E0"/>
      </left>
      <right/>
      <top style="medium">
        <color rgb="FFA2C4E0"/>
      </top>
      <bottom style="medium">
        <color rgb="FFA2C4E0"/>
      </bottom>
      <diagonal/>
    </border>
    <border>
      <left style="thin">
        <color indexed="64"/>
      </left>
      <right style="dashed">
        <color indexed="64"/>
      </right>
      <top style="thin">
        <color theme="1"/>
      </top>
      <bottom style="thin">
        <color indexed="64"/>
      </bottom>
      <diagonal/>
    </border>
    <border>
      <left style="dashed">
        <color indexed="64"/>
      </left>
      <right style="thin">
        <color indexed="64"/>
      </right>
      <top style="thin">
        <color theme="1"/>
      </top>
      <bottom style="thin">
        <color indexed="64"/>
      </bottom>
      <diagonal/>
    </border>
    <border>
      <left/>
      <right style="thin">
        <color theme="1"/>
      </right>
      <top style="thin">
        <color theme="1"/>
      </top>
      <bottom style="thin">
        <color indexed="64"/>
      </bottom>
      <diagonal/>
    </border>
    <border>
      <left style="thin">
        <color theme="1"/>
      </left>
      <right style="medium">
        <color theme="3"/>
      </right>
      <top style="thin">
        <color theme="1"/>
      </top>
      <bottom style="thin">
        <color indexed="64"/>
      </bottom>
      <diagonal/>
    </border>
    <border>
      <left style="dashed">
        <color theme="1"/>
      </left>
      <right style="dashed">
        <color theme="1"/>
      </right>
      <top/>
      <bottom/>
      <diagonal/>
    </border>
    <border>
      <left style="dashed">
        <color theme="1"/>
      </left>
      <right style="dashed">
        <color theme="1"/>
      </right>
      <top style="thin">
        <color indexed="64"/>
      </top>
      <bottom style="thin">
        <color indexed="64"/>
      </bottom>
      <diagonal/>
    </border>
    <border>
      <left style="dashed">
        <color theme="1"/>
      </left>
      <right style="dashed">
        <color theme="1"/>
      </right>
      <top style="thin">
        <color indexed="64"/>
      </top>
      <bottom style="medium">
        <color theme="3"/>
      </bottom>
      <diagonal/>
    </border>
    <border>
      <left style="dashed">
        <color theme="1"/>
      </left>
      <right style="thin">
        <color theme="1"/>
      </right>
      <top style="thin">
        <color indexed="64"/>
      </top>
      <bottom style="medium">
        <color theme="3"/>
      </bottom>
      <diagonal/>
    </border>
    <border>
      <left style="medium">
        <color theme="3"/>
      </left>
      <right/>
      <top style="thin">
        <color indexed="64"/>
      </top>
      <bottom style="thin">
        <color indexed="64"/>
      </bottom>
      <diagonal/>
    </border>
    <border>
      <left style="medium">
        <color theme="3"/>
      </left>
      <right/>
      <top style="thin">
        <color indexed="64"/>
      </top>
      <bottom style="medium">
        <color theme="3"/>
      </bottom>
      <diagonal/>
    </border>
    <border>
      <left/>
      <right/>
      <top style="thin">
        <color indexed="64"/>
      </top>
      <bottom style="medium">
        <color theme="3"/>
      </bottom>
      <diagonal/>
    </border>
    <border>
      <left style="thin">
        <color theme="1"/>
      </left>
      <right style="dashed">
        <color theme="1"/>
      </right>
      <top/>
      <bottom/>
      <diagonal/>
    </border>
    <border>
      <left style="thin">
        <color theme="1"/>
      </left>
      <right style="dashed">
        <color theme="1"/>
      </right>
      <top style="thin">
        <color indexed="64"/>
      </top>
      <bottom style="thin">
        <color indexed="64"/>
      </bottom>
      <diagonal/>
    </border>
    <border>
      <left style="thin">
        <color theme="1"/>
      </left>
      <right style="dashed">
        <color theme="1"/>
      </right>
      <top style="thin">
        <color indexed="64"/>
      </top>
      <bottom style="medium">
        <color theme="3"/>
      </bottom>
      <diagonal/>
    </border>
    <border>
      <left style="thin">
        <color indexed="64"/>
      </left>
      <right/>
      <top style="medium">
        <color theme="3"/>
      </top>
      <bottom style="thin">
        <color indexed="64"/>
      </bottom>
      <diagonal/>
    </border>
    <border>
      <left/>
      <right style="thin">
        <color theme="1"/>
      </right>
      <top style="medium">
        <color theme="3"/>
      </top>
      <bottom style="thin">
        <color indexed="64"/>
      </bottom>
      <diagonal/>
    </border>
    <border>
      <left style="medium">
        <color theme="3"/>
      </left>
      <right/>
      <top style="medium">
        <color theme="3"/>
      </top>
      <bottom/>
      <diagonal/>
    </border>
    <border>
      <left/>
      <right style="thin">
        <color indexed="64"/>
      </right>
      <top style="medium">
        <color theme="3"/>
      </top>
      <bottom/>
      <diagonal/>
    </border>
    <border>
      <left style="medium">
        <color theme="3"/>
      </left>
      <right/>
      <top/>
      <bottom style="thin">
        <color theme="1"/>
      </bottom>
      <diagonal/>
    </border>
    <border>
      <left/>
      <right style="thin">
        <color indexed="64"/>
      </right>
      <top/>
      <bottom style="thin">
        <color theme="1"/>
      </bottom>
      <diagonal/>
    </border>
    <border>
      <left/>
      <right style="thin">
        <color theme="1"/>
      </right>
      <top style="medium">
        <color theme="3"/>
      </top>
      <bottom style="thin">
        <color theme="1"/>
      </bottom>
      <diagonal/>
    </border>
    <border>
      <left style="thin">
        <color theme="1"/>
      </left>
      <right style="medium">
        <color theme="3"/>
      </right>
      <top style="medium">
        <color theme="3"/>
      </top>
      <bottom style="thin">
        <color theme="1"/>
      </bottom>
      <diagonal/>
    </border>
    <border>
      <left style="thin">
        <color indexed="64"/>
      </left>
      <right style="dashed">
        <color indexed="64"/>
      </right>
      <top style="medium">
        <color theme="3"/>
      </top>
      <bottom style="thin">
        <color theme="1"/>
      </bottom>
      <diagonal/>
    </border>
    <border>
      <left style="dashed">
        <color indexed="64"/>
      </left>
      <right style="thin">
        <color indexed="64"/>
      </right>
      <top style="medium">
        <color theme="3"/>
      </top>
      <bottom style="thin">
        <color theme="1"/>
      </bottom>
      <diagonal/>
    </border>
    <border>
      <left/>
      <right/>
      <top style="medium">
        <color theme="3"/>
      </top>
      <bottom/>
      <diagonal/>
    </border>
    <border>
      <left style="medium">
        <color theme="3"/>
      </left>
      <right/>
      <top/>
      <bottom style="thin">
        <color indexed="64"/>
      </bottom>
      <diagonal/>
    </border>
    <border>
      <left style="medium">
        <color theme="3"/>
      </left>
      <right/>
      <top style="medium">
        <color theme="3"/>
      </top>
      <bottom style="thin">
        <color indexed="64"/>
      </bottom>
      <diagonal/>
    </border>
    <border>
      <left/>
      <right/>
      <top style="medium">
        <color theme="3"/>
      </top>
      <bottom style="thin">
        <color indexed="64"/>
      </bottom>
      <diagonal/>
    </border>
    <border>
      <left/>
      <right style="thin">
        <color indexed="64"/>
      </right>
      <top style="medium">
        <color theme="3"/>
      </top>
      <bottom style="thin">
        <color indexed="64"/>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thin">
        <color theme="1"/>
      </left>
      <right style="medium">
        <color theme="3"/>
      </right>
      <top style="thin">
        <color theme="1"/>
      </top>
      <bottom style="thin">
        <color theme="1"/>
      </bottom>
      <diagonal/>
    </border>
    <border>
      <left style="thin">
        <color theme="1"/>
      </left>
      <right/>
      <top style="medium">
        <color theme="3"/>
      </top>
      <bottom style="thin">
        <color indexed="64"/>
      </bottom>
      <diagonal/>
    </border>
    <border>
      <left style="thin">
        <color indexed="64"/>
      </left>
      <right style="thin">
        <color indexed="64"/>
      </right>
      <top style="medium">
        <color theme="3"/>
      </top>
      <bottom style="thin">
        <color indexed="64"/>
      </bottom>
      <diagonal/>
    </border>
    <border>
      <left style="thin">
        <color indexed="64"/>
      </left>
      <right style="medium">
        <color theme="3"/>
      </right>
      <top style="medium">
        <color theme="3"/>
      </top>
      <bottom style="thin">
        <color indexed="64"/>
      </bottom>
      <diagonal/>
    </border>
    <border>
      <left/>
      <right/>
      <top/>
      <bottom style="thin">
        <color theme="1"/>
      </bottom>
      <diagonal/>
    </border>
    <border>
      <left style="thin">
        <color indexed="64"/>
      </left>
      <right style="thin">
        <color indexed="64"/>
      </right>
      <top style="medium">
        <color theme="3"/>
      </top>
      <bottom/>
      <diagonal/>
    </border>
    <border>
      <left style="thin">
        <color indexed="64"/>
      </left>
      <right style="thin">
        <color indexed="64"/>
      </right>
      <top/>
      <bottom style="thin">
        <color theme="1"/>
      </bottom>
      <diagonal/>
    </border>
    <border>
      <left style="thin">
        <color indexed="64"/>
      </left>
      <right/>
      <top style="medium">
        <color theme="3"/>
      </top>
      <bottom style="thin">
        <color theme="1"/>
      </bottom>
      <diagonal/>
    </border>
    <border>
      <left/>
      <right/>
      <top style="medium">
        <color theme="3"/>
      </top>
      <bottom style="thin">
        <color theme="1"/>
      </bottom>
      <diagonal/>
    </border>
    <border>
      <left/>
      <right style="thin">
        <color indexed="64"/>
      </right>
      <top style="medium">
        <color theme="3"/>
      </top>
      <bottom style="thin">
        <color theme="1"/>
      </bottom>
      <diagonal/>
    </border>
    <border>
      <left/>
      <right style="medium">
        <color theme="3"/>
      </right>
      <top style="medium">
        <color theme="3"/>
      </top>
      <bottom style="thin">
        <color theme="1"/>
      </bottom>
      <diagonal/>
    </border>
    <border>
      <left style="thin">
        <color theme="1"/>
      </left>
      <right style="dashed">
        <color theme="1"/>
      </right>
      <top style="thin">
        <color theme="1"/>
      </top>
      <bottom style="thin">
        <color theme="1"/>
      </bottom>
      <diagonal/>
    </border>
    <border>
      <left style="dashed">
        <color theme="1"/>
      </left>
      <right style="dashed">
        <color theme="1"/>
      </right>
      <top style="thin">
        <color theme="1"/>
      </top>
      <bottom style="thin">
        <color theme="1"/>
      </bottom>
      <diagonal/>
    </border>
    <border>
      <left style="thin">
        <color theme="1"/>
      </left>
      <right style="dashed">
        <color theme="1"/>
      </right>
      <top style="medium">
        <color theme="3"/>
      </top>
      <bottom style="thin">
        <color theme="1"/>
      </bottom>
      <diagonal/>
    </border>
    <border>
      <left style="dashed">
        <color theme="1"/>
      </left>
      <right style="dashed">
        <color theme="1"/>
      </right>
      <top style="medium">
        <color theme="3"/>
      </top>
      <bottom style="thin">
        <color theme="1"/>
      </bottom>
      <diagonal/>
    </border>
    <border>
      <left style="dashed">
        <color theme="1"/>
      </left>
      <right style="thin">
        <color theme="1"/>
      </right>
      <top style="medium">
        <color theme="3"/>
      </top>
      <bottom style="thin">
        <color theme="1"/>
      </bottom>
      <diagonal/>
    </border>
    <border>
      <left style="dashed">
        <color theme="1"/>
      </left>
      <right style="dashed">
        <color theme="1"/>
      </right>
      <top style="thin">
        <color theme="1"/>
      </top>
      <bottom/>
      <diagonal/>
    </border>
    <border>
      <left style="dashed">
        <color theme="1"/>
      </left>
      <right style="dashed">
        <color theme="1"/>
      </right>
      <top/>
      <bottom style="thin">
        <color theme="1"/>
      </bottom>
      <diagonal/>
    </border>
    <border>
      <left style="dashed">
        <color theme="1"/>
      </left>
      <right style="thin">
        <color theme="1"/>
      </right>
      <top/>
      <bottom style="thin">
        <color theme="1"/>
      </bottom>
      <diagonal/>
    </border>
    <border>
      <left style="thin">
        <color rgb="FFCFCFCF"/>
      </left>
      <right/>
      <top style="thin">
        <color rgb="FFCFCFCF"/>
      </top>
      <bottom/>
      <diagonal/>
    </border>
    <border>
      <left style="thin">
        <color rgb="FFCFCFCF"/>
      </left>
      <right/>
      <top/>
      <bottom/>
      <diagonal/>
    </border>
    <border>
      <left style="thin">
        <color rgb="FFCFCFCF"/>
      </left>
      <right/>
      <top/>
      <bottom style="thin">
        <color rgb="FF93B1CD"/>
      </bottom>
      <diagonal/>
    </border>
    <border>
      <left style="thin">
        <color rgb="FF93B1CD"/>
      </left>
      <right/>
      <top style="thin">
        <color indexed="64"/>
      </top>
      <bottom style="thin">
        <color indexed="64"/>
      </bottom>
      <diagonal/>
    </border>
    <border>
      <left style="thick">
        <color theme="1"/>
      </left>
      <right/>
      <top style="thick">
        <color theme="1"/>
      </top>
      <bottom style="thick">
        <color theme="1"/>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theme="1"/>
      </left>
      <right/>
      <top style="thin">
        <color rgb="FF93B1CD"/>
      </top>
      <bottom style="thin">
        <color rgb="FF93B1CD"/>
      </bottom>
      <diagonal/>
    </border>
    <border>
      <left/>
      <right/>
      <top style="thin">
        <color rgb="FF93B1CD"/>
      </top>
      <bottom style="thin">
        <color rgb="FF93B1CD"/>
      </bottom>
      <diagonal/>
    </border>
    <border>
      <left style="thin">
        <color rgb="FFCFCFCF"/>
      </left>
      <right style="thin">
        <color rgb="FF93B1CD"/>
      </right>
      <top style="thin">
        <color rgb="FFCFCFCF"/>
      </top>
      <bottom/>
      <diagonal/>
    </border>
    <border>
      <left style="thin">
        <color rgb="FF93B1CD"/>
      </left>
      <right/>
      <top style="thin">
        <color rgb="FF93B1CD"/>
      </top>
      <bottom/>
      <diagonal/>
    </border>
    <border>
      <left/>
      <right/>
      <top style="thin">
        <color rgb="FF93B1CD"/>
      </top>
      <bottom/>
      <diagonal/>
    </border>
    <border>
      <left/>
      <right style="thin">
        <color rgb="FF93B1CD"/>
      </right>
      <top/>
      <bottom/>
      <diagonal/>
    </border>
  </borders>
  <cellStyleXfs count="38">
    <xf numFmtId="0" fontId="0" fillId="0" borderId="0"/>
    <xf numFmtId="43" fontId="39" fillId="0" borderId="0" applyFont="0" applyFill="0" applyBorder="0" applyAlignment="0" applyProtection="0"/>
    <xf numFmtId="43" fontId="41" fillId="0" borderId="0" applyFont="0" applyFill="0" applyBorder="0" applyAlignment="0" applyProtection="0"/>
    <xf numFmtId="44" fontId="39" fillId="0" borderId="0" applyFont="0" applyFill="0" applyBorder="0" applyAlignment="0" applyProtection="0"/>
    <xf numFmtId="0" fontId="6"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0" fillId="0" borderId="0"/>
    <xf numFmtId="0" fontId="8" fillId="0" borderId="0"/>
    <xf numFmtId="0" fontId="15" fillId="0" borderId="0"/>
    <xf numFmtId="0" fontId="9" fillId="0" borderId="0">
      <alignment vertical="top"/>
    </xf>
    <xf numFmtId="0" fontId="39" fillId="0" borderId="0"/>
    <xf numFmtId="0" fontId="9" fillId="0" borderId="0"/>
    <xf numFmtId="0" fontId="41" fillId="0" borderId="0"/>
    <xf numFmtId="0" fontId="13" fillId="0" borderId="0"/>
    <xf numFmtId="0" fontId="9" fillId="0" borderId="0">
      <alignment vertical="top"/>
    </xf>
    <xf numFmtId="0" fontId="18" fillId="0" borderId="0"/>
    <xf numFmtId="0" fontId="22" fillId="0" borderId="0">
      <alignment vertical="top"/>
    </xf>
    <xf numFmtId="0" fontId="23" fillId="0" borderId="0"/>
    <xf numFmtId="0" fontId="1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 fillId="0" borderId="0"/>
    <xf numFmtId="0" fontId="23" fillId="0" borderId="0"/>
    <xf numFmtId="0" fontId="13" fillId="0" borderId="0"/>
    <xf numFmtId="0" fontId="13" fillId="0" borderId="0"/>
    <xf numFmtId="0" fontId="15" fillId="0" borderId="0"/>
    <xf numFmtId="0" fontId="15" fillId="0" borderId="0"/>
    <xf numFmtId="0" fontId="15" fillId="0" borderId="0"/>
    <xf numFmtId="0" fontId="23" fillId="0" borderId="0"/>
    <xf numFmtId="0" fontId="15" fillId="0" borderId="0"/>
    <xf numFmtId="0" fontId="15" fillId="0" borderId="0"/>
    <xf numFmtId="0" fontId="15" fillId="0" borderId="0"/>
    <xf numFmtId="0" fontId="15" fillId="0" borderId="0"/>
    <xf numFmtId="9" fontId="39" fillId="0" borderId="0" applyFont="0" applyFill="0" applyBorder="0" applyAlignment="0" applyProtection="0"/>
  </cellStyleXfs>
  <cellXfs count="1403">
    <xf numFmtId="0" fontId="0" fillId="0" borderId="0" xfId="0"/>
    <xf numFmtId="0" fontId="43" fillId="0" borderId="0" xfId="6" applyFont="1"/>
    <xf numFmtId="0" fontId="44" fillId="0" borderId="0" xfId="6" applyFont="1" applyAlignment="1"/>
    <xf numFmtId="0" fontId="45" fillId="0" borderId="0" xfId="6" applyFont="1" applyAlignment="1">
      <alignment horizontal="center"/>
    </xf>
    <xf numFmtId="0" fontId="46" fillId="0" borderId="0" xfId="6" applyFont="1" applyAlignment="1"/>
    <xf numFmtId="0" fontId="46" fillId="0" borderId="0" xfId="6" applyFont="1" applyAlignment="1">
      <alignment horizontal="right" wrapText="1"/>
    </xf>
    <xf numFmtId="0" fontId="47" fillId="0" borderId="0" xfId="6" applyFont="1"/>
    <xf numFmtId="0" fontId="47" fillId="0" borderId="0" xfId="6" applyFont="1" applyAlignment="1">
      <alignment horizontal="right" wrapText="1"/>
    </xf>
    <xf numFmtId="49" fontId="46" fillId="0" borderId="2" xfId="6" applyNumberFormat="1" applyFont="1" applyBorder="1" applyAlignment="1">
      <alignment horizontal="center"/>
    </xf>
    <xf numFmtId="0" fontId="46" fillId="0" borderId="2" xfId="6" applyFont="1" applyBorder="1" applyAlignment="1">
      <alignment horizontal="right" wrapText="1"/>
    </xf>
    <xf numFmtId="49" fontId="47" fillId="0" borderId="0" xfId="6" quotePrefix="1" applyNumberFormat="1" applyFont="1" applyAlignment="1">
      <alignment horizontal="center"/>
    </xf>
    <xf numFmtId="49" fontId="47" fillId="0" borderId="0" xfId="6" applyNumberFormat="1" applyFont="1" applyAlignment="1">
      <alignment horizontal="center"/>
    </xf>
    <xf numFmtId="49" fontId="47" fillId="0" borderId="2" xfId="6" applyNumberFormat="1" applyFont="1" applyBorder="1" applyAlignment="1">
      <alignment horizontal="center"/>
    </xf>
    <xf numFmtId="0" fontId="47" fillId="0" borderId="2" xfId="6" applyFont="1" applyBorder="1" applyAlignment="1">
      <alignment horizontal="right" wrapText="1"/>
    </xf>
    <xf numFmtId="49" fontId="48" fillId="0" borderId="0" xfId="6" quotePrefix="1" applyNumberFormat="1" applyFont="1" applyAlignment="1">
      <alignment horizontal="center"/>
    </xf>
    <xf numFmtId="0" fontId="48" fillId="0" borderId="0" xfId="6" applyFont="1" applyAlignment="1">
      <alignment horizontal="right" wrapText="1"/>
    </xf>
    <xf numFmtId="0" fontId="4" fillId="0" borderId="0" xfId="6" applyFont="1" applyAlignment="1">
      <alignment horizontal="right" vertical="top"/>
    </xf>
    <xf numFmtId="0" fontId="7" fillId="0" borderId="0" xfId="4" applyFont="1" applyAlignment="1" applyProtection="1"/>
    <xf numFmtId="0" fontId="43" fillId="0" borderId="0" xfId="6" applyFont="1" applyAlignment="1">
      <alignment horizontal="right" wrapText="1"/>
    </xf>
    <xf numFmtId="0" fontId="47" fillId="0" borderId="0" xfId="6" quotePrefix="1" applyNumberFormat="1" applyFont="1" applyAlignment="1">
      <alignment horizontal="center"/>
    </xf>
    <xf numFmtId="0" fontId="4" fillId="0" borderId="0" xfId="11" applyFont="1"/>
    <xf numFmtId="0" fontId="4" fillId="0" borderId="0" xfId="11" applyFont="1" applyAlignment="1">
      <alignment horizontal="right" vertical="top"/>
    </xf>
    <xf numFmtId="0" fontId="49" fillId="0" borderId="0" xfId="6" applyFont="1"/>
    <xf numFmtId="0" fontId="4" fillId="0" borderId="0" xfId="11" applyFont="1" applyBorder="1"/>
    <xf numFmtId="0" fontId="11" fillId="0" borderId="0" xfId="11" applyFont="1"/>
    <xf numFmtId="0" fontId="2" fillId="0" borderId="2" xfId="11" applyFont="1" applyFill="1" applyBorder="1" applyAlignment="1">
      <alignment horizontal="center"/>
    </xf>
    <xf numFmtId="0" fontId="2" fillId="0" borderId="2" xfId="11" quotePrefix="1" applyFont="1" applyFill="1" applyBorder="1" applyAlignment="1">
      <alignment horizontal="center"/>
    </xf>
    <xf numFmtId="0" fontId="14" fillId="0" borderId="0" xfId="11" quotePrefix="1" applyFont="1" applyFill="1" applyBorder="1" applyAlignment="1">
      <alignment horizontal="center"/>
    </xf>
    <xf numFmtId="0" fontId="14" fillId="0" borderId="0" xfId="11" applyFont="1" applyFill="1" applyBorder="1" applyAlignment="1">
      <alignment horizontal="center"/>
    </xf>
    <xf numFmtId="0" fontId="4" fillId="0" borderId="0" xfId="11" applyFont="1" applyFill="1" applyBorder="1"/>
    <xf numFmtId="0" fontId="3" fillId="0" borderId="0" xfId="11" applyFont="1" applyFill="1" applyBorder="1" applyAlignment="1">
      <alignment horizontal="center"/>
    </xf>
    <xf numFmtId="0" fontId="2" fillId="0" borderId="0" xfId="11" applyFont="1" applyFill="1" applyBorder="1" applyAlignment="1">
      <alignment horizontal="center"/>
    </xf>
    <xf numFmtId="165" fontId="2" fillId="0" borderId="0" xfId="11" applyNumberFormat="1" applyFont="1" applyFill="1" applyBorder="1" applyAlignment="1">
      <alignment horizontal="right" wrapText="1" indent="1"/>
    </xf>
    <xf numFmtId="165" fontId="14" fillId="0" borderId="0" xfId="11" applyNumberFormat="1" applyFont="1" applyFill="1" applyBorder="1" applyAlignment="1">
      <alignment horizontal="right" wrapText="1" indent="1"/>
    </xf>
    <xf numFmtId="0" fontId="47" fillId="0" borderId="0" xfId="6" applyNumberFormat="1" applyFont="1" applyAlignment="1">
      <alignment horizontal="right"/>
    </xf>
    <xf numFmtId="0" fontId="47" fillId="0" borderId="0" xfId="6" quotePrefix="1" applyNumberFormat="1" applyFont="1" applyAlignment="1">
      <alignment horizontal="right"/>
    </xf>
    <xf numFmtId="0" fontId="47" fillId="0" borderId="2" xfId="6" applyNumberFormat="1" applyFont="1" applyBorder="1" applyAlignment="1">
      <alignment horizontal="right"/>
    </xf>
    <xf numFmtId="0" fontId="1" fillId="0" borderId="1" xfId="28" applyFont="1" applyFill="1" applyBorder="1" applyAlignment="1">
      <alignment wrapText="1"/>
    </xf>
    <xf numFmtId="0" fontId="40" fillId="0" borderId="2" xfId="6" applyBorder="1" applyAlignment="1"/>
    <xf numFmtId="0" fontId="45" fillId="0" borderId="2" xfId="6" applyFont="1" applyBorder="1" applyAlignment="1"/>
    <xf numFmtId="49" fontId="50" fillId="0" borderId="0" xfId="9" applyNumberFormat="1" applyFont="1" applyFill="1" applyAlignment="1">
      <alignment vertical="top" wrapText="1"/>
    </xf>
    <xf numFmtId="3" fontId="51" fillId="0" borderId="93" xfId="9" applyNumberFormat="1" applyFont="1" applyFill="1" applyBorder="1" applyAlignment="1">
      <alignment horizontal="right" vertical="top"/>
    </xf>
    <xf numFmtId="49" fontId="52" fillId="0" borderId="0" xfId="9" applyNumberFormat="1" applyFont="1" applyFill="1" applyAlignment="1">
      <alignment horizontal="center" vertical="top" wrapText="1"/>
    </xf>
    <xf numFmtId="0" fontId="40" fillId="0" borderId="2" xfId="6" applyBorder="1" applyAlignment="1">
      <alignment horizontal="right"/>
    </xf>
    <xf numFmtId="0" fontId="45" fillId="0" borderId="0" xfId="6" applyFont="1" applyAlignment="1">
      <alignment horizontal="right"/>
    </xf>
    <xf numFmtId="49" fontId="47" fillId="0" borderId="0" xfId="6" quotePrefix="1" applyNumberFormat="1" applyFont="1" applyAlignment="1">
      <alignment horizontal="right"/>
    </xf>
    <xf numFmtId="49" fontId="47" fillId="0" borderId="0" xfId="6" applyNumberFormat="1" applyFont="1" applyAlignment="1">
      <alignment horizontal="right"/>
    </xf>
    <xf numFmtId="49" fontId="47" fillId="0" borderId="2" xfId="6" applyNumberFormat="1" applyFont="1" applyBorder="1" applyAlignment="1">
      <alignment horizontal="right"/>
    </xf>
    <xf numFmtId="0" fontId="7" fillId="0" borderId="0" xfId="4" applyFont="1" applyAlignment="1" applyProtection="1">
      <alignment horizontal="right"/>
    </xf>
    <xf numFmtId="0" fontId="1" fillId="0" borderId="0" xfId="15" applyFont="1" applyFill="1"/>
    <xf numFmtId="0" fontId="1" fillId="0" borderId="0" xfId="15" applyFont="1" applyFill="1" applyAlignment="1">
      <alignment wrapText="1"/>
    </xf>
    <xf numFmtId="0" fontId="1" fillId="0" borderId="0" xfId="15" applyFont="1" applyFill="1" applyAlignment="1">
      <alignment horizontal="left" wrapText="1"/>
    </xf>
    <xf numFmtId="0" fontId="1" fillId="0" borderId="3" xfId="15" applyFont="1" applyFill="1" applyBorder="1" applyAlignment="1">
      <alignment horizontal="left"/>
    </xf>
    <xf numFmtId="3" fontId="1" fillId="0" borderId="3" xfId="15" applyNumberFormat="1" applyFont="1" applyFill="1" applyBorder="1" applyAlignment="1">
      <alignment horizontal="right"/>
    </xf>
    <xf numFmtId="3" fontId="1" fillId="0" borderId="0" xfId="15" applyNumberFormat="1" applyFont="1" applyFill="1"/>
    <xf numFmtId="0" fontId="1" fillId="0" borderId="0" xfId="15" quotePrefix="1" applyFont="1" applyFill="1"/>
    <xf numFmtId="9" fontId="53" fillId="0" borderId="0" xfId="0" applyNumberFormat="1" applyFont="1" applyAlignment="1">
      <alignment horizontal="right" indent="1"/>
    </xf>
    <xf numFmtId="0" fontId="19" fillId="2" borderId="3" xfId="15" applyFont="1" applyFill="1" applyBorder="1" applyAlignment="1">
      <alignment horizontal="center" wrapText="1"/>
    </xf>
    <xf numFmtId="0" fontId="19" fillId="2" borderId="4" xfId="15" applyFont="1" applyFill="1" applyBorder="1" applyAlignment="1">
      <alignment horizontal="center" wrapText="1"/>
    </xf>
    <xf numFmtId="0" fontId="18" fillId="0" borderId="0" xfId="15" applyAlignment="1">
      <alignment wrapText="1"/>
    </xf>
    <xf numFmtId="0" fontId="19" fillId="0" borderId="1" xfId="15" applyFont="1" applyFill="1" applyBorder="1" applyAlignment="1">
      <alignment wrapText="1"/>
    </xf>
    <xf numFmtId="0" fontId="19" fillId="0" borderId="1" xfId="15" applyFont="1" applyFill="1" applyBorder="1" applyAlignment="1">
      <alignment horizontal="right" wrapText="1"/>
    </xf>
    <xf numFmtId="0" fontId="18" fillId="0" borderId="0" xfId="15"/>
    <xf numFmtId="0" fontId="10" fillId="0" borderId="0" xfId="15" applyFont="1" applyFill="1" applyBorder="1" applyAlignment="1">
      <alignment horizontal="left" wrapText="1"/>
    </xf>
    <xf numFmtId="0" fontId="19" fillId="0" borderId="3" xfId="15" applyFont="1" applyFill="1" applyBorder="1" applyAlignment="1">
      <alignment horizontal="center" wrapText="1"/>
    </xf>
    <xf numFmtId="0" fontId="18" fillId="0" borderId="0" xfId="15" applyFill="1" applyAlignment="1">
      <alignment wrapText="1"/>
    </xf>
    <xf numFmtId="0" fontId="20" fillId="0" borderId="5" xfId="15" applyFont="1" applyBorder="1" applyAlignment="1">
      <alignment horizontal="center"/>
    </xf>
    <xf numFmtId="0" fontId="12" fillId="0" borderId="3" xfId="15" applyFont="1" applyFill="1" applyBorder="1" applyAlignment="1">
      <alignment horizontal="center" wrapText="1"/>
    </xf>
    <xf numFmtId="0" fontId="20" fillId="0" borderId="0" xfId="15" applyFont="1" applyBorder="1" applyAlignment="1">
      <alignment horizontal="center"/>
    </xf>
    <xf numFmtId="3" fontId="19" fillId="0" borderId="1" xfId="15" applyNumberFormat="1" applyFont="1" applyFill="1" applyBorder="1" applyAlignment="1">
      <alignment horizontal="right" wrapText="1"/>
    </xf>
    <xf numFmtId="3" fontId="19" fillId="0" borderId="1" xfId="15" applyNumberFormat="1" applyFont="1" applyFill="1" applyBorder="1" applyAlignment="1">
      <alignment horizontal="right" wrapText="1" indent="1"/>
    </xf>
    <xf numFmtId="9" fontId="53" fillId="0" borderId="0" xfId="0" applyNumberFormat="1" applyFont="1" applyAlignment="1">
      <alignment horizontal="right"/>
    </xf>
    <xf numFmtId="0" fontId="18" fillId="0" borderId="0" xfId="15" applyAlignment="1">
      <alignment horizontal="right"/>
    </xf>
    <xf numFmtId="0" fontId="54" fillId="0" borderId="1" xfId="15" applyFont="1" applyFill="1" applyBorder="1" applyAlignment="1">
      <alignment wrapText="1"/>
    </xf>
    <xf numFmtId="0" fontId="20" fillId="0" borderId="5" xfId="15" applyFont="1" applyBorder="1" applyAlignment="1">
      <alignment horizontal="center" wrapText="1"/>
    </xf>
    <xf numFmtId="0" fontId="19" fillId="0" borderId="3" xfId="15" applyFont="1" applyFill="1" applyBorder="1" applyAlignment="1">
      <alignment horizontal="right" wrapText="1"/>
    </xf>
    <xf numFmtId="0" fontId="54" fillId="0" borderId="1" xfId="15" applyFont="1" applyFill="1" applyBorder="1" applyAlignment="1">
      <alignment horizontal="right" wrapText="1"/>
    </xf>
    <xf numFmtId="0" fontId="20" fillId="0" borderId="6" xfId="15" applyFont="1" applyBorder="1" applyAlignment="1">
      <alignment horizontal="center"/>
    </xf>
    <xf numFmtId="0" fontId="12" fillId="0" borderId="7" xfId="15" applyFont="1" applyFill="1" applyBorder="1" applyAlignment="1">
      <alignment horizontal="center" wrapText="1"/>
    </xf>
    <xf numFmtId="0" fontId="12" fillId="0" borderId="8" xfId="15" applyFont="1" applyFill="1" applyBorder="1" applyAlignment="1">
      <alignment horizontal="center" wrapText="1"/>
    </xf>
    <xf numFmtId="3" fontId="19" fillId="0" borderId="9" xfId="15" applyNumberFormat="1" applyFont="1" applyFill="1" applyBorder="1" applyAlignment="1">
      <alignment horizontal="right" wrapText="1" indent="1"/>
    </xf>
    <xf numFmtId="0" fontId="20" fillId="0" borderId="0" xfId="15" applyFont="1" applyBorder="1" applyAlignment="1"/>
    <xf numFmtId="0" fontId="12" fillId="0" borderId="0" xfId="15" applyFont="1" applyFill="1" applyBorder="1" applyAlignment="1">
      <alignment horizontal="center" wrapText="1"/>
    </xf>
    <xf numFmtId="9" fontId="53" fillId="0" borderId="0" xfId="0" applyNumberFormat="1" applyFont="1" applyBorder="1" applyAlignment="1">
      <alignment horizontal="right"/>
    </xf>
    <xf numFmtId="0" fontId="18" fillId="0" borderId="0" xfId="15" applyBorder="1"/>
    <xf numFmtId="0" fontId="12" fillId="0" borderId="10" xfId="15" applyFont="1" applyFill="1" applyBorder="1" applyAlignment="1">
      <alignment horizontal="center" wrapText="1"/>
    </xf>
    <xf numFmtId="3" fontId="19" fillId="0" borderId="11" xfId="15" applyNumberFormat="1" applyFont="1" applyFill="1" applyBorder="1" applyAlignment="1">
      <alignment horizontal="right" wrapText="1"/>
    </xf>
    <xf numFmtId="0" fontId="20" fillId="0" borderId="0" xfId="15" applyFont="1" applyBorder="1" applyAlignment="1">
      <alignment horizontal="center" wrapText="1"/>
    </xf>
    <xf numFmtId="3" fontId="19" fillId="0" borderId="12" xfId="15" applyNumberFormat="1" applyFont="1" applyFill="1" applyBorder="1" applyAlignment="1">
      <alignment horizontal="right" wrapText="1" indent="1"/>
    </xf>
    <xf numFmtId="3" fontId="19" fillId="0" borderId="11" xfId="15" applyNumberFormat="1" applyFont="1" applyFill="1" applyBorder="1" applyAlignment="1">
      <alignment horizontal="right" wrapText="1" indent="1"/>
    </xf>
    <xf numFmtId="0" fontId="20" fillId="0" borderId="0" xfId="15" applyFont="1" applyBorder="1" applyAlignment="1">
      <alignment wrapText="1"/>
    </xf>
    <xf numFmtId="0" fontId="41" fillId="0" borderId="0" xfId="12"/>
    <xf numFmtId="0" fontId="1" fillId="0" borderId="1" xfId="15" applyFont="1" applyFill="1" applyBorder="1" applyAlignment="1">
      <alignment wrapText="1"/>
    </xf>
    <xf numFmtId="0" fontId="1" fillId="0" borderId="1" xfId="15" quotePrefix="1" applyFont="1" applyFill="1" applyBorder="1" applyAlignment="1">
      <alignment wrapText="1"/>
    </xf>
    <xf numFmtId="0" fontId="9" fillId="0" borderId="0" xfId="9" applyFont="1" applyAlignment="1">
      <alignment vertical="top"/>
    </xf>
    <xf numFmtId="49" fontId="55" fillId="0" borderId="94" xfId="9" applyNumberFormat="1" applyFont="1" applyBorder="1" applyAlignment="1">
      <alignment horizontal="center" vertical="top" wrapText="1"/>
    </xf>
    <xf numFmtId="49" fontId="55" fillId="3" borderId="95" xfId="9" applyNumberFormat="1" applyFont="1" applyFill="1" applyBorder="1" applyAlignment="1">
      <alignment horizontal="right" vertical="top" wrapText="1" indent="1"/>
    </xf>
    <xf numFmtId="49" fontId="51" fillId="4" borderId="95" xfId="9" applyNumberFormat="1" applyFont="1" applyFill="1" applyBorder="1" applyAlignment="1">
      <alignment vertical="top" wrapText="1"/>
    </xf>
    <xf numFmtId="3" fontId="51" fillId="0" borderId="93" xfId="9" applyNumberFormat="1" applyFont="1" applyFill="1" applyBorder="1" applyAlignment="1">
      <alignment horizontal="right" vertical="top" indent="1"/>
    </xf>
    <xf numFmtId="3" fontId="9" fillId="0" borderId="0" xfId="9" applyNumberFormat="1" applyFont="1" applyAlignment="1">
      <alignment horizontal="right" vertical="top" indent="1"/>
    </xf>
    <xf numFmtId="49" fontId="51" fillId="4" borderId="96" xfId="9" applyNumberFormat="1" applyFont="1" applyFill="1" applyBorder="1" applyAlignment="1">
      <alignment vertical="top" wrapText="1"/>
    </xf>
    <xf numFmtId="3" fontId="9" fillId="0" borderId="0" xfId="9" applyNumberFormat="1" applyFont="1" applyAlignment="1">
      <alignment vertical="top"/>
    </xf>
    <xf numFmtId="49" fontId="55" fillId="3" borderId="96" xfId="9" applyNumberFormat="1" applyFont="1" applyFill="1" applyBorder="1" applyAlignment="1">
      <alignment vertical="top" wrapText="1"/>
    </xf>
    <xf numFmtId="168" fontId="55" fillId="0" borderId="93" xfId="9" applyNumberFormat="1" applyFont="1" applyFill="1" applyBorder="1" applyAlignment="1">
      <alignment horizontal="right" vertical="top"/>
    </xf>
    <xf numFmtId="170" fontId="52" fillId="0" borderId="0" xfId="9" applyNumberFormat="1" applyFont="1" applyAlignment="1">
      <alignment horizontal="left" vertical="top" wrapText="1"/>
    </xf>
    <xf numFmtId="169" fontId="52" fillId="0" borderId="0" xfId="9" applyNumberFormat="1" applyFont="1" applyAlignment="1">
      <alignment horizontal="right" vertical="top" wrapText="1"/>
    </xf>
    <xf numFmtId="170" fontId="52" fillId="0" borderId="0" xfId="9" applyNumberFormat="1" applyFont="1" applyAlignment="1">
      <alignment vertical="top" wrapText="1"/>
    </xf>
    <xf numFmtId="0" fontId="56" fillId="0" borderId="0" xfId="0" applyFont="1" applyAlignment="1">
      <alignment horizontal="left"/>
    </xf>
    <xf numFmtId="0" fontId="56" fillId="0" borderId="0" xfId="0" applyFont="1"/>
    <xf numFmtId="0" fontId="57" fillId="0" borderId="0" xfId="0" applyFont="1"/>
    <xf numFmtId="0" fontId="46" fillId="0" borderId="2" xfId="6" applyFont="1" applyBorder="1"/>
    <xf numFmtId="0" fontId="4" fillId="0" borderId="0" xfId="0" applyFont="1" applyFill="1" applyBorder="1" applyAlignment="1">
      <alignment wrapText="1"/>
    </xf>
    <xf numFmtId="0" fontId="58" fillId="0" borderId="0" xfId="0" applyFont="1"/>
    <xf numFmtId="0" fontId="59" fillId="0" borderId="0" xfId="0" applyFont="1" applyBorder="1" applyAlignment="1"/>
    <xf numFmtId="0" fontId="58" fillId="0" borderId="0" xfId="0" quotePrefix="1" applyFont="1"/>
    <xf numFmtId="0" fontId="59" fillId="0" borderId="0" xfId="0" applyFont="1" applyAlignment="1">
      <alignment horizontal="right"/>
    </xf>
    <xf numFmtId="0" fontId="59" fillId="0" borderId="0" xfId="0" applyFont="1"/>
    <xf numFmtId="0" fontId="60" fillId="0" borderId="0" xfId="0" applyFont="1" applyAlignment="1">
      <alignment vertical="top" wrapText="1"/>
    </xf>
    <xf numFmtId="0" fontId="58" fillId="0" borderId="0" xfId="0" quotePrefix="1" applyFont="1" applyAlignment="1"/>
    <xf numFmtId="0" fontId="58" fillId="0" borderId="0" xfId="0" quotePrefix="1" applyFont="1" applyAlignment="1">
      <alignment horizontal="center"/>
    </xf>
    <xf numFmtId="0" fontId="60" fillId="0" borderId="0" xfId="0" applyFont="1" applyAlignment="1">
      <alignment horizontal="left" vertical="top" wrapText="1"/>
    </xf>
    <xf numFmtId="0" fontId="59" fillId="0" borderId="0" xfId="0" applyFont="1" applyBorder="1" applyAlignment="1">
      <alignment horizontal="center"/>
    </xf>
    <xf numFmtId="0" fontId="59" fillId="0" borderId="0" xfId="0" applyFont="1" applyBorder="1"/>
    <xf numFmtId="0" fontId="59" fillId="0" borderId="0" xfId="0" applyFont="1" applyBorder="1" applyAlignment="1">
      <alignment horizontal="right"/>
    </xf>
    <xf numFmtId="0" fontId="59" fillId="0" borderId="0" xfId="0" applyFont="1" applyBorder="1" applyAlignment="1">
      <alignment horizontal="right" wrapText="1"/>
    </xf>
    <xf numFmtId="0" fontId="58" fillId="0" borderId="0" xfId="0" applyFont="1" applyBorder="1"/>
    <xf numFmtId="3" fontId="58" fillId="0" borderId="0" xfId="0" applyNumberFormat="1" applyFont="1"/>
    <xf numFmtId="9" fontId="58" fillId="0" borderId="0" xfId="0" applyNumberFormat="1" applyFont="1"/>
    <xf numFmtId="167" fontId="58" fillId="0" borderId="0" xfId="0" applyNumberFormat="1" applyFont="1"/>
    <xf numFmtId="0" fontId="58" fillId="0" borderId="0" xfId="0" applyFont="1" applyAlignment="1">
      <alignment horizontal="left" indent="2"/>
    </xf>
    <xf numFmtId="0" fontId="58" fillId="0" borderId="0" xfId="0" applyFont="1" applyBorder="1" applyAlignment="1">
      <alignment horizontal="right"/>
    </xf>
    <xf numFmtId="0" fontId="58" fillId="0" borderId="0" xfId="0" applyFont="1" applyAlignment="1">
      <alignment wrapText="1"/>
    </xf>
    <xf numFmtId="0" fontId="61" fillId="0" borderId="0" xfId="0" applyFont="1"/>
    <xf numFmtId="167" fontId="58" fillId="0" borderId="0" xfId="0" applyNumberFormat="1" applyFont="1" applyBorder="1"/>
    <xf numFmtId="9" fontId="58" fillId="0" borderId="0" xfId="0" applyNumberFormat="1" applyFont="1" applyBorder="1"/>
    <xf numFmtId="3" fontId="58" fillId="0" borderId="0" xfId="0" applyNumberFormat="1" applyFont="1" applyAlignment="1">
      <alignment horizontal="right"/>
    </xf>
    <xf numFmtId="9" fontId="58" fillId="0" borderId="0" xfId="37" applyFont="1"/>
    <xf numFmtId="3" fontId="58" fillId="0" borderId="97" xfId="0" applyNumberFormat="1" applyFont="1" applyBorder="1" applyAlignment="1">
      <alignment horizontal="right" indent="2"/>
    </xf>
    <xf numFmtId="164" fontId="58" fillId="0" borderId="0" xfId="0" applyNumberFormat="1" applyFont="1" applyAlignment="1">
      <alignment horizontal="center"/>
    </xf>
    <xf numFmtId="164" fontId="58" fillId="0" borderId="0" xfId="0" applyNumberFormat="1" applyFont="1"/>
    <xf numFmtId="3" fontId="58" fillId="0" borderId="0" xfId="0" applyNumberFormat="1" applyFont="1" applyAlignment="1">
      <alignment horizontal="right" indent="1"/>
    </xf>
    <xf numFmtId="0" fontId="62" fillId="0" borderId="0" xfId="0" applyFont="1"/>
    <xf numFmtId="0" fontId="63" fillId="0" borderId="0" xfId="0" applyFont="1" applyFill="1" applyBorder="1" applyAlignment="1">
      <alignment horizontal="left"/>
    </xf>
    <xf numFmtId="0" fontId="62" fillId="0" borderId="0" xfId="0" applyFont="1" applyAlignment="1">
      <alignment horizontal="left"/>
    </xf>
    <xf numFmtId="0" fontId="58" fillId="0" borderId="0" xfId="0" applyFont="1" applyBorder="1" applyAlignment="1"/>
    <xf numFmtId="0" fontId="64" fillId="0" borderId="0" xfId="0" applyFont="1" applyBorder="1" applyAlignment="1"/>
    <xf numFmtId="0" fontId="65" fillId="0" borderId="0" xfId="0" applyFont="1" applyBorder="1" applyAlignment="1">
      <alignment horizontal="center"/>
    </xf>
    <xf numFmtId="0" fontId="9" fillId="0" borderId="0" xfId="6" applyFont="1"/>
    <xf numFmtId="0" fontId="66" fillId="0" borderId="0" xfId="6" applyFont="1" applyBorder="1" applyAlignment="1">
      <alignment horizontal="left"/>
    </xf>
    <xf numFmtId="0" fontId="67" fillId="0" borderId="0" xfId="0" applyFont="1"/>
    <xf numFmtId="173" fontId="67" fillId="0" borderId="0" xfId="1" applyNumberFormat="1" applyFont="1"/>
    <xf numFmtId="0" fontId="24" fillId="0" borderId="0" xfId="6" applyFont="1" applyBorder="1" applyAlignment="1">
      <alignment horizontal="left"/>
    </xf>
    <xf numFmtId="173" fontId="57" fillId="0" borderId="13" xfId="1" applyNumberFormat="1" applyFont="1" applyBorder="1"/>
    <xf numFmtId="0" fontId="57" fillId="0" borderId="14" xfId="0" applyFont="1" applyBorder="1"/>
    <xf numFmtId="0" fontId="66" fillId="0" borderId="14" xfId="6" applyFont="1" applyBorder="1"/>
    <xf numFmtId="0" fontId="66" fillId="0" borderId="15" xfId="6" applyFont="1" applyBorder="1"/>
    <xf numFmtId="173" fontId="57" fillId="0" borderId="13" xfId="1" applyNumberFormat="1" applyFont="1" applyBorder="1" applyAlignment="1">
      <alignment wrapText="1"/>
    </xf>
    <xf numFmtId="0" fontId="57" fillId="5" borderId="14" xfId="0" applyFont="1" applyFill="1" applyBorder="1" applyAlignment="1">
      <alignment horizontal="center"/>
    </xf>
    <xf numFmtId="0" fontId="66" fillId="5" borderId="14" xfId="6" applyFont="1" applyFill="1" applyBorder="1"/>
    <xf numFmtId="0" fontId="66" fillId="5" borderId="15" xfId="6" applyFont="1" applyFill="1" applyBorder="1"/>
    <xf numFmtId="173" fontId="67" fillId="5" borderId="13" xfId="1" applyNumberFormat="1" applyFont="1" applyFill="1" applyBorder="1"/>
    <xf numFmtId="164" fontId="67" fillId="5" borderId="13" xfId="37" applyNumberFormat="1" applyFont="1" applyFill="1" applyBorder="1"/>
    <xf numFmtId="164" fontId="67" fillId="5" borderId="16" xfId="37" applyNumberFormat="1" applyFont="1" applyFill="1" applyBorder="1"/>
    <xf numFmtId="49" fontId="67" fillId="0" borderId="14" xfId="0" applyNumberFormat="1" applyFont="1" applyBorder="1" applyAlignment="1">
      <alignment horizontal="center"/>
    </xf>
    <xf numFmtId="0" fontId="67" fillId="0" borderId="15" xfId="0" applyFont="1" applyBorder="1"/>
    <xf numFmtId="173" fontId="67" fillId="0" borderId="14" xfId="1" applyNumberFormat="1" applyFont="1" applyBorder="1"/>
    <xf numFmtId="0" fontId="67" fillId="0" borderId="0" xfId="0" applyFont="1" applyBorder="1"/>
    <xf numFmtId="164" fontId="67" fillId="0" borderId="14" xfId="37" applyNumberFormat="1" applyFont="1" applyBorder="1"/>
    <xf numFmtId="164" fontId="67" fillId="0" borderId="0" xfId="37" applyNumberFormat="1" applyFont="1" applyBorder="1"/>
    <xf numFmtId="173" fontId="67" fillId="0" borderId="0" xfId="1" applyNumberFormat="1" applyFont="1" applyBorder="1"/>
    <xf numFmtId="49" fontId="67" fillId="0" borderId="17" xfId="0" applyNumberFormat="1" applyFont="1" applyBorder="1" applyAlignment="1">
      <alignment horizontal="center"/>
    </xf>
    <xf numFmtId="0" fontId="67" fillId="0" borderId="18" xfId="0" applyFont="1" applyBorder="1"/>
    <xf numFmtId="173" fontId="67" fillId="0" borderId="17" xfId="1" applyNumberFormat="1" applyFont="1" applyBorder="1"/>
    <xf numFmtId="164" fontId="67" fillId="0" borderId="17" xfId="37" applyNumberFormat="1" applyFont="1" applyBorder="1"/>
    <xf numFmtId="49" fontId="67" fillId="0" borderId="19" xfId="0" applyNumberFormat="1" applyFont="1" applyBorder="1" applyAlignment="1">
      <alignment horizontal="center"/>
    </xf>
    <xf numFmtId="0" fontId="67" fillId="0" borderId="20" xfId="0" applyFont="1" applyBorder="1"/>
    <xf numFmtId="173" fontId="67" fillId="0" borderId="19" xfId="1" applyNumberFormat="1" applyFont="1" applyBorder="1"/>
    <xf numFmtId="164" fontId="67" fillId="0" borderId="19" xfId="37" applyNumberFormat="1" applyFont="1" applyBorder="1"/>
    <xf numFmtId="0" fontId="58" fillId="0" borderId="21" xfId="0" applyFont="1" applyBorder="1"/>
    <xf numFmtId="9" fontId="58" fillId="0" borderId="22" xfId="37" applyFont="1" applyBorder="1"/>
    <xf numFmtId="173" fontId="58" fillId="0" borderId="23" xfId="1" applyNumberFormat="1" applyFont="1" applyBorder="1" applyAlignment="1"/>
    <xf numFmtId="173" fontId="58" fillId="0" borderId="23" xfId="1" applyNumberFormat="1" applyFont="1" applyBorder="1"/>
    <xf numFmtId="0" fontId="68" fillId="0" borderId="2" xfId="0" applyFont="1" applyBorder="1" applyAlignment="1">
      <alignment wrapText="1"/>
    </xf>
    <xf numFmtId="0" fontId="69" fillId="0" borderId="0" xfId="0" applyFont="1" applyAlignment="1">
      <alignment horizontal="center"/>
    </xf>
    <xf numFmtId="0" fontId="69" fillId="0" borderId="0" xfId="0" applyFont="1"/>
    <xf numFmtId="0" fontId="69" fillId="0" borderId="0" xfId="0" applyFont="1" applyAlignment="1">
      <alignment wrapText="1"/>
    </xf>
    <xf numFmtId="0" fontId="68" fillId="0" borderId="0" xfId="0" applyFont="1" applyBorder="1" applyAlignment="1">
      <alignment horizontal="center" wrapText="1"/>
    </xf>
    <xf numFmtId="49" fontId="68" fillId="0" borderId="2" xfId="0" applyNumberFormat="1" applyFont="1" applyBorder="1" applyAlignment="1">
      <alignment horizontal="center"/>
    </xf>
    <xf numFmtId="0" fontId="68" fillId="0" borderId="2" xfId="0" applyFont="1" applyBorder="1" applyAlignment="1">
      <alignment horizontal="left" wrapText="1"/>
    </xf>
    <xf numFmtId="49" fontId="69" fillId="0" borderId="0" xfId="0" applyNumberFormat="1" applyFont="1" applyBorder="1" applyAlignment="1">
      <alignment horizontal="center"/>
    </xf>
    <xf numFmtId="0" fontId="29" fillId="0" borderId="0" xfId="6" applyFont="1" applyBorder="1"/>
    <xf numFmtId="0" fontId="69" fillId="0" borderId="0" xfId="0" applyFont="1" applyBorder="1"/>
    <xf numFmtId="3" fontId="69" fillId="0" borderId="0" xfId="0" applyNumberFormat="1" applyFont="1" applyAlignment="1">
      <alignment horizontal="right" vertical="top" wrapText="1"/>
    </xf>
    <xf numFmtId="3" fontId="69" fillId="0" borderId="0" xfId="0" applyNumberFormat="1" applyFont="1" applyAlignment="1">
      <alignment horizontal="right" indent="1"/>
    </xf>
    <xf numFmtId="3" fontId="69" fillId="0" borderId="0" xfId="0" applyNumberFormat="1" applyFont="1" applyBorder="1" applyAlignment="1">
      <alignment horizontal="center"/>
    </xf>
    <xf numFmtId="3" fontId="69" fillId="0" borderId="0" xfId="0" applyNumberFormat="1" applyFont="1" applyAlignment="1">
      <alignment horizontal="center"/>
    </xf>
    <xf numFmtId="38" fontId="69" fillId="0" borderId="0" xfId="0" applyNumberFormat="1" applyFont="1"/>
    <xf numFmtId="9" fontId="69" fillId="0" borderId="0" xfId="0" applyNumberFormat="1" applyFont="1"/>
    <xf numFmtId="0" fontId="69" fillId="0" borderId="0" xfId="0" applyFont="1" applyAlignment="1">
      <alignment horizontal="right" wrapText="1"/>
    </xf>
    <xf numFmtId="0" fontId="69" fillId="0" borderId="2" xfId="0" applyFont="1" applyBorder="1"/>
    <xf numFmtId="3" fontId="69" fillId="0" borderId="0" xfId="0" applyNumberFormat="1" applyFont="1" applyBorder="1" applyAlignment="1">
      <alignment horizontal="right" vertical="top" wrapText="1"/>
    </xf>
    <xf numFmtId="0" fontId="69" fillId="0" borderId="0" xfId="0" applyFont="1" applyBorder="1" applyAlignment="1">
      <alignment horizontal="right" wrapText="1"/>
    </xf>
    <xf numFmtId="3" fontId="69" fillId="0" borderId="0" xfId="0" applyNumberFormat="1" applyFont="1" applyBorder="1" applyAlignment="1">
      <alignment horizontal="right" indent="1"/>
    </xf>
    <xf numFmtId="49" fontId="69" fillId="0" borderId="0" xfId="0" applyNumberFormat="1" applyFont="1" applyAlignment="1">
      <alignment horizontal="center"/>
    </xf>
    <xf numFmtId="0" fontId="69" fillId="0" borderId="0" xfId="0" applyFont="1" applyAlignment="1">
      <alignment horizontal="left" vertical="top" wrapText="1"/>
    </xf>
    <xf numFmtId="0" fontId="69" fillId="0" borderId="0" xfId="0" applyFont="1" applyAlignment="1">
      <alignment horizontal="center" wrapText="1"/>
    </xf>
    <xf numFmtId="9" fontId="69" fillId="0" borderId="0" xfId="0" applyNumberFormat="1" applyFont="1" applyAlignment="1">
      <alignment horizontal="center"/>
    </xf>
    <xf numFmtId="0" fontId="68" fillId="0" borderId="0" xfId="0" applyFont="1" applyAlignment="1">
      <alignment vertical="top" wrapText="1"/>
    </xf>
    <xf numFmtId="0" fontId="68" fillId="0" borderId="0" xfId="0" applyFont="1" applyAlignment="1">
      <alignment horizontal="center" vertical="top" wrapText="1"/>
    </xf>
    <xf numFmtId="0" fontId="29" fillId="0" borderId="0" xfId="0" applyFont="1" applyBorder="1" applyAlignment="1">
      <alignment vertical="top" wrapText="1"/>
    </xf>
    <xf numFmtId="0" fontId="29" fillId="0" borderId="0" xfId="0" applyFont="1" applyBorder="1" applyAlignment="1">
      <alignment horizontal="center" vertical="top" wrapText="1"/>
    </xf>
    <xf numFmtId="0" fontId="30" fillId="0" borderId="0" xfId="4" applyFont="1" applyFill="1" applyBorder="1" applyAlignment="1" applyProtection="1">
      <alignment wrapText="1"/>
    </xf>
    <xf numFmtId="0" fontId="29" fillId="0" borderId="0" xfId="0" applyFont="1" applyBorder="1" applyAlignment="1">
      <alignment horizontal="left"/>
    </xf>
    <xf numFmtId="0" fontId="58" fillId="6" borderId="22" xfId="0" applyFont="1" applyFill="1" applyBorder="1"/>
    <xf numFmtId="0" fontId="62" fillId="0" borderId="0" xfId="0" applyFont="1" applyFill="1" applyBorder="1" applyAlignment="1">
      <alignment wrapText="1"/>
    </xf>
    <xf numFmtId="0" fontId="62" fillId="0" borderId="0" xfId="0" applyFont="1" applyAlignment="1">
      <alignment vertical="top" wrapText="1"/>
    </xf>
    <xf numFmtId="9" fontId="58" fillId="0" borderId="0" xfId="0" applyNumberFormat="1" applyFont="1" applyBorder="1" applyAlignment="1"/>
    <xf numFmtId="9" fontId="58" fillId="0" borderId="0" xfId="0" applyNumberFormat="1" applyFont="1" applyBorder="1" applyAlignment="1">
      <alignment horizontal="right"/>
    </xf>
    <xf numFmtId="0" fontId="58" fillId="0" borderId="0" xfId="0" applyFont="1" applyBorder="1" applyAlignment="1">
      <alignment horizontal="center"/>
    </xf>
    <xf numFmtId="0" fontId="59" fillId="0" borderId="0" xfId="0" applyFont="1" applyAlignment="1">
      <alignment horizontal="center" wrapText="1"/>
    </xf>
    <xf numFmtId="0" fontId="58" fillId="0" borderId="0" xfId="0" applyFont="1" applyFill="1" applyBorder="1" applyAlignment="1">
      <alignment horizontal="left" vertical="top" wrapText="1"/>
    </xf>
    <xf numFmtId="0" fontId="58" fillId="0" borderId="0" xfId="0" applyFont="1" applyAlignment="1">
      <alignment horizontal="left" vertical="top" wrapText="1"/>
    </xf>
    <xf numFmtId="0" fontId="58" fillId="0" borderId="0" xfId="0" applyFont="1" applyAlignment="1">
      <alignment horizontal="left"/>
    </xf>
    <xf numFmtId="0" fontId="70" fillId="0" borderId="0" xfId="0" applyFont="1"/>
    <xf numFmtId="0" fontId="70" fillId="0" borderId="0" xfId="0" applyFont="1" applyAlignment="1">
      <alignment horizontal="center"/>
    </xf>
    <xf numFmtId="0" fontId="69" fillId="0" borderId="0" xfId="0" applyFont="1" applyAlignment="1">
      <alignment horizontal="left" wrapText="1"/>
    </xf>
    <xf numFmtId="49" fontId="29" fillId="0" borderId="0" xfId="0" applyNumberFormat="1" applyFont="1" applyFill="1"/>
    <xf numFmtId="175" fontId="29" fillId="0" borderId="0" xfId="0" applyNumberFormat="1" applyFont="1" applyFill="1" applyBorder="1" applyAlignment="1" applyProtection="1">
      <alignment horizontal="center" vertical="center"/>
    </xf>
    <xf numFmtId="175" fontId="29" fillId="0" borderId="24" xfId="0" applyNumberFormat="1" applyFont="1" applyFill="1" applyBorder="1" applyAlignment="1" applyProtection="1">
      <alignment horizontal="centerContinuous" vertical="center"/>
    </xf>
    <xf numFmtId="175" fontId="29" fillId="0" borderId="25" xfId="0" applyNumberFormat="1" applyFont="1" applyFill="1" applyBorder="1" applyAlignment="1" applyProtection="1">
      <alignment horizontal="centerContinuous" vertical="center"/>
    </xf>
    <xf numFmtId="175" fontId="29" fillId="0" borderId="16" xfId="0" applyNumberFormat="1" applyFont="1" applyFill="1" applyBorder="1" applyAlignment="1" applyProtection="1">
      <alignment horizontal="centerContinuous" vertical="center"/>
    </xf>
    <xf numFmtId="175" fontId="29" fillId="0" borderId="25" xfId="0" applyNumberFormat="1" applyFont="1" applyFill="1" applyBorder="1" applyAlignment="1" applyProtection="1">
      <alignment horizontal="center" vertical="center"/>
    </xf>
    <xf numFmtId="175" fontId="29" fillId="0" borderId="25" xfId="0" applyNumberFormat="1" applyFont="1" applyFill="1" applyBorder="1" applyAlignment="1">
      <alignment horizontal="center"/>
    </xf>
    <xf numFmtId="175" fontId="29" fillId="0" borderId="26" xfId="0" applyNumberFormat="1" applyFont="1" applyFill="1" applyBorder="1" applyAlignment="1">
      <alignment horizontal="centerContinuous"/>
    </xf>
    <xf numFmtId="175" fontId="29" fillId="0" borderId="0" xfId="0" applyNumberFormat="1" applyFont="1" applyFill="1"/>
    <xf numFmtId="175" fontId="29" fillId="0" borderId="18" xfId="0" applyNumberFormat="1" applyFont="1" applyFill="1" applyBorder="1" applyAlignment="1" applyProtection="1">
      <alignment horizontal="center" vertical="center"/>
    </xf>
    <xf numFmtId="175" fontId="29" fillId="0" borderId="21" xfId="0" applyNumberFormat="1" applyFont="1" applyFill="1" applyBorder="1" applyAlignment="1" applyProtection="1">
      <alignment horizontal="center" vertical="center"/>
    </xf>
    <xf numFmtId="175" fontId="29" fillId="0" borderId="27" xfId="0" applyNumberFormat="1" applyFont="1" applyFill="1" applyBorder="1" applyAlignment="1" applyProtection="1">
      <alignment horizontal="center" vertical="center"/>
    </xf>
    <xf numFmtId="175" fontId="29" fillId="0" borderId="28" xfId="0" applyNumberFormat="1" applyFont="1" applyFill="1" applyBorder="1" applyAlignment="1" applyProtection="1">
      <alignment horizontal="center" vertical="center"/>
    </xf>
    <xf numFmtId="175" fontId="29" fillId="0" borderId="29" xfId="0" applyNumberFormat="1" applyFont="1" applyFill="1" applyBorder="1" applyAlignment="1">
      <alignment horizontal="center" vertical="center"/>
    </xf>
    <xf numFmtId="176" fontId="29" fillId="0" borderId="27" xfId="0" applyNumberFormat="1" applyFont="1" applyFill="1" applyBorder="1" applyAlignment="1" applyProtection="1">
      <alignment horizontal="right" vertical="center"/>
    </xf>
    <xf numFmtId="176" fontId="29" fillId="0" borderId="28" xfId="0" applyNumberFormat="1" applyFont="1" applyFill="1" applyBorder="1" applyAlignment="1" applyProtection="1">
      <alignment horizontal="right" vertical="center"/>
    </xf>
    <xf numFmtId="176" fontId="29" fillId="0" borderId="29" xfId="0" applyNumberFormat="1" applyFont="1" applyFill="1" applyBorder="1" applyAlignment="1" applyProtection="1">
      <alignment horizontal="right" vertical="center"/>
    </xf>
    <xf numFmtId="49" fontId="31" fillId="5" borderId="30" xfId="0" applyNumberFormat="1" applyFont="1" applyFill="1" applyBorder="1" applyAlignment="1">
      <alignment horizontal="center"/>
    </xf>
    <xf numFmtId="175" fontId="31" fillId="5" borderId="31" xfId="0" applyNumberFormat="1" applyFont="1" applyFill="1" applyBorder="1" applyAlignment="1" applyProtection="1">
      <alignment horizontal="left" vertical="center"/>
    </xf>
    <xf numFmtId="175" fontId="31" fillId="5" borderId="32" xfId="0" applyNumberFormat="1" applyFont="1" applyFill="1" applyBorder="1" applyAlignment="1" applyProtection="1">
      <alignment horizontal="left" vertical="center"/>
    </xf>
    <xf numFmtId="3" fontId="31" fillId="5" borderId="24" xfId="0" applyNumberFormat="1" applyFont="1" applyFill="1" applyBorder="1" applyAlignment="1" applyProtection="1">
      <alignment vertical="center"/>
    </xf>
    <xf numFmtId="3" fontId="31" fillId="5" borderId="25" xfId="0" applyNumberFormat="1" applyFont="1" applyFill="1" applyBorder="1" applyAlignment="1" applyProtection="1">
      <alignment vertical="center"/>
    </xf>
    <xf numFmtId="3" fontId="31" fillId="5" borderId="16" xfId="0" applyNumberFormat="1" applyFont="1" applyFill="1" applyBorder="1" applyAlignment="1" applyProtection="1">
      <alignment vertical="center"/>
    </xf>
    <xf numFmtId="177" fontId="31" fillId="5" borderId="24" xfId="0" applyNumberFormat="1" applyFont="1" applyFill="1" applyBorder="1" applyAlignment="1" applyProtection="1">
      <alignment vertical="center"/>
    </xf>
    <xf numFmtId="177" fontId="31" fillId="5" borderId="25" xfId="0" applyNumberFormat="1" applyFont="1" applyFill="1" applyBorder="1" applyAlignment="1" applyProtection="1">
      <alignment vertical="center"/>
    </xf>
    <xf numFmtId="177" fontId="31" fillId="5" borderId="16" xfId="0" applyNumberFormat="1" applyFont="1" applyFill="1" applyBorder="1" applyAlignment="1" applyProtection="1">
      <alignment vertical="center"/>
    </xf>
    <xf numFmtId="165" fontId="31" fillId="5" borderId="30" xfId="37" applyNumberFormat="1" applyFont="1" applyFill="1" applyBorder="1" applyAlignment="1" applyProtection="1">
      <alignment horizontal="center" vertical="center"/>
    </xf>
    <xf numFmtId="178" fontId="31" fillId="5" borderId="30" xfId="0" applyNumberFormat="1" applyFont="1" applyFill="1" applyBorder="1" applyAlignment="1" applyProtection="1">
      <alignment vertical="center"/>
    </xf>
    <xf numFmtId="178" fontId="31" fillId="5" borderId="31" xfId="0" applyNumberFormat="1" applyFont="1" applyFill="1" applyBorder="1" applyAlignment="1" applyProtection="1">
      <alignment vertical="center"/>
    </xf>
    <xf numFmtId="178" fontId="31" fillId="5" borderId="32" xfId="0" applyNumberFormat="1" applyFont="1" applyFill="1" applyBorder="1" applyAlignment="1" applyProtection="1">
      <alignment vertical="center"/>
    </xf>
    <xf numFmtId="179" fontId="31" fillId="5" borderId="30" xfId="0" applyNumberFormat="1" applyFont="1" applyFill="1" applyBorder="1" applyAlignment="1">
      <alignment vertical="center"/>
    </xf>
    <xf numFmtId="179" fontId="31" fillId="5" borderId="31" xfId="0" applyNumberFormat="1" applyFont="1" applyFill="1" applyBorder="1" applyAlignment="1">
      <alignment vertical="center"/>
    </xf>
    <xf numFmtId="179" fontId="31" fillId="5" borderId="31" xfId="0" applyNumberFormat="1" applyFont="1" applyFill="1" applyBorder="1" applyAlignment="1" applyProtection="1">
      <alignment vertical="center"/>
    </xf>
    <xf numFmtId="179" fontId="31" fillId="5" borderId="32" xfId="0" applyNumberFormat="1" applyFont="1" applyFill="1" applyBorder="1" applyAlignment="1" applyProtection="1">
      <alignment vertical="center"/>
    </xf>
    <xf numFmtId="0" fontId="29" fillId="0" borderId="23" xfId="0" applyNumberFormat="1" applyFont="1" applyBorder="1" applyAlignment="1">
      <alignment horizontal="center"/>
    </xf>
    <xf numFmtId="0" fontId="29" fillId="0" borderId="22" xfId="0" applyNumberFormat="1" applyFont="1" applyBorder="1"/>
    <xf numFmtId="179" fontId="29" fillId="0" borderId="18" xfId="0" applyNumberFormat="1" applyFont="1" applyFill="1" applyBorder="1" applyAlignment="1" applyProtection="1">
      <alignment vertical="center"/>
      <protection locked="0"/>
    </xf>
    <xf numFmtId="179" fontId="29" fillId="0" borderId="0" xfId="0" applyNumberFormat="1" applyFont="1" applyFill="1" applyBorder="1" applyAlignment="1" applyProtection="1">
      <alignment vertical="center"/>
    </xf>
    <xf numFmtId="179" fontId="29" fillId="0" borderId="0" xfId="0" applyNumberFormat="1" applyFont="1" applyFill="1" applyBorder="1" applyAlignment="1" applyProtection="1">
      <alignment vertical="center"/>
      <protection locked="0"/>
    </xf>
    <xf numFmtId="179" fontId="29" fillId="0" borderId="21" xfId="0" applyNumberFormat="1" applyFont="1" applyFill="1" applyBorder="1" applyAlignment="1" applyProtection="1">
      <alignment vertical="center"/>
    </xf>
    <xf numFmtId="177" fontId="29" fillId="0" borderId="18" xfId="0" applyNumberFormat="1" applyFont="1" applyFill="1" applyBorder="1" applyAlignment="1" applyProtection="1">
      <alignment vertical="center"/>
    </xf>
    <xf numFmtId="177" fontId="29" fillId="0" borderId="0" xfId="0" applyNumberFormat="1" applyFont="1" applyFill="1" applyBorder="1" applyAlignment="1" applyProtection="1">
      <alignment vertical="center"/>
    </xf>
    <xf numFmtId="177" fontId="29" fillId="0" borderId="21" xfId="0" applyNumberFormat="1" applyFont="1" applyFill="1" applyBorder="1" applyAlignment="1" applyProtection="1">
      <alignment vertical="center"/>
    </xf>
    <xf numFmtId="178" fontId="29" fillId="0" borderId="23" xfId="0" applyNumberFormat="1" applyFont="1" applyFill="1" applyBorder="1" applyAlignment="1" applyProtection="1">
      <alignment horizontal="center" vertical="center"/>
    </xf>
    <xf numFmtId="178" fontId="29" fillId="0" borderId="33" xfId="0" applyNumberFormat="1" applyFont="1" applyFill="1" applyBorder="1" applyAlignment="1" applyProtection="1">
      <alignment horizontal="center" vertical="center"/>
    </xf>
    <xf numFmtId="178" fontId="29" fillId="0" borderId="22" xfId="0" applyNumberFormat="1" applyFont="1" applyFill="1" applyBorder="1" applyAlignment="1" applyProtection="1">
      <alignment horizontal="center" vertical="center"/>
    </xf>
    <xf numFmtId="178" fontId="29" fillId="0" borderId="23" xfId="0" applyNumberFormat="1" applyFont="1" applyFill="1" applyBorder="1" applyAlignment="1" applyProtection="1">
      <alignment horizontal="right" vertical="center"/>
    </xf>
    <xf numFmtId="178" fontId="29" fillId="0" borderId="33" xfId="0" applyNumberFormat="1" applyFont="1" applyFill="1" applyBorder="1" applyAlignment="1" applyProtection="1">
      <alignment horizontal="right" vertical="center"/>
    </xf>
    <xf numFmtId="178" fontId="29" fillId="0" borderId="22" xfId="0" applyNumberFormat="1" applyFont="1" applyFill="1" applyBorder="1" applyAlignment="1" applyProtection="1">
      <alignment horizontal="right" vertical="center"/>
    </xf>
    <xf numFmtId="179" fontId="29" fillId="0" borderId="23" xfId="0" applyNumberFormat="1" applyFont="1" applyFill="1" applyBorder="1"/>
    <xf numFmtId="179" fontId="29" fillId="0" borderId="33" xfId="0" applyNumberFormat="1" applyFont="1" applyFill="1" applyBorder="1" applyAlignment="1" applyProtection="1">
      <protection locked="0"/>
    </xf>
    <xf numFmtId="179" fontId="29" fillId="0" borderId="22" xfId="0" applyNumberFormat="1" applyFont="1" applyFill="1" applyBorder="1" applyAlignment="1" applyProtection="1">
      <protection locked="0"/>
    </xf>
    <xf numFmtId="179" fontId="29" fillId="0" borderId="33" xfId="0" applyNumberFormat="1" applyFont="1" applyFill="1" applyBorder="1" applyAlignment="1" applyProtection="1"/>
    <xf numFmtId="179" fontId="29" fillId="0" borderId="23" xfId="0" applyNumberFormat="1" applyFont="1" applyFill="1" applyBorder="1" applyAlignment="1">
      <alignment vertical="center"/>
    </xf>
    <xf numFmtId="179" fontId="29" fillId="0" borderId="33" xfId="0" applyNumberFormat="1" applyFont="1" applyFill="1" applyBorder="1" applyAlignment="1" applyProtection="1">
      <alignment vertical="center"/>
      <protection locked="0"/>
    </xf>
    <xf numFmtId="179" fontId="29" fillId="0" borderId="33" xfId="0" applyNumberFormat="1" applyFont="1" applyFill="1" applyBorder="1" applyAlignment="1" applyProtection="1">
      <alignment vertical="center"/>
    </xf>
    <xf numFmtId="179" fontId="29" fillId="0" borderId="22" xfId="0" applyNumberFormat="1" applyFont="1" applyFill="1" applyBorder="1" applyAlignment="1" applyProtection="1">
      <alignment vertical="center"/>
      <protection locked="0"/>
    </xf>
    <xf numFmtId="3" fontId="29" fillId="0" borderId="21" xfId="0" applyNumberFormat="1" applyFont="1" applyFill="1" applyBorder="1" applyAlignment="1" applyProtection="1">
      <alignment vertical="center"/>
    </xf>
    <xf numFmtId="178" fontId="29" fillId="0" borderId="21" xfId="0" applyNumberFormat="1" applyFont="1" applyFill="1" applyBorder="1" applyAlignment="1" applyProtection="1">
      <alignment vertical="center"/>
    </xf>
    <xf numFmtId="37" fontId="29" fillId="0" borderId="0" xfId="0" applyNumberFormat="1" applyFont="1" applyFill="1" applyBorder="1" applyAlignment="1" applyProtection="1">
      <alignment vertical="center"/>
    </xf>
    <xf numFmtId="0" fontId="29" fillId="0" borderId="34" xfId="0" applyNumberFormat="1" applyFont="1" applyBorder="1" applyAlignment="1">
      <alignment horizontal="center"/>
    </xf>
    <xf numFmtId="0" fontId="29" fillId="0" borderId="35" xfId="0" applyNumberFormat="1" applyFont="1" applyBorder="1"/>
    <xf numFmtId="179" fontId="29" fillId="0" borderId="20" xfId="0" applyNumberFormat="1" applyFont="1" applyFill="1" applyBorder="1" applyAlignment="1" applyProtection="1">
      <alignment vertical="center"/>
      <protection locked="0"/>
    </xf>
    <xf numFmtId="179" fontId="29" fillId="0" borderId="2" xfId="0" applyNumberFormat="1" applyFont="1" applyFill="1" applyBorder="1" applyAlignment="1" applyProtection="1">
      <alignment vertical="center"/>
    </xf>
    <xf numFmtId="179" fontId="29" fillId="0" borderId="2" xfId="0" applyNumberFormat="1" applyFont="1" applyFill="1" applyBorder="1" applyAlignment="1" applyProtection="1">
      <alignment vertical="center"/>
      <protection locked="0"/>
    </xf>
    <xf numFmtId="179" fontId="29" fillId="0" borderId="36" xfId="0" applyNumberFormat="1" applyFont="1" applyFill="1" applyBorder="1" applyAlignment="1" applyProtection="1">
      <alignment vertical="center"/>
    </xf>
    <xf numFmtId="177" fontId="29" fillId="0" borderId="20" xfId="0" applyNumberFormat="1" applyFont="1" applyFill="1" applyBorder="1" applyAlignment="1" applyProtection="1">
      <alignment vertical="center"/>
    </xf>
    <xf numFmtId="177" fontId="29" fillId="0" borderId="2" xfId="0" applyNumberFormat="1" applyFont="1" applyFill="1" applyBorder="1" applyAlignment="1" applyProtection="1">
      <alignment vertical="center"/>
    </xf>
    <xf numFmtId="177" fontId="29" fillId="0" borderId="36" xfId="0" applyNumberFormat="1" applyFont="1" applyFill="1" applyBorder="1" applyAlignment="1" applyProtection="1">
      <alignment vertical="center"/>
    </xf>
    <xf numFmtId="178" fontId="29" fillId="0" borderId="34" xfId="0" applyNumberFormat="1" applyFont="1" applyFill="1" applyBorder="1" applyAlignment="1" applyProtection="1">
      <alignment horizontal="center" vertical="center"/>
    </xf>
    <xf numFmtId="178" fontId="29" fillId="0" borderId="37" xfId="0" applyNumberFormat="1" applyFont="1" applyFill="1" applyBorder="1" applyAlignment="1" applyProtection="1">
      <alignment horizontal="center" vertical="center"/>
    </xf>
    <xf numFmtId="178" fontId="29" fillId="0" borderId="35" xfId="0" applyNumberFormat="1" applyFont="1" applyFill="1" applyBorder="1" applyAlignment="1" applyProtection="1">
      <alignment horizontal="center" vertical="center"/>
    </xf>
    <xf numFmtId="178" fontId="29" fillId="0" borderId="34" xfId="0" applyNumberFormat="1" applyFont="1" applyFill="1" applyBorder="1" applyAlignment="1" applyProtection="1">
      <alignment horizontal="right" vertical="center"/>
    </xf>
    <xf numFmtId="178" fontId="29" fillId="0" borderId="37" xfId="0" applyNumberFormat="1" applyFont="1" applyFill="1" applyBorder="1" applyAlignment="1" applyProtection="1">
      <alignment horizontal="right" vertical="center"/>
    </xf>
    <xf numFmtId="178" fontId="29" fillId="0" borderId="35" xfId="0" applyNumberFormat="1" applyFont="1" applyFill="1" applyBorder="1" applyAlignment="1" applyProtection="1">
      <alignment horizontal="right" vertical="center"/>
    </xf>
    <xf numFmtId="179" fontId="29" fillId="0" borderId="34" xfId="0" applyNumberFormat="1" applyFont="1" applyFill="1" applyBorder="1" applyAlignment="1">
      <alignment vertical="center"/>
    </xf>
    <xf numFmtId="179" fontId="29" fillId="0" borderId="37" xfId="0" applyNumberFormat="1" applyFont="1" applyFill="1" applyBorder="1" applyAlignment="1" applyProtection="1">
      <alignment vertical="center"/>
      <protection locked="0"/>
    </xf>
    <xf numFmtId="179" fontId="29" fillId="0" borderId="37" xfId="0" applyNumberFormat="1" applyFont="1" applyFill="1" applyBorder="1" applyAlignment="1" applyProtection="1">
      <alignment vertical="center"/>
    </xf>
    <xf numFmtId="179" fontId="29" fillId="0" borderId="35" xfId="0" applyNumberFormat="1" applyFont="1" applyFill="1" applyBorder="1" applyAlignment="1" applyProtection="1">
      <alignment vertical="center"/>
      <protection locked="0"/>
    </xf>
    <xf numFmtId="0" fontId="70" fillId="0" borderId="0" xfId="0" applyFont="1" applyAlignment="1">
      <alignment wrapText="1"/>
    </xf>
    <xf numFmtId="0" fontId="70" fillId="0" borderId="0" xfId="0" applyFont="1" applyAlignment="1">
      <alignment horizontal="left" wrapText="1"/>
    </xf>
    <xf numFmtId="0" fontId="71" fillId="0" borderId="0" xfId="0" applyFont="1"/>
    <xf numFmtId="0" fontId="71" fillId="0" borderId="0" xfId="0" applyFont="1" applyAlignment="1">
      <alignment horizontal="right"/>
    </xf>
    <xf numFmtId="0" fontId="65" fillId="0" borderId="0" xfId="0" applyFont="1"/>
    <xf numFmtId="0" fontId="72" fillId="0" borderId="0" xfId="0" applyFont="1"/>
    <xf numFmtId="165" fontId="72" fillId="0" borderId="0" xfId="37" applyNumberFormat="1" applyFont="1"/>
    <xf numFmtId="0" fontId="58" fillId="0" borderId="0" xfId="0" applyFont="1" applyFill="1" applyBorder="1" applyAlignment="1">
      <alignment horizontal="left"/>
    </xf>
    <xf numFmtId="9" fontId="58" fillId="0" borderId="0" xfId="37" applyFont="1" applyFill="1" applyBorder="1" applyAlignment="1">
      <alignment horizontal="centerContinuous"/>
    </xf>
    <xf numFmtId="0" fontId="58" fillId="0" borderId="0" xfId="0" applyFont="1" applyFill="1" applyBorder="1"/>
    <xf numFmtId="0" fontId="62" fillId="0" borderId="0" xfId="0" applyFont="1" applyFill="1"/>
    <xf numFmtId="0" fontId="62" fillId="0" borderId="0" xfId="0" applyFont="1" applyAlignment="1">
      <alignment vertical="center"/>
    </xf>
    <xf numFmtId="0" fontId="71" fillId="5" borderId="98" xfId="0" applyFont="1" applyFill="1" applyBorder="1" applyAlignment="1"/>
    <xf numFmtId="0" fontId="58" fillId="7" borderId="99" xfId="0" applyFont="1" applyFill="1" applyBorder="1"/>
    <xf numFmtId="9" fontId="58" fillId="0" borderId="99" xfId="37" applyFont="1" applyBorder="1"/>
    <xf numFmtId="173" fontId="58" fillId="0" borderId="100" xfId="1" applyNumberFormat="1" applyFont="1" applyBorder="1"/>
    <xf numFmtId="9" fontId="58" fillId="0" borderId="101" xfId="37" applyFont="1" applyBorder="1"/>
    <xf numFmtId="9" fontId="58" fillId="0" borderId="102" xfId="37" applyFont="1" applyBorder="1"/>
    <xf numFmtId="0" fontId="71" fillId="5" borderId="30" xfId="0" applyFont="1" applyFill="1" applyBorder="1" applyAlignment="1">
      <alignment horizontal="center"/>
    </xf>
    <xf numFmtId="0" fontId="71" fillId="5" borderId="32" xfId="0" applyFont="1" applyFill="1" applyBorder="1" applyAlignment="1">
      <alignment horizontal="center"/>
    </xf>
    <xf numFmtId="0" fontId="71" fillId="5" borderId="103" xfId="0" applyFont="1" applyFill="1" applyBorder="1" applyAlignment="1">
      <alignment horizontal="center"/>
    </xf>
    <xf numFmtId="0" fontId="71" fillId="5" borderId="98" xfId="0" quotePrefix="1" applyFont="1" applyFill="1" applyBorder="1" applyAlignment="1">
      <alignment horizontal="left"/>
    </xf>
    <xf numFmtId="0" fontId="59" fillId="5" borderId="104" xfId="0" applyFont="1" applyFill="1" applyBorder="1" applyAlignment="1">
      <alignment horizontal="center"/>
    </xf>
    <xf numFmtId="0" fontId="59" fillId="5" borderId="105" xfId="0" applyFont="1" applyFill="1" applyBorder="1" applyAlignment="1">
      <alignment horizontal="center"/>
    </xf>
    <xf numFmtId="0" fontId="59" fillId="5" borderId="106" xfId="0" applyFont="1" applyFill="1" applyBorder="1" applyAlignment="1">
      <alignment horizontal="center"/>
    </xf>
    <xf numFmtId="0" fontId="59" fillId="5" borderId="107" xfId="0" applyFont="1" applyFill="1" applyBorder="1" applyAlignment="1">
      <alignment horizontal="center"/>
    </xf>
    <xf numFmtId="9" fontId="59" fillId="5" borderId="108" xfId="37" applyFont="1" applyFill="1" applyBorder="1" applyAlignment="1">
      <alignment horizontal="center"/>
    </xf>
    <xf numFmtId="9" fontId="59" fillId="5" borderId="109" xfId="37" applyFont="1" applyFill="1" applyBorder="1" applyAlignment="1">
      <alignment horizontal="center"/>
    </xf>
    <xf numFmtId="3" fontId="58" fillId="0" borderId="110" xfId="0" applyNumberFormat="1" applyFont="1" applyBorder="1" applyAlignment="1">
      <alignment horizontal="right" indent="2"/>
    </xf>
    <xf numFmtId="3" fontId="58" fillId="0" borderId="111" xfId="0" applyNumberFormat="1" applyFont="1" applyBorder="1" applyAlignment="1">
      <alignment horizontal="right" indent="2"/>
    </xf>
    <xf numFmtId="3" fontId="58" fillId="0" borderId="112" xfId="0" applyNumberFormat="1" applyFont="1" applyBorder="1" applyAlignment="1">
      <alignment horizontal="right" indent="2"/>
    </xf>
    <xf numFmtId="0" fontId="59" fillId="5" borderId="113" xfId="0" applyFont="1" applyFill="1" applyBorder="1" applyAlignment="1">
      <alignment horizontal="center"/>
    </xf>
    <xf numFmtId="0" fontId="59" fillId="5" borderId="114" xfId="0" applyFont="1" applyFill="1" applyBorder="1" applyAlignment="1">
      <alignment horizontal="center"/>
    </xf>
    <xf numFmtId="0" fontId="59" fillId="5" borderId="114" xfId="0" applyFont="1" applyFill="1" applyBorder="1" applyAlignment="1">
      <alignment horizontal="center" wrapText="1"/>
    </xf>
    <xf numFmtId="0" fontId="59" fillId="5" borderId="115" xfId="0" applyFont="1" applyFill="1" applyBorder="1" applyAlignment="1">
      <alignment horizontal="center"/>
    </xf>
    <xf numFmtId="0" fontId="59" fillId="0" borderId="116" xfId="0" applyFont="1" applyBorder="1"/>
    <xf numFmtId="0" fontId="58" fillId="6" borderId="112" xfId="0" applyFont="1" applyFill="1" applyBorder="1"/>
    <xf numFmtId="0" fontId="58" fillId="0" borderId="116" xfId="0" applyFont="1" applyBorder="1"/>
    <xf numFmtId="0" fontId="58" fillId="6" borderId="110" xfId="0" applyFont="1" applyFill="1" applyBorder="1"/>
    <xf numFmtId="0" fontId="58" fillId="5" borderId="102" xfId="0" applyFont="1" applyFill="1" applyBorder="1" applyAlignment="1">
      <alignment horizontal="center"/>
    </xf>
    <xf numFmtId="3" fontId="58" fillId="5" borderId="97" xfId="0" applyNumberFormat="1" applyFont="1" applyFill="1" applyBorder="1" applyAlignment="1">
      <alignment horizontal="right" indent="2"/>
    </xf>
    <xf numFmtId="3" fontId="58" fillId="5" borderId="110" xfId="0" applyNumberFormat="1" applyFont="1" applyFill="1" applyBorder="1" applyAlignment="1">
      <alignment horizontal="right" indent="2"/>
    </xf>
    <xf numFmtId="0" fontId="58" fillId="8" borderId="116" xfId="0" applyFont="1" applyFill="1" applyBorder="1" applyAlignment="1">
      <alignment horizontal="left" indent="1"/>
    </xf>
    <xf numFmtId="0" fontId="58" fillId="8" borderId="0" xfId="0" applyFont="1" applyFill="1" applyBorder="1" applyAlignment="1">
      <alignment horizontal="left" indent="1"/>
    </xf>
    <xf numFmtId="0" fontId="58" fillId="8" borderId="21" xfId="0" applyFont="1" applyFill="1" applyBorder="1" applyAlignment="1">
      <alignment horizontal="left" indent="1"/>
    </xf>
    <xf numFmtId="0" fontId="58" fillId="8" borderId="17" xfId="0" applyFont="1" applyFill="1" applyBorder="1" applyAlignment="1">
      <alignment horizontal="right" indent="1"/>
    </xf>
    <xf numFmtId="0" fontId="58" fillId="5" borderId="116" xfId="0" applyFont="1" applyFill="1" applyBorder="1" applyAlignment="1">
      <alignment horizontal="left" indent="2"/>
    </xf>
    <xf numFmtId="0" fontId="58" fillId="5" borderId="0" xfId="0" applyFont="1" applyFill="1" applyBorder="1" applyAlignment="1">
      <alignment horizontal="left" indent="2"/>
    </xf>
    <xf numFmtId="0" fontId="58" fillId="8" borderId="116" xfId="0" applyFont="1" applyFill="1" applyBorder="1" applyAlignment="1"/>
    <xf numFmtId="0" fontId="58" fillId="8" borderId="0" xfId="0" applyFont="1" applyFill="1" applyBorder="1" applyAlignment="1"/>
    <xf numFmtId="0" fontId="58" fillId="8" borderId="0" xfId="0" applyFont="1" applyFill="1" applyBorder="1" applyAlignment="1">
      <alignment horizontal="left" wrapText="1" indent="1"/>
    </xf>
    <xf numFmtId="0" fontId="58" fillId="8" borderId="21" xfId="0" applyFont="1" applyFill="1" applyBorder="1" applyAlignment="1">
      <alignment horizontal="left" wrapText="1" indent="1"/>
    </xf>
    <xf numFmtId="0" fontId="59" fillId="9" borderId="117" xfId="0" applyFont="1" applyFill="1" applyBorder="1"/>
    <xf numFmtId="0" fontId="59" fillId="9" borderId="118" xfId="0" applyFont="1" applyFill="1" applyBorder="1"/>
    <xf numFmtId="0" fontId="59" fillId="9" borderId="119" xfId="0" applyFont="1" applyFill="1" applyBorder="1"/>
    <xf numFmtId="0" fontId="58" fillId="9" borderId="17" xfId="0" applyFont="1" applyFill="1" applyBorder="1" applyAlignment="1">
      <alignment horizontal="right" indent="1"/>
    </xf>
    <xf numFmtId="0" fontId="59" fillId="9" borderId="116" xfId="0" applyFont="1" applyFill="1" applyBorder="1" applyAlignment="1">
      <alignment horizontal="left"/>
    </xf>
    <xf numFmtId="0" fontId="59" fillId="9" borderId="0" xfId="0" applyFont="1" applyFill="1" applyBorder="1" applyAlignment="1">
      <alignment horizontal="left"/>
    </xf>
    <xf numFmtId="0" fontId="59" fillId="9" borderId="21" xfId="0" applyFont="1" applyFill="1" applyBorder="1" applyAlignment="1">
      <alignment horizontal="left"/>
    </xf>
    <xf numFmtId="0" fontId="71" fillId="9" borderId="120" xfId="0" applyFont="1" applyFill="1" applyBorder="1" applyAlignment="1"/>
    <xf numFmtId="0" fontId="71" fillId="9" borderId="26" xfId="0" applyFont="1" applyFill="1" applyBorder="1" applyAlignment="1"/>
    <xf numFmtId="0" fontId="71" fillId="9" borderId="38" xfId="0" applyFont="1" applyFill="1" applyBorder="1" applyAlignment="1"/>
    <xf numFmtId="173" fontId="59" fillId="9" borderId="27" xfId="1" applyNumberFormat="1" applyFont="1" applyFill="1" applyBorder="1" applyAlignment="1"/>
    <xf numFmtId="173" fontId="59" fillId="9" borderId="23" xfId="1" applyNumberFormat="1" applyFont="1" applyFill="1" applyBorder="1"/>
    <xf numFmtId="0" fontId="65" fillId="8" borderId="116" xfId="0" applyFont="1" applyFill="1" applyBorder="1" applyAlignment="1">
      <alignment horizontal="left"/>
    </xf>
    <xf numFmtId="0" fontId="58" fillId="8" borderId="0" xfId="0" applyFont="1" applyFill="1" applyBorder="1"/>
    <xf numFmtId="0" fontId="65" fillId="8" borderId="0" xfId="0" applyFont="1" applyFill="1" applyBorder="1" applyAlignment="1">
      <alignment horizontal="left"/>
    </xf>
    <xf numFmtId="0" fontId="65" fillId="8" borderId="21" xfId="0" applyFont="1" applyFill="1" applyBorder="1" applyAlignment="1">
      <alignment horizontal="left"/>
    </xf>
    <xf numFmtId="173" fontId="58" fillId="8" borderId="23" xfId="1" applyNumberFormat="1" applyFont="1" applyFill="1" applyBorder="1" applyAlignment="1">
      <alignment horizontal="left"/>
    </xf>
    <xf numFmtId="0" fontId="58" fillId="8" borderId="22" xfId="0" applyFont="1" applyFill="1" applyBorder="1"/>
    <xf numFmtId="174" fontId="58" fillId="8" borderId="23" xfId="1" applyNumberFormat="1" applyFont="1" applyFill="1" applyBorder="1"/>
    <xf numFmtId="0" fontId="58" fillId="8" borderId="99" xfId="0" applyFont="1" applyFill="1" applyBorder="1"/>
    <xf numFmtId="0" fontId="65" fillId="8" borderId="116" xfId="0" applyFont="1" applyFill="1" applyBorder="1" applyAlignment="1"/>
    <xf numFmtId="0" fontId="65" fillId="8" borderId="0" xfId="0" applyFont="1" applyFill="1" applyBorder="1" applyAlignment="1"/>
    <xf numFmtId="0" fontId="65" fillId="8" borderId="21" xfId="0" applyFont="1" applyFill="1" applyBorder="1" applyAlignment="1"/>
    <xf numFmtId="173" fontId="58" fillId="8" borderId="23" xfId="1" applyNumberFormat="1" applyFont="1" applyFill="1" applyBorder="1" applyAlignment="1"/>
    <xf numFmtId="9" fontId="58" fillId="8" borderId="22" xfId="37" applyFont="1" applyFill="1" applyBorder="1"/>
    <xf numFmtId="173" fontId="58" fillId="8" borderId="23" xfId="1" applyNumberFormat="1" applyFont="1" applyFill="1" applyBorder="1"/>
    <xf numFmtId="9" fontId="58" fillId="8" borderId="99" xfId="37" applyFont="1" applyFill="1" applyBorder="1"/>
    <xf numFmtId="0" fontId="59" fillId="9" borderId="116" xfId="0" applyFont="1" applyFill="1" applyBorder="1"/>
    <xf numFmtId="0" fontId="59" fillId="9" borderId="0" xfId="0" applyFont="1" applyFill="1" applyBorder="1"/>
    <xf numFmtId="0" fontId="58" fillId="9" borderId="23" xfId="0" applyFont="1" applyFill="1" applyBorder="1"/>
    <xf numFmtId="0" fontId="58" fillId="9" borderId="33" xfId="0" applyFont="1" applyFill="1" applyBorder="1"/>
    <xf numFmtId="0" fontId="58" fillId="9" borderId="99" xfId="0" applyFont="1" applyFill="1" applyBorder="1"/>
    <xf numFmtId="167" fontId="58" fillId="9" borderId="23" xfId="0" applyNumberFormat="1" applyFont="1" applyFill="1" applyBorder="1"/>
    <xf numFmtId="167" fontId="58" fillId="9" borderId="33" xfId="0" applyNumberFormat="1" applyFont="1" applyFill="1" applyBorder="1"/>
    <xf numFmtId="167" fontId="58" fillId="9" borderId="99" xfId="0" applyNumberFormat="1" applyFont="1" applyFill="1" applyBorder="1"/>
    <xf numFmtId="167" fontId="58" fillId="5" borderId="23" xfId="0" applyNumberFormat="1" applyFont="1" applyFill="1" applyBorder="1"/>
    <xf numFmtId="167" fontId="58" fillId="5" borderId="33" xfId="0" applyNumberFormat="1" applyFont="1" applyFill="1" applyBorder="1"/>
    <xf numFmtId="167" fontId="58" fillId="5" borderId="99" xfId="0" applyNumberFormat="1" applyFont="1" applyFill="1" applyBorder="1"/>
    <xf numFmtId="0" fontId="58" fillId="5" borderId="116" xfId="0" applyFont="1" applyFill="1" applyBorder="1"/>
    <xf numFmtId="0" fontId="58" fillId="5" borderId="0" xfId="0" applyFont="1" applyFill="1" applyBorder="1"/>
    <xf numFmtId="165" fontId="58" fillId="5" borderId="22" xfId="37" applyNumberFormat="1" applyFont="1" applyFill="1" applyBorder="1" applyAlignment="1">
      <alignment horizontal="center"/>
    </xf>
    <xf numFmtId="3" fontId="58" fillId="5" borderId="23" xfId="0" applyNumberFormat="1" applyFont="1" applyFill="1" applyBorder="1" applyAlignment="1">
      <alignment horizontal="center"/>
    </xf>
    <xf numFmtId="165" fontId="58" fillId="5" borderId="99" xfId="0" applyNumberFormat="1" applyFont="1" applyFill="1" applyBorder="1" applyAlignment="1">
      <alignment horizontal="center"/>
    </xf>
    <xf numFmtId="0" fontId="58" fillId="5" borderId="121" xfId="0" applyFont="1" applyFill="1" applyBorder="1"/>
    <xf numFmtId="0" fontId="58" fillId="5" borderId="122" xfId="0" applyFont="1" applyFill="1" applyBorder="1"/>
    <xf numFmtId="0" fontId="64" fillId="0" borderId="122" xfId="0" applyFont="1" applyBorder="1" applyAlignment="1">
      <alignment horizontal="left"/>
    </xf>
    <xf numFmtId="0" fontId="62" fillId="0" borderId="0" xfId="0" applyFont="1" applyAlignment="1">
      <alignment horizontal="left" wrapText="1"/>
    </xf>
    <xf numFmtId="0" fontId="57" fillId="0" borderId="0" xfId="0" applyFont="1" applyAlignment="1">
      <alignment horizontal="center"/>
    </xf>
    <xf numFmtId="49" fontId="69" fillId="0" borderId="2" xfId="0" applyNumberFormat="1" applyFont="1" applyBorder="1" applyAlignment="1">
      <alignment horizontal="center"/>
    </xf>
    <xf numFmtId="0" fontId="29" fillId="0" borderId="2" xfId="6" applyFont="1" applyBorder="1"/>
    <xf numFmtId="0" fontId="73" fillId="0" borderId="0" xfId="4" applyFont="1" applyAlignment="1" applyProtection="1"/>
    <xf numFmtId="0" fontId="62" fillId="0" borderId="0" xfId="0" applyFont="1" applyAlignment="1">
      <alignment wrapText="1"/>
    </xf>
    <xf numFmtId="0" fontId="62" fillId="0" borderId="0" xfId="0" applyFont="1" applyAlignment="1"/>
    <xf numFmtId="0" fontId="59" fillId="0" borderId="0" xfId="0" applyFont="1" applyAlignment="1">
      <alignment horizontal="left"/>
    </xf>
    <xf numFmtId="0" fontId="58" fillId="0" borderId="123" xfId="0" applyFont="1" applyBorder="1" applyAlignment="1">
      <alignment horizontal="left"/>
    </xf>
    <xf numFmtId="0" fontId="59" fillId="0" borderId="0" xfId="0" applyFont="1" applyFill="1" applyBorder="1" applyAlignment="1"/>
    <xf numFmtId="0" fontId="59" fillId="5" borderId="0" xfId="0" applyFont="1" applyFill="1" applyBorder="1" applyAlignment="1"/>
    <xf numFmtId="0" fontId="74" fillId="0" borderId="0" xfId="0" applyFont="1" applyBorder="1" applyAlignment="1"/>
    <xf numFmtId="0" fontId="58" fillId="0" borderId="0" xfId="0" applyFont="1" applyAlignment="1"/>
    <xf numFmtId="0" fontId="63" fillId="0" borderId="0" xfId="0" applyFont="1" applyAlignment="1"/>
    <xf numFmtId="0" fontId="59" fillId="8" borderId="30" xfId="0" applyFont="1" applyFill="1" applyBorder="1" applyAlignment="1">
      <alignment horizontal="center"/>
    </xf>
    <xf numFmtId="0" fontId="59" fillId="8" borderId="32" xfId="0" applyFont="1" applyFill="1" applyBorder="1" applyAlignment="1">
      <alignment horizontal="center"/>
    </xf>
    <xf numFmtId="0" fontId="59" fillId="8" borderId="103" xfId="0" applyFont="1" applyFill="1" applyBorder="1" applyAlignment="1">
      <alignment horizontal="center"/>
    </xf>
    <xf numFmtId="9" fontId="59" fillId="8" borderId="124" xfId="37" applyFont="1" applyFill="1" applyBorder="1" applyAlignment="1">
      <alignment horizontal="center"/>
    </xf>
    <xf numFmtId="9" fontId="59" fillId="8" borderId="125" xfId="37" applyFont="1" applyFill="1" applyBorder="1" applyAlignment="1">
      <alignment horizontal="center"/>
    </xf>
    <xf numFmtId="9" fontId="59" fillId="8" borderId="126" xfId="37" applyFont="1" applyFill="1" applyBorder="1" applyAlignment="1">
      <alignment horizontal="center"/>
    </xf>
    <xf numFmtId="9" fontId="59" fillId="8" borderId="127" xfId="37" applyFont="1" applyFill="1" applyBorder="1" applyAlignment="1">
      <alignment horizontal="center"/>
    </xf>
    <xf numFmtId="173" fontId="67" fillId="0" borderId="21" xfId="1" applyNumberFormat="1" applyFont="1" applyBorder="1"/>
    <xf numFmtId="173" fontId="67" fillId="0" borderId="18" xfId="1" applyNumberFormat="1" applyFont="1" applyBorder="1"/>
    <xf numFmtId="164" fontId="67" fillId="0" borderId="21" xfId="37" applyNumberFormat="1" applyFont="1" applyBorder="1"/>
    <xf numFmtId="173" fontId="67" fillId="0" borderId="36" xfId="1" applyNumberFormat="1" applyFont="1" applyBorder="1"/>
    <xf numFmtId="173" fontId="67" fillId="0" borderId="20" xfId="1" applyNumberFormat="1" applyFont="1" applyBorder="1"/>
    <xf numFmtId="164" fontId="67" fillId="0" borderId="36" xfId="37" applyNumberFormat="1" applyFont="1" applyBorder="1"/>
    <xf numFmtId="173" fontId="58" fillId="0" borderId="128" xfId="1" applyNumberFormat="1" applyFont="1" applyBorder="1" applyAlignment="1">
      <alignment horizontal="right"/>
    </xf>
    <xf numFmtId="9" fontId="58" fillId="0" borderId="129" xfId="37" applyFont="1" applyBorder="1" applyAlignment="1">
      <alignment horizontal="center"/>
    </xf>
    <xf numFmtId="9" fontId="58" fillId="0" borderId="130" xfId="37" applyFont="1" applyBorder="1" applyAlignment="1">
      <alignment horizontal="center"/>
    </xf>
    <xf numFmtId="173" fontId="58" fillId="5" borderId="128" xfId="1" applyNumberFormat="1" applyFont="1" applyFill="1" applyBorder="1" applyAlignment="1">
      <alignment horizontal="right"/>
    </xf>
    <xf numFmtId="9" fontId="58" fillId="5" borderId="129" xfId="37" applyFont="1" applyFill="1" applyBorder="1" applyAlignment="1">
      <alignment horizontal="center"/>
    </xf>
    <xf numFmtId="9" fontId="58" fillId="5" borderId="130" xfId="37" applyFont="1" applyFill="1" applyBorder="1" applyAlignment="1">
      <alignment horizontal="center"/>
    </xf>
    <xf numFmtId="9" fontId="58" fillId="5" borderId="131" xfId="37" applyFont="1" applyFill="1" applyBorder="1" applyAlignment="1">
      <alignment horizontal="center"/>
    </xf>
    <xf numFmtId="0" fontId="58" fillId="0" borderId="0" xfId="0" applyFont="1" applyAlignment="1">
      <alignment vertical="center"/>
    </xf>
    <xf numFmtId="0" fontId="62" fillId="0" borderId="0" xfId="0" applyFont="1" applyAlignment="1">
      <alignment horizontal="left" vertical="top" wrapText="1"/>
    </xf>
    <xf numFmtId="0" fontId="59" fillId="5" borderId="0" xfId="0" applyFont="1" applyFill="1" applyBorder="1" applyAlignment="1">
      <alignment horizontal="left" indent="2"/>
    </xf>
    <xf numFmtId="0" fontId="59" fillId="5" borderId="116" xfId="0" applyFont="1" applyFill="1" applyBorder="1" applyAlignment="1">
      <alignment horizontal="left" indent="2"/>
    </xf>
    <xf numFmtId="0" fontId="75" fillId="5" borderId="0" xfId="0" applyFont="1" applyFill="1" applyBorder="1" applyAlignment="1"/>
    <xf numFmtId="0" fontId="75" fillId="5" borderId="0" xfId="0" applyFont="1" applyFill="1" applyBorder="1" applyAlignment="1">
      <alignment horizontal="left" indent="2"/>
    </xf>
    <xf numFmtId="9" fontId="75" fillId="5" borderId="23" xfId="37" applyFont="1" applyFill="1" applyBorder="1"/>
    <xf numFmtId="0" fontId="58" fillId="0" borderId="117" xfId="0" applyFont="1" applyBorder="1"/>
    <xf numFmtId="0" fontId="58" fillId="0" borderId="118" xfId="0" applyFont="1" applyBorder="1"/>
    <xf numFmtId="173" fontId="58" fillId="0" borderId="132" xfId="1" applyNumberFormat="1" applyFont="1" applyBorder="1" applyAlignment="1">
      <alignment horizontal="right"/>
    </xf>
    <xf numFmtId="9" fontId="58" fillId="0" borderId="133" xfId="37" applyFont="1" applyBorder="1" applyAlignment="1">
      <alignment horizontal="center"/>
    </xf>
    <xf numFmtId="9" fontId="58" fillId="0" borderId="134" xfId="37" applyFont="1" applyBorder="1" applyAlignment="1">
      <alignment horizontal="center"/>
    </xf>
    <xf numFmtId="173" fontId="58" fillId="5" borderId="135" xfId="1" applyNumberFormat="1" applyFont="1" applyFill="1" applyBorder="1" applyAlignment="1">
      <alignment horizontal="right"/>
    </xf>
    <xf numFmtId="9" fontId="58" fillId="5" borderId="136" xfId="37" applyFont="1" applyFill="1" applyBorder="1" applyAlignment="1">
      <alignment horizontal="center"/>
    </xf>
    <xf numFmtId="0" fontId="76" fillId="0" borderId="0" xfId="0" applyFont="1" applyBorder="1"/>
    <xf numFmtId="0" fontId="75" fillId="0" borderId="0" xfId="0" applyFont="1" applyBorder="1"/>
    <xf numFmtId="167" fontId="58" fillId="5" borderId="137" xfId="0" applyNumberFormat="1" applyFont="1" applyFill="1" applyBorder="1"/>
    <xf numFmtId="9" fontId="75" fillId="5" borderId="137" xfId="37" applyFont="1" applyFill="1" applyBorder="1"/>
    <xf numFmtId="167" fontId="77" fillId="10" borderId="0" xfId="0" applyNumberFormat="1" applyFont="1" applyFill="1"/>
    <xf numFmtId="0" fontId="58" fillId="10" borderId="116" xfId="0" applyFont="1" applyFill="1" applyBorder="1" applyAlignment="1">
      <alignment horizontal="left" indent="2"/>
    </xf>
    <xf numFmtId="0" fontId="58" fillId="10" borderId="0" xfId="0" applyFont="1" applyFill="1" applyBorder="1" applyAlignment="1">
      <alignment horizontal="left" indent="2"/>
    </xf>
    <xf numFmtId="167" fontId="58" fillId="10" borderId="23" xfId="0" applyNumberFormat="1" applyFont="1" applyFill="1" applyBorder="1"/>
    <xf numFmtId="167" fontId="58" fillId="10" borderId="33" xfId="0" applyNumberFormat="1" applyFont="1" applyFill="1" applyBorder="1"/>
    <xf numFmtId="167" fontId="58" fillId="10" borderId="99" xfId="0" applyNumberFormat="1" applyFont="1" applyFill="1" applyBorder="1"/>
    <xf numFmtId="0" fontId="75" fillId="5" borderId="116" xfId="0" applyFont="1" applyFill="1" applyBorder="1" applyAlignment="1">
      <alignment horizontal="left" indent="2"/>
    </xf>
    <xf numFmtId="0" fontId="75" fillId="5" borderId="0" xfId="0" applyFont="1" applyFill="1" applyBorder="1"/>
    <xf numFmtId="0" fontId="59" fillId="9" borderId="138" xfId="0" applyFont="1" applyFill="1" applyBorder="1" applyAlignment="1">
      <alignment horizontal="left"/>
    </xf>
    <xf numFmtId="0" fontId="59" fillId="9" borderId="139" xfId="0" applyFont="1" applyFill="1" applyBorder="1" applyAlignment="1">
      <alignment horizontal="left"/>
    </xf>
    <xf numFmtId="167" fontId="59" fillId="9" borderId="140" xfId="0" applyNumberFormat="1" applyFont="1" applyFill="1" applyBorder="1"/>
    <xf numFmtId="167" fontId="59" fillId="9" borderId="141" xfId="0" applyNumberFormat="1" applyFont="1" applyFill="1" applyBorder="1"/>
    <xf numFmtId="167" fontId="59" fillId="9" borderId="142" xfId="0" applyNumberFormat="1" applyFont="1" applyFill="1" applyBorder="1"/>
    <xf numFmtId="0" fontId="58" fillId="0" borderId="116" xfId="0" applyFont="1" applyFill="1" applyBorder="1" applyAlignment="1">
      <alignment horizontal="left" indent="2"/>
    </xf>
    <xf numFmtId="0" fontId="58" fillId="0" borderId="0" xfId="0" applyFont="1" applyFill="1" applyBorder="1" applyAlignment="1">
      <alignment horizontal="left" indent="2"/>
    </xf>
    <xf numFmtId="0" fontId="58" fillId="0" borderId="21" xfId="0" applyFont="1" applyFill="1" applyBorder="1" applyAlignment="1">
      <alignment horizontal="left" indent="2"/>
    </xf>
    <xf numFmtId="3" fontId="58" fillId="0" borderId="17" xfId="0" applyNumberFormat="1" applyFont="1" applyFill="1" applyBorder="1" applyAlignment="1">
      <alignment horizontal="right" indent="1"/>
    </xf>
    <xf numFmtId="0" fontId="58" fillId="0" borderId="17" xfId="0" applyFont="1" applyFill="1" applyBorder="1" applyAlignment="1">
      <alignment horizontal="right" indent="1"/>
    </xf>
    <xf numFmtId="0" fontId="58" fillId="0" borderId="121" xfId="0" applyFont="1" applyFill="1" applyBorder="1" applyAlignment="1">
      <alignment horizontal="left" indent="2"/>
    </xf>
    <xf numFmtId="0" fontId="58" fillId="0" borderId="122" xfId="0" applyFont="1" applyFill="1" applyBorder="1" applyAlignment="1">
      <alignment horizontal="left" indent="2"/>
    </xf>
    <xf numFmtId="0" fontId="58" fillId="0" borderId="123" xfId="0" applyFont="1" applyFill="1" applyBorder="1" applyAlignment="1">
      <alignment horizontal="left" indent="2"/>
    </xf>
    <xf numFmtId="0" fontId="58" fillId="0" borderId="143" xfId="0" applyFont="1" applyFill="1" applyBorder="1" applyAlignment="1">
      <alignment horizontal="right" indent="1"/>
    </xf>
    <xf numFmtId="0" fontId="58" fillId="0" borderId="100" xfId="0" applyFont="1" applyFill="1" applyBorder="1" applyAlignment="1">
      <alignment horizontal="right" indent="1"/>
    </xf>
    <xf numFmtId="0" fontId="58" fillId="0" borderId="144" xfId="0" applyFont="1" applyFill="1" applyBorder="1" applyAlignment="1">
      <alignment horizontal="right" indent="1"/>
    </xf>
    <xf numFmtId="0" fontId="58" fillId="0" borderId="101" xfId="0" applyFont="1" applyFill="1" applyBorder="1" applyAlignment="1">
      <alignment horizontal="right" indent="1"/>
    </xf>
    <xf numFmtId="0" fontId="58" fillId="0" borderId="102" xfId="0" applyFont="1" applyFill="1" applyBorder="1" applyAlignment="1">
      <alignment horizontal="right" indent="1"/>
    </xf>
    <xf numFmtId="0" fontId="58" fillId="0" borderId="116" xfId="0" applyFont="1" applyFill="1" applyBorder="1" applyAlignment="1">
      <alignment horizontal="left"/>
    </xf>
    <xf numFmtId="0" fontId="58" fillId="0" borderId="0" xfId="0" applyFont="1" applyFill="1" applyBorder="1" applyAlignment="1">
      <alignment horizontal="right"/>
    </xf>
    <xf numFmtId="9" fontId="58" fillId="0" borderId="110" xfId="37" applyFont="1" applyFill="1" applyBorder="1"/>
    <xf numFmtId="9" fontId="78" fillId="0" borderId="110" xfId="37" applyFont="1" applyFill="1" applyBorder="1"/>
    <xf numFmtId="0" fontId="58" fillId="0" borderId="116" xfId="0" applyFont="1" applyFill="1" applyBorder="1"/>
    <xf numFmtId="165" fontId="58" fillId="0" borderId="22" xfId="37" applyNumberFormat="1" applyFont="1" applyFill="1" applyBorder="1" applyAlignment="1">
      <alignment horizontal="center"/>
    </xf>
    <xf numFmtId="3" fontId="58" fillId="0" borderId="23" xfId="0" applyNumberFormat="1" applyFont="1" applyFill="1" applyBorder="1" applyAlignment="1">
      <alignment horizontal="center"/>
    </xf>
    <xf numFmtId="165" fontId="58" fillId="0" borderId="99" xfId="0" applyNumberFormat="1" applyFont="1" applyFill="1" applyBorder="1" applyAlignment="1">
      <alignment horizontal="center"/>
    </xf>
    <xf numFmtId="0" fontId="58" fillId="0" borderId="121" xfId="0" applyFont="1" applyFill="1" applyBorder="1"/>
    <xf numFmtId="0" fontId="58" fillId="0" borderId="122" xfId="0" applyFont="1" applyFill="1" applyBorder="1"/>
    <xf numFmtId="165" fontId="58" fillId="0" borderId="101" xfId="37" applyNumberFormat="1" applyFont="1" applyFill="1" applyBorder="1" applyAlignment="1">
      <alignment horizontal="center"/>
    </xf>
    <xf numFmtId="3" fontId="58" fillId="0" borderId="100" xfId="0" applyNumberFormat="1" applyFont="1" applyFill="1" applyBorder="1" applyAlignment="1">
      <alignment horizontal="center"/>
    </xf>
    <xf numFmtId="165" fontId="58" fillId="0" borderId="102" xfId="0" applyNumberFormat="1" applyFont="1" applyFill="1" applyBorder="1" applyAlignment="1">
      <alignment horizontal="center"/>
    </xf>
    <xf numFmtId="0" fontId="59" fillId="0" borderId="122" xfId="0" applyFont="1" applyFill="1" applyBorder="1" applyAlignment="1"/>
    <xf numFmtId="0" fontId="59" fillId="0" borderId="123" xfId="0" applyFont="1" applyFill="1" applyBorder="1" applyAlignment="1"/>
    <xf numFmtId="9" fontId="58" fillId="0" borderId="100" xfId="37" applyFont="1" applyFill="1" applyBorder="1"/>
    <xf numFmtId="9" fontId="58" fillId="0" borderId="144" xfId="37" applyFont="1" applyFill="1" applyBorder="1"/>
    <xf numFmtId="9" fontId="58" fillId="0" borderId="102" xfId="37" applyFont="1" applyFill="1" applyBorder="1"/>
    <xf numFmtId="0" fontId="68" fillId="0" borderId="0" xfId="0" applyFont="1"/>
    <xf numFmtId="0" fontId="62" fillId="0" borderId="0" xfId="0" applyFont="1" applyAlignment="1">
      <alignment vertical="center" wrapText="1"/>
    </xf>
    <xf numFmtId="0" fontId="58" fillId="5" borderId="0" xfId="0" quotePrefix="1" applyFont="1" applyFill="1" applyAlignment="1">
      <alignment horizontal="left"/>
    </xf>
    <xf numFmtId="0" fontId="58" fillId="5" borderId="0" xfId="0" quotePrefix="1" applyFont="1" applyFill="1" applyAlignment="1"/>
    <xf numFmtId="0" fontId="58" fillId="5" borderId="0" xfId="0" applyFont="1" applyFill="1" applyAlignment="1">
      <alignment horizontal="center"/>
    </xf>
    <xf numFmtId="173" fontId="67" fillId="0" borderId="2" xfId="1" applyNumberFormat="1" applyFont="1" applyBorder="1"/>
    <xf numFmtId="164" fontId="67" fillId="0" borderId="2" xfId="37" applyNumberFormat="1" applyFont="1" applyBorder="1"/>
    <xf numFmtId="0" fontId="57" fillId="0" borderId="24" xfId="0" applyFont="1" applyBorder="1"/>
    <xf numFmtId="0" fontId="57" fillId="0" borderId="25" xfId="0" applyFont="1" applyBorder="1"/>
    <xf numFmtId="0" fontId="57" fillId="0" borderId="16" xfId="0" applyFont="1" applyBorder="1"/>
    <xf numFmtId="173" fontId="67" fillId="5" borderId="25" xfId="1" applyNumberFormat="1" applyFont="1" applyFill="1" applyBorder="1"/>
    <xf numFmtId="164" fontId="67" fillId="5" borderId="25" xfId="37" applyNumberFormat="1" applyFont="1" applyFill="1" applyBorder="1"/>
    <xf numFmtId="0" fontId="57" fillId="0" borderId="24" xfId="0" applyFont="1" applyBorder="1" applyAlignment="1">
      <alignment horizontal="center"/>
    </xf>
    <xf numFmtId="0" fontId="57" fillId="0" borderId="16" xfId="0" applyFont="1" applyBorder="1" applyAlignment="1">
      <alignment horizontal="center"/>
    </xf>
    <xf numFmtId="0" fontId="57" fillId="0" borderId="13" xfId="0" applyFont="1" applyBorder="1" applyAlignment="1">
      <alignment horizontal="center"/>
    </xf>
    <xf numFmtId="0" fontId="68" fillId="0" borderId="0" xfId="0" applyFont="1" applyBorder="1" applyAlignment="1">
      <alignment horizontal="center" wrapText="1"/>
    </xf>
    <xf numFmtId="0" fontId="69" fillId="0" borderId="0" xfId="0" applyFont="1" applyAlignment="1">
      <alignment horizontal="left" vertical="top" wrapText="1"/>
    </xf>
    <xf numFmtId="0" fontId="79" fillId="0" borderId="2" xfId="0" applyFont="1" applyBorder="1" applyAlignment="1">
      <alignment horizontal="left" wrapText="1"/>
    </xf>
    <xf numFmtId="0" fontId="80" fillId="0" borderId="0" xfId="6" applyFont="1" applyBorder="1" applyAlignment="1">
      <alignment horizontal="left"/>
    </xf>
    <xf numFmtId="0" fontId="80" fillId="0" borderId="0" xfId="11" applyFont="1"/>
    <xf numFmtId="0" fontId="81" fillId="0" borderId="0" xfId="11" applyFont="1"/>
    <xf numFmtId="0" fontId="80" fillId="0" borderId="0" xfId="11" applyFont="1" applyBorder="1" applyAlignment="1">
      <alignment horizontal="center"/>
    </xf>
    <xf numFmtId="0" fontId="66" fillId="0" borderId="0" xfId="11" applyFont="1"/>
    <xf numFmtId="0" fontId="82" fillId="0" borderId="5" xfId="11" applyFont="1" applyFill="1" applyBorder="1" applyAlignment="1">
      <alignment horizontal="right" wrapText="1" indent="1"/>
    </xf>
    <xf numFmtId="0" fontId="82" fillId="0" borderId="2" xfId="11" applyFont="1" applyFill="1" applyBorder="1" applyAlignment="1">
      <alignment horizontal="center" wrapText="1"/>
    </xf>
    <xf numFmtId="0" fontId="82" fillId="0" borderId="5" xfId="11" applyFont="1" applyFill="1" applyBorder="1" applyAlignment="1">
      <alignment horizontal="center" wrapText="1"/>
    </xf>
    <xf numFmtId="0" fontId="83" fillId="0" borderId="5" xfId="11" applyFont="1" applyFill="1" applyBorder="1" applyAlignment="1">
      <alignment horizontal="center" wrapText="1"/>
    </xf>
    <xf numFmtId="3" fontId="81" fillId="0" borderId="0" xfId="11" applyNumberFormat="1" applyFont="1"/>
    <xf numFmtId="0" fontId="82" fillId="5" borderId="0" xfId="11" applyFont="1" applyFill="1" applyBorder="1" applyAlignment="1">
      <alignment horizontal="center" wrapText="1"/>
    </xf>
    <xf numFmtId="164" fontId="83" fillId="0" borderId="0" xfId="11" applyNumberFormat="1" applyFont="1" applyFill="1" applyBorder="1" applyAlignment="1">
      <alignment horizontal="center" wrapText="1"/>
    </xf>
    <xf numFmtId="0" fontId="84" fillId="0" borderId="0" xfId="11" applyFont="1" applyFill="1" applyBorder="1" applyAlignment="1">
      <alignment horizontal="right" wrapText="1" indent="1"/>
    </xf>
    <xf numFmtId="0" fontId="81" fillId="0" borderId="14" xfId="6" applyFont="1" applyBorder="1"/>
    <xf numFmtId="0" fontId="84" fillId="0" borderId="0" xfId="11" applyFont="1" applyFill="1" applyBorder="1" applyAlignment="1">
      <alignment wrapText="1"/>
    </xf>
    <xf numFmtId="0" fontId="81" fillId="0" borderId="17" xfId="6" applyFont="1" applyBorder="1"/>
    <xf numFmtId="0" fontId="85" fillId="0" borderId="0" xfId="11" applyFont="1" applyFill="1" applyBorder="1" applyAlignment="1">
      <alignment wrapText="1"/>
    </xf>
    <xf numFmtId="0" fontId="81" fillId="0" borderId="19" xfId="6" applyFont="1" applyBorder="1"/>
    <xf numFmtId="0" fontId="81" fillId="0" borderId="0" xfId="11" applyFont="1" applyAlignment="1"/>
    <xf numFmtId="0" fontId="81" fillId="0" borderId="0" xfId="11" applyFont="1" applyAlignment="1">
      <alignment horizontal="right" vertical="top"/>
    </xf>
    <xf numFmtId="0" fontId="81" fillId="0" borderId="17" xfId="6" applyFont="1" applyBorder="1" applyAlignment="1">
      <alignment wrapText="1"/>
    </xf>
    <xf numFmtId="0" fontId="84" fillId="0" borderId="0" xfId="13" applyFont="1"/>
    <xf numFmtId="0" fontId="84" fillId="0" borderId="0" xfId="13" quotePrefix="1" applyFont="1"/>
    <xf numFmtId="3" fontId="84" fillId="0" borderId="0" xfId="13" applyNumberFormat="1" applyFont="1"/>
    <xf numFmtId="0" fontId="84" fillId="0" borderId="2" xfId="11" applyFont="1" applyFill="1" applyBorder="1" applyAlignment="1">
      <alignment horizontal="right" wrapText="1" indent="1"/>
    </xf>
    <xf numFmtId="0" fontId="84" fillId="0" borderId="2" xfId="11" applyFont="1" applyFill="1" applyBorder="1" applyAlignment="1">
      <alignment wrapText="1"/>
    </xf>
    <xf numFmtId="0" fontId="83" fillId="0" borderId="0" xfId="13" applyFont="1"/>
    <xf numFmtId="0" fontId="84" fillId="0" borderId="1" xfId="13" applyFont="1" applyFill="1" applyBorder="1" applyAlignment="1">
      <alignment wrapText="1"/>
    </xf>
    <xf numFmtId="0" fontId="68" fillId="0" borderId="0" xfId="0" applyFont="1" applyBorder="1" applyAlignment="1">
      <alignment wrapText="1"/>
    </xf>
    <xf numFmtId="0" fontId="79" fillId="0" borderId="0" xfId="0" applyFont="1" applyBorder="1" applyAlignment="1">
      <alignment horizontal="left" wrapText="1"/>
    </xf>
    <xf numFmtId="49" fontId="68" fillId="11" borderId="0" xfId="0" quotePrefix="1" applyNumberFormat="1" applyFont="1" applyFill="1" applyBorder="1" applyAlignment="1">
      <alignment horizontal="center"/>
    </xf>
    <xf numFmtId="0" fontId="68" fillId="11" borderId="25" xfId="0" applyFont="1" applyFill="1" applyBorder="1" applyAlignment="1">
      <alignment horizontal="left" vertical="top" wrapText="1"/>
    </xf>
    <xf numFmtId="3" fontId="68" fillId="11" borderId="0" xfId="0" applyNumberFormat="1" applyFont="1" applyFill="1" applyBorder="1" applyAlignment="1">
      <alignment horizontal="right" vertical="top" wrapText="1"/>
    </xf>
    <xf numFmtId="3" fontId="68" fillId="11" borderId="2" xfId="0" applyNumberFormat="1" applyFont="1" applyFill="1" applyBorder="1" applyAlignment="1">
      <alignment horizontal="right" indent="1"/>
    </xf>
    <xf numFmtId="3" fontId="68" fillId="11" borderId="2" xfId="0" applyNumberFormat="1" applyFont="1" applyFill="1" applyBorder="1" applyAlignment="1">
      <alignment horizontal="center"/>
    </xf>
    <xf numFmtId="0" fontId="68" fillId="0" borderId="13" xfId="0" applyFont="1" applyBorder="1" applyAlignment="1">
      <alignment horizontal="center" wrapText="1"/>
    </xf>
    <xf numFmtId="165" fontId="68" fillId="11" borderId="19" xfId="37" applyNumberFormat="1" applyFont="1" applyFill="1" applyBorder="1" applyAlignment="1">
      <alignment horizontal="center"/>
    </xf>
    <xf numFmtId="165" fontId="69" fillId="0" borderId="17" xfId="37" applyNumberFormat="1" applyFont="1" applyBorder="1" applyAlignment="1">
      <alignment horizontal="center"/>
    </xf>
    <xf numFmtId="165" fontId="69" fillId="0" borderId="17" xfId="0" applyNumberFormat="1" applyFont="1" applyBorder="1" applyAlignment="1">
      <alignment horizontal="center"/>
    </xf>
    <xf numFmtId="165" fontId="69" fillId="0" borderId="17" xfId="37" applyNumberFormat="1" applyFont="1" applyBorder="1" applyAlignment="1">
      <alignment horizontal="center" wrapText="1"/>
    </xf>
    <xf numFmtId="165" fontId="69" fillId="0" borderId="19" xfId="37" applyNumberFormat="1" applyFont="1" applyBorder="1" applyAlignment="1">
      <alignment horizontal="center" wrapText="1"/>
    </xf>
    <xf numFmtId="165" fontId="69" fillId="0" borderId="19" xfId="0" applyNumberFormat="1" applyFont="1" applyBorder="1" applyAlignment="1">
      <alignment horizontal="center"/>
    </xf>
    <xf numFmtId="165" fontId="69" fillId="0" borderId="19" xfId="37" applyNumberFormat="1" applyFont="1" applyBorder="1" applyAlignment="1">
      <alignment horizontal="center"/>
    </xf>
    <xf numFmtId="0" fontId="68" fillId="0" borderId="19" xfId="0" applyFont="1" applyBorder="1" applyAlignment="1">
      <alignment horizontal="center" wrapText="1"/>
    </xf>
    <xf numFmtId="3" fontId="68" fillId="11" borderId="19" xfId="0" applyNumberFormat="1" applyFont="1" applyFill="1" applyBorder="1" applyAlignment="1">
      <alignment horizontal="right" indent="1"/>
    </xf>
    <xf numFmtId="3" fontId="69" fillId="0" borderId="17" xfId="0" applyNumberFormat="1" applyFont="1" applyBorder="1" applyAlignment="1">
      <alignment horizontal="right" indent="1"/>
    </xf>
    <xf numFmtId="3" fontId="69" fillId="0" borderId="19" xfId="0" applyNumberFormat="1" applyFont="1" applyBorder="1" applyAlignment="1">
      <alignment horizontal="right" indent="1"/>
    </xf>
    <xf numFmtId="173" fontId="68" fillId="11" borderId="19" xfId="1" applyNumberFormat="1" applyFont="1" applyFill="1" applyBorder="1" applyAlignment="1">
      <alignment horizontal="right" vertical="top" wrapText="1"/>
    </xf>
    <xf numFmtId="3" fontId="68" fillId="11" borderId="19" xfId="0" applyNumberFormat="1" applyFont="1" applyFill="1" applyBorder="1" applyAlignment="1">
      <alignment horizontal="right" vertical="top" wrapText="1"/>
    </xf>
    <xf numFmtId="173" fontId="69" fillId="0" borderId="17" xfId="1" applyNumberFormat="1" applyFont="1" applyBorder="1" applyAlignment="1">
      <alignment horizontal="right" vertical="top" wrapText="1"/>
    </xf>
    <xf numFmtId="3" fontId="69" fillId="0" borderId="17" xfId="0" applyNumberFormat="1" applyFont="1" applyBorder="1" applyAlignment="1">
      <alignment horizontal="right" vertical="top" wrapText="1"/>
    </xf>
    <xf numFmtId="173" fontId="69" fillId="0" borderId="19" xfId="1" applyNumberFormat="1" applyFont="1" applyBorder="1" applyAlignment="1">
      <alignment horizontal="right" vertical="top" wrapText="1"/>
    </xf>
    <xf numFmtId="3" fontId="69" fillId="0" borderId="19" xfId="0" applyNumberFormat="1" applyFont="1" applyBorder="1" applyAlignment="1">
      <alignment horizontal="right" vertical="top" wrapText="1"/>
    </xf>
    <xf numFmtId="0" fontId="82" fillId="0" borderId="3" xfId="13" applyFont="1" applyFill="1" applyBorder="1" applyAlignment="1">
      <alignment horizontal="center"/>
    </xf>
    <xf numFmtId="0" fontId="82" fillId="0" borderId="0" xfId="8" applyFont="1" applyFill="1" applyBorder="1" applyAlignment="1">
      <alignment horizontal="center"/>
    </xf>
    <xf numFmtId="0" fontId="82" fillId="0" borderId="0" xfId="13" applyFont="1" applyFill="1" applyAlignment="1">
      <alignment horizontal="center" wrapText="1"/>
    </xf>
    <xf numFmtId="3" fontId="84" fillId="0" borderId="9" xfId="0" applyNumberFormat="1" applyFont="1" applyFill="1" applyBorder="1" applyAlignment="1">
      <alignment horizontal="right" wrapText="1"/>
    </xf>
    <xf numFmtId="0" fontId="82" fillId="0" borderId="41" xfId="13" applyFont="1" applyFill="1" applyBorder="1" applyAlignment="1">
      <alignment horizontal="center"/>
    </xf>
    <xf numFmtId="0" fontId="82" fillId="0" borderId="42" xfId="13" applyFont="1" applyFill="1" applyBorder="1" applyAlignment="1">
      <alignment horizontal="center"/>
    </xf>
    <xf numFmtId="180" fontId="82" fillId="0" borderId="42" xfId="1" applyNumberFormat="1" applyFont="1" applyFill="1" applyBorder="1" applyAlignment="1">
      <alignment horizontal="center"/>
    </xf>
    <xf numFmtId="180" fontId="82" fillId="0" borderId="43" xfId="1" applyNumberFormat="1" applyFont="1" applyFill="1" applyBorder="1" applyAlignment="1">
      <alignment horizontal="center"/>
    </xf>
    <xf numFmtId="3" fontId="84" fillId="0" borderId="44" xfId="13" applyNumberFormat="1" applyFont="1" applyFill="1" applyBorder="1" applyAlignment="1">
      <alignment wrapText="1"/>
    </xf>
    <xf numFmtId="3" fontId="84" fillId="0" borderId="45" xfId="13" applyNumberFormat="1" applyFont="1" applyFill="1" applyBorder="1" applyAlignment="1">
      <alignment wrapText="1"/>
    </xf>
    <xf numFmtId="3" fontId="84" fillId="0" borderId="46" xfId="0" applyNumberFormat="1" applyFont="1" applyFill="1" applyBorder="1" applyAlignment="1">
      <alignment horizontal="right" wrapText="1"/>
    </xf>
    <xf numFmtId="0" fontId="84" fillId="0" borderId="44" xfId="13" applyNumberFormat="1" applyFont="1" applyFill="1" applyBorder="1" applyAlignment="1">
      <alignment wrapText="1"/>
    </xf>
    <xf numFmtId="0" fontId="84" fillId="0" borderId="45" xfId="13" applyNumberFormat="1" applyFont="1" applyFill="1" applyBorder="1" applyAlignment="1">
      <alignment wrapText="1"/>
    </xf>
    <xf numFmtId="0" fontId="82" fillId="0" borderId="7" xfId="13" applyFont="1" applyFill="1" applyBorder="1" applyAlignment="1">
      <alignment horizontal="center"/>
    </xf>
    <xf numFmtId="0" fontId="84" fillId="0" borderId="12" xfId="13" applyFont="1" applyFill="1" applyBorder="1" applyAlignment="1">
      <alignment wrapText="1"/>
    </xf>
    <xf numFmtId="164" fontId="84" fillId="0" borderId="47" xfId="13" applyNumberFormat="1" applyFont="1" applyFill="1" applyBorder="1" applyAlignment="1">
      <alignment wrapText="1"/>
    </xf>
    <xf numFmtId="0" fontId="82" fillId="0" borderId="42" xfId="8" applyFont="1" applyFill="1" applyBorder="1" applyAlignment="1">
      <alignment horizontal="center"/>
    </xf>
    <xf numFmtId="0" fontId="82" fillId="0" borderId="43" xfId="8" applyFont="1" applyFill="1" applyBorder="1" applyAlignment="1">
      <alignment horizontal="center"/>
    </xf>
    <xf numFmtId="164" fontId="84" fillId="0" borderId="44" xfId="13" applyNumberFormat="1" applyFont="1" applyFill="1" applyBorder="1" applyAlignment="1">
      <alignment wrapText="1"/>
    </xf>
    <xf numFmtId="164" fontId="84" fillId="0" borderId="45" xfId="13" applyNumberFormat="1" applyFont="1" applyFill="1" applyBorder="1" applyAlignment="1">
      <alignment wrapText="1"/>
    </xf>
    <xf numFmtId="164" fontId="84" fillId="0" borderId="39" xfId="13" applyNumberFormat="1" applyFont="1" applyFill="1" applyBorder="1" applyAlignment="1">
      <alignment wrapText="1"/>
    </xf>
    <xf numFmtId="0" fontId="82" fillId="5" borderId="0" xfId="13" quotePrefix="1" applyFont="1" applyFill="1"/>
    <xf numFmtId="0" fontId="82" fillId="5" borderId="48" xfId="13" applyFont="1" applyFill="1" applyBorder="1" applyAlignment="1">
      <alignment wrapText="1"/>
    </xf>
    <xf numFmtId="164" fontId="82" fillId="5" borderId="49" xfId="13" applyNumberFormat="1" applyFont="1" applyFill="1" applyBorder="1" applyAlignment="1">
      <alignment wrapText="1"/>
    </xf>
    <xf numFmtId="164" fontId="82" fillId="5" borderId="50" xfId="13" applyNumberFormat="1" applyFont="1" applyFill="1" applyBorder="1" applyAlignment="1">
      <alignment wrapText="1"/>
    </xf>
    <xf numFmtId="164" fontId="82" fillId="5" borderId="45" xfId="13" applyNumberFormat="1" applyFont="1" applyFill="1" applyBorder="1" applyAlignment="1">
      <alignment wrapText="1"/>
    </xf>
    <xf numFmtId="164" fontId="82" fillId="5" borderId="39" xfId="13" applyNumberFormat="1" applyFont="1" applyFill="1" applyBorder="1" applyAlignment="1">
      <alignment wrapText="1"/>
    </xf>
    <xf numFmtId="164" fontId="82" fillId="0" borderId="0" xfId="13" applyNumberFormat="1" applyFont="1" applyFill="1" applyBorder="1" applyAlignment="1">
      <alignment wrapText="1"/>
    </xf>
    <xf numFmtId="3" fontId="82" fillId="5" borderId="49" xfId="13" applyNumberFormat="1" applyFont="1" applyFill="1" applyBorder="1" applyAlignment="1">
      <alignment wrapText="1"/>
    </xf>
    <xf numFmtId="3" fontId="82" fillId="5" borderId="50" xfId="13" applyNumberFormat="1" applyFont="1" applyFill="1" applyBorder="1" applyAlignment="1">
      <alignment wrapText="1"/>
    </xf>
    <xf numFmtId="3" fontId="82" fillId="5" borderId="45" xfId="13" applyNumberFormat="1" applyFont="1" applyFill="1" applyBorder="1" applyAlignment="1">
      <alignment wrapText="1"/>
    </xf>
    <xf numFmtId="3" fontId="82" fillId="5" borderId="39" xfId="13" applyNumberFormat="1" applyFont="1" applyFill="1" applyBorder="1"/>
    <xf numFmtId="3" fontId="82" fillId="5" borderId="0" xfId="13" applyNumberFormat="1" applyFont="1" applyFill="1"/>
    <xf numFmtId="0" fontId="82" fillId="5" borderId="0" xfId="11" quotePrefix="1" applyFont="1" applyFill="1" applyBorder="1" applyAlignment="1">
      <alignment horizontal="right" wrapText="1" indent="1"/>
    </xf>
    <xf numFmtId="0" fontId="82" fillId="5" borderId="0" xfId="11" applyFont="1" applyFill="1" applyBorder="1" applyAlignment="1">
      <alignment horizontal="left" wrapText="1"/>
    </xf>
    <xf numFmtId="0" fontId="82" fillId="0" borderId="51" xfId="11" applyFont="1" applyFill="1" applyBorder="1" applyAlignment="1">
      <alignment horizontal="center" wrapText="1"/>
    </xf>
    <xf numFmtId="0" fontId="82" fillId="0" borderId="52" xfId="11" applyFont="1" applyFill="1" applyBorder="1" applyAlignment="1">
      <alignment horizontal="center" wrapText="1"/>
    </xf>
    <xf numFmtId="0" fontId="82" fillId="0" borderId="53" xfId="11" applyFont="1" applyFill="1" applyBorder="1" applyAlignment="1">
      <alignment horizontal="center" wrapText="1"/>
    </xf>
    <xf numFmtId="3" fontId="82" fillId="5" borderId="23" xfId="11" applyNumberFormat="1" applyFont="1" applyFill="1" applyBorder="1" applyAlignment="1">
      <alignment horizontal="right" wrapText="1"/>
    </xf>
    <xf numFmtId="3" fontId="82" fillId="5" borderId="33" xfId="11" applyNumberFormat="1" applyFont="1" applyFill="1" applyBorder="1" applyAlignment="1">
      <alignment horizontal="right" wrapText="1"/>
    </xf>
    <xf numFmtId="3" fontId="84" fillId="0" borderId="54" xfId="11" applyNumberFormat="1" applyFont="1" applyFill="1" applyBorder="1" applyAlignment="1">
      <alignment horizontal="right" wrapText="1"/>
    </xf>
    <xf numFmtId="3" fontId="84" fillId="0" borderId="55" xfId="11" applyNumberFormat="1" applyFont="1" applyFill="1" applyBorder="1" applyAlignment="1">
      <alignment horizontal="right" wrapText="1"/>
    </xf>
    <xf numFmtId="3" fontId="82" fillId="0" borderId="33" xfId="11" applyNumberFormat="1" applyFont="1" applyFill="1" applyBorder="1" applyAlignment="1">
      <alignment horizontal="right" wrapText="1"/>
    </xf>
    <xf numFmtId="164" fontId="81" fillId="0" borderId="22" xfId="37" applyNumberFormat="1" applyFont="1" applyBorder="1"/>
    <xf numFmtId="3" fontId="81" fillId="0" borderId="23" xfId="11" applyNumberFormat="1" applyFont="1" applyBorder="1"/>
    <xf numFmtId="3" fontId="81" fillId="0" borderId="33" xfId="11" applyNumberFormat="1" applyFont="1" applyBorder="1"/>
    <xf numFmtId="3" fontId="84" fillId="0" borderId="33" xfId="11" applyNumberFormat="1" applyFont="1" applyFill="1" applyBorder="1" applyAlignment="1">
      <alignment horizontal="right" wrapText="1"/>
    </xf>
    <xf numFmtId="0" fontId="82" fillId="0" borderId="56" xfId="11" applyFont="1" applyFill="1" applyBorder="1" applyAlignment="1">
      <alignment horizontal="center" wrapText="1"/>
    </xf>
    <xf numFmtId="164" fontId="82" fillId="5" borderId="57" xfId="11" applyNumberFormat="1" applyFont="1" applyFill="1" applyBorder="1" applyAlignment="1">
      <alignment horizontal="right" wrapText="1" indent="2"/>
    </xf>
    <xf numFmtId="164" fontId="84" fillId="0" borderId="57" xfId="11" applyNumberFormat="1" applyFont="1" applyFill="1" applyBorder="1" applyAlignment="1">
      <alignment horizontal="right" wrapText="1" indent="2"/>
    </xf>
    <xf numFmtId="3" fontId="82" fillId="0" borderId="23" xfId="11" applyNumberFormat="1" applyFont="1" applyFill="1" applyBorder="1" applyAlignment="1">
      <alignment horizontal="right" wrapText="1"/>
    </xf>
    <xf numFmtId="164" fontId="82" fillId="5" borderId="58" xfId="11" applyNumberFormat="1" applyFont="1" applyFill="1" applyBorder="1" applyAlignment="1">
      <alignment horizontal="right" wrapText="1" indent="2"/>
    </xf>
    <xf numFmtId="164" fontId="84" fillId="0" borderId="58" xfId="11" applyNumberFormat="1" applyFont="1" applyFill="1" applyBorder="1" applyAlignment="1">
      <alignment horizontal="right" wrapText="1" indent="2"/>
    </xf>
    <xf numFmtId="3" fontId="82" fillId="5" borderId="59" xfId="11" applyNumberFormat="1" applyFont="1" applyFill="1" applyBorder="1" applyAlignment="1">
      <alignment horizontal="right" wrapText="1"/>
    </xf>
    <xf numFmtId="3" fontId="81" fillId="0" borderId="59" xfId="11" applyNumberFormat="1" applyFont="1" applyBorder="1"/>
    <xf numFmtId="3" fontId="84" fillId="0" borderId="59" xfId="11" applyNumberFormat="1" applyFont="1" applyFill="1" applyBorder="1" applyAlignment="1">
      <alignment horizontal="right" wrapText="1"/>
    </xf>
    <xf numFmtId="3" fontId="84" fillId="0" borderId="23" xfId="11" applyNumberFormat="1" applyFont="1" applyFill="1" applyBorder="1" applyAlignment="1">
      <alignment horizontal="right" wrapText="1"/>
    </xf>
    <xf numFmtId="0" fontId="82" fillId="0" borderId="60" xfId="11" applyFont="1" applyFill="1" applyBorder="1" applyAlignment="1">
      <alignment horizontal="center" wrapText="1"/>
    </xf>
    <xf numFmtId="0" fontId="82" fillId="0" borderId="61" xfId="11" applyFont="1" applyFill="1" applyBorder="1" applyAlignment="1">
      <alignment horizontal="center" wrapText="1"/>
    </xf>
    <xf numFmtId="0" fontId="82" fillId="0" borderId="62" xfId="11" applyFont="1" applyFill="1" applyBorder="1" applyAlignment="1">
      <alignment horizontal="center" wrapText="1"/>
    </xf>
    <xf numFmtId="3" fontId="84" fillId="0" borderId="63" xfId="11" applyNumberFormat="1" applyFont="1" applyFill="1" applyBorder="1" applyAlignment="1">
      <alignment horizontal="right" wrapText="1"/>
    </xf>
    <xf numFmtId="0" fontId="82" fillId="0" borderId="64" xfId="11" applyFont="1" applyFill="1" applyBorder="1" applyAlignment="1">
      <alignment horizontal="center" wrapText="1"/>
    </xf>
    <xf numFmtId="164" fontId="82" fillId="5" borderId="58" xfId="11" applyNumberFormat="1" applyFont="1" applyFill="1" applyBorder="1" applyAlignment="1">
      <alignment horizontal="right" wrapText="1" indent="2"/>
    </xf>
    <xf numFmtId="3" fontId="84" fillId="0" borderId="54" xfId="11" applyNumberFormat="1" applyFont="1" applyFill="1" applyBorder="1" applyAlignment="1">
      <alignment horizontal="right" wrapText="1"/>
    </xf>
    <xf numFmtId="3" fontId="84" fillId="0" borderId="55" xfId="11" applyNumberFormat="1" applyFont="1" applyFill="1" applyBorder="1" applyAlignment="1">
      <alignment horizontal="right" wrapText="1"/>
    </xf>
    <xf numFmtId="164" fontId="84" fillId="0" borderId="58" xfId="11" applyNumberFormat="1" applyFont="1" applyFill="1" applyBorder="1" applyAlignment="1">
      <alignment horizontal="right" wrapText="1" indent="2"/>
    </xf>
    <xf numFmtId="164" fontId="82" fillId="5" borderId="57" xfId="11" applyNumberFormat="1" applyFont="1" applyFill="1" applyBorder="1" applyAlignment="1">
      <alignment horizontal="right" wrapText="1" indent="2"/>
    </xf>
    <xf numFmtId="164" fontId="82" fillId="0" borderId="57" xfId="11" applyNumberFormat="1" applyFont="1" applyFill="1" applyBorder="1" applyAlignment="1">
      <alignment horizontal="right" wrapText="1" indent="2"/>
    </xf>
    <xf numFmtId="164" fontId="82" fillId="0" borderId="58" xfId="11" applyNumberFormat="1" applyFont="1" applyFill="1" applyBorder="1" applyAlignment="1">
      <alignment horizontal="right" wrapText="1" indent="2"/>
    </xf>
    <xf numFmtId="0" fontId="85" fillId="0" borderId="47" xfId="11" applyFont="1" applyFill="1" applyBorder="1" applyAlignment="1">
      <alignment wrapText="1"/>
    </xf>
    <xf numFmtId="0" fontId="82" fillId="0" borderId="64" xfId="11" applyFont="1" applyFill="1" applyBorder="1" applyAlignment="1">
      <alignment horizontal="center" wrapText="1"/>
    </xf>
    <xf numFmtId="0" fontId="82" fillId="0" borderId="60" xfId="11" applyFont="1" applyFill="1" applyBorder="1" applyAlignment="1">
      <alignment horizontal="center" wrapText="1"/>
    </xf>
    <xf numFmtId="0" fontId="82" fillId="0" borderId="61" xfId="11" quotePrefix="1" applyFont="1" applyFill="1" applyBorder="1" applyAlignment="1">
      <alignment horizontal="center" wrapText="1"/>
    </xf>
    <xf numFmtId="164" fontId="82" fillId="5" borderId="23" xfId="11" applyNumberFormat="1" applyFont="1" applyFill="1" applyBorder="1" applyAlignment="1">
      <alignment horizontal="center" wrapText="1"/>
    </xf>
    <xf numFmtId="164" fontId="82" fillId="5" borderId="33" xfId="11" applyNumberFormat="1" applyFont="1" applyFill="1" applyBorder="1" applyAlignment="1">
      <alignment horizontal="center" wrapText="1"/>
    </xf>
    <xf numFmtId="164" fontId="82" fillId="5" borderId="22" xfId="11" applyNumberFormat="1" applyFont="1" applyFill="1" applyBorder="1" applyAlignment="1">
      <alignment horizontal="center" wrapText="1"/>
    </xf>
    <xf numFmtId="164" fontId="84" fillId="0" borderId="23" xfId="11" applyNumberFormat="1" applyFont="1" applyFill="1" applyBorder="1" applyAlignment="1">
      <alignment horizontal="center" wrapText="1"/>
    </xf>
    <xf numFmtId="164" fontId="84" fillId="0" borderId="33" xfId="11" applyNumberFormat="1" applyFont="1" applyFill="1" applyBorder="1" applyAlignment="1">
      <alignment horizontal="center" wrapText="1"/>
    </xf>
    <xf numFmtId="164" fontId="82" fillId="0" borderId="22" xfId="11" applyNumberFormat="1" applyFont="1" applyFill="1" applyBorder="1" applyAlignment="1">
      <alignment horizontal="center" wrapText="1"/>
    </xf>
    <xf numFmtId="164" fontId="84" fillId="0" borderId="34" xfId="11" applyNumberFormat="1" applyFont="1" applyFill="1" applyBorder="1" applyAlignment="1">
      <alignment horizontal="center" wrapText="1"/>
    </xf>
    <xf numFmtId="164" fontId="84" fillId="0" borderId="37" xfId="11" applyNumberFormat="1" applyFont="1" applyFill="1" applyBorder="1" applyAlignment="1">
      <alignment horizontal="center" wrapText="1"/>
    </xf>
    <xf numFmtId="164" fontId="82" fillId="0" borderId="35" xfId="11" applyNumberFormat="1" applyFont="1" applyFill="1" applyBorder="1" applyAlignment="1">
      <alignment horizontal="center" wrapText="1"/>
    </xf>
    <xf numFmtId="0" fontId="86" fillId="0" borderId="0" xfId="0" applyFont="1" applyAlignment="1">
      <alignment wrapText="1"/>
    </xf>
    <xf numFmtId="0" fontId="86" fillId="0" borderId="0" xfId="0" applyFont="1" applyAlignment="1">
      <alignment horizontal="center"/>
    </xf>
    <xf numFmtId="0" fontId="86" fillId="0" borderId="0" xfId="0" applyFont="1"/>
    <xf numFmtId="49" fontId="57" fillId="0" borderId="2" xfId="0" applyNumberFormat="1" applyFont="1" applyBorder="1" applyAlignment="1">
      <alignment horizontal="center"/>
    </xf>
    <xf numFmtId="0" fontId="57" fillId="0" borderId="2" xfId="0" applyFont="1" applyBorder="1" applyAlignment="1">
      <alignment horizontal="left" wrapText="1"/>
    </xf>
    <xf numFmtId="0" fontId="57" fillId="0" borderId="0" xfId="0" applyFont="1" applyBorder="1" applyAlignment="1">
      <alignment horizontal="left" wrapText="1"/>
    </xf>
    <xf numFmtId="49" fontId="57" fillId="11" borderId="25" xfId="0" quotePrefix="1" applyNumberFormat="1" applyFont="1" applyFill="1" applyBorder="1" applyAlignment="1">
      <alignment horizontal="center"/>
    </xf>
    <xf numFmtId="0" fontId="57" fillId="11" borderId="25" xfId="0" applyFont="1" applyFill="1" applyBorder="1" applyAlignment="1">
      <alignment horizontal="left" wrapText="1"/>
    </xf>
    <xf numFmtId="0" fontId="57" fillId="0" borderId="0" xfId="0" applyFont="1" applyFill="1" applyBorder="1" applyAlignment="1">
      <alignment horizontal="left" wrapText="1"/>
    </xf>
    <xf numFmtId="173" fontId="57" fillId="11" borderId="16" xfId="1" applyNumberFormat="1" applyFont="1" applyFill="1" applyBorder="1" applyAlignment="1"/>
    <xf numFmtId="173" fontId="57" fillId="11" borderId="13" xfId="1" applyNumberFormat="1" applyFont="1" applyFill="1" applyBorder="1" applyAlignment="1"/>
    <xf numFmtId="173" fontId="57" fillId="11" borderId="24" xfId="1" applyNumberFormat="1" applyFont="1" applyFill="1" applyBorder="1" applyAlignment="1"/>
    <xf numFmtId="164" fontId="57" fillId="11" borderId="16" xfId="37" applyNumberFormat="1" applyFont="1" applyFill="1" applyBorder="1" applyAlignment="1"/>
    <xf numFmtId="164" fontId="57" fillId="11" borderId="24" xfId="37" applyNumberFormat="1" applyFont="1" applyFill="1" applyBorder="1" applyAlignment="1"/>
    <xf numFmtId="173" fontId="57" fillId="0" borderId="0" xfId="1" applyNumberFormat="1" applyFont="1" applyFill="1" applyAlignment="1"/>
    <xf numFmtId="49" fontId="86" fillId="0" borderId="0" xfId="0" applyNumberFormat="1" applyFont="1" applyBorder="1" applyAlignment="1">
      <alignment horizontal="center"/>
    </xf>
    <xf numFmtId="0" fontId="81" fillId="0" borderId="0" xfId="6" applyFont="1" applyBorder="1"/>
    <xf numFmtId="0" fontId="86" fillId="0" borderId="0" xfId="0" applyFont="1" applyBorder="1"/>
    <xf numFmtId="173" fontId="86" fillId="0" borderId="21" xfId="1" applyNumberFormat="1" applyFont="1" applyBorder="1"/>
    <xf numFmtId="173" fontId="86" fillId="0" borderId="17" xfId="1" applyNumberFormat="1" applyFont="1" applyBorder="1"/>
    <xf numFmtId="173" fontId="86" fillId="0" borderId="18" xfId="1" applyNumberFormat="1" applyFont="1" applyBorder="1"/>
    <xf numFmtId="164" fontId="86" fillId="0" borderId="21" xfId="37" applyNumberFormat="1" applyFont="1" applyBorder="1"/>
    <xf numFmtId="164" fontId="86" fillId="0" borderId="18" xfId="37" applyNumberFormat="1" applyFont="1" applyBorder="1"/>
    <xf numFmtId="173" fontId="86" fillId="0" borderId="0" xfId="1" applyNumberFormat="1" applyFont="1"/>
    <xf numFmtId="164" fontId="86" fillId="0" borderId="0" xfId="37" applyNumberFormat="1" applyFont="1"/>
    <xf numFmtId="49" fontId="86" fillId="0" borderId="2" xfId="0" applyNumberFormat="1" applyFont="1" applyBorder="1" applyAlignment="1">
      <alignment horizontal="center"/>
    </xf>
    <xf numFmtId="0" fontId="81" fillId="0" borderId="2" xfId="6" applyFont="1" applyBorder="1"/>
    <xf numFmtId="0" fontId="86" fillId="0" borderId="2" xfId="0" applyFont="1" applyBorder="1"/>
    <xf numFmtId="173" fontId="86" fillId="0" borderId="36" xfId="1" applyNumberFormat="1" applyFont="1" applyBorder="1"/>
    <xf numFmtId="173" fontId="86" fillId="0" borderId="19" xfId="1" applyNumberFormat="1" applyFont="1" applyBorder="1"/>
    <xf numFmtId="173" fontId="86" fillId="0" borderId="20" xfId="1" applyNumberFormat="1" applyFont="1" applyBorder="1"/>
    <xf numFmtId="164" fontId="86" fillId="0" borderId="36" xfId="37" applyNumberFormat="1" applyFont="1" applyBorder="1"/>
    <xf numFmtId="164" fontId="86" fillId="0" borderId="20" xfId="37" applyNumberFormat="1" applyFont="1" applyBorder="1"/>
    <xf numFmtId="49" fontId="86" fillId="0" borderId="0" xfId="0" applyNumberFormat="1" applyFont="1" applyAlignment="1">
      <alignment horizontal="left"/>
    </xf>
    <xf numFmtId="0" fontId="86" fillId="0" borderId="0" xfId="0" applyFont="1" applyAlignment="1">
      <alignment horizontal="left" vertical="top" wrapText="1"/>
    </xf>
    <xf numFmtId="0" fontId="81" fillId="0" borderId="0" xfId="0" applyFont="1" applyBorder="1" applyAlignment="1">
      <alignment vertical="top" wrapText="1"/>
    </xf>
    <xf numFmtId="0" fontId="73" fillId="0" borderId="0" xfId="4" applyFont="1" applyFill="1" applyBorder="1" applyAlignment="1" applyProtection="1">
      <alignment wrapText="1"/>
    </xf>
    <xf numFmtId="0" fontId="57" fillId="0" borderId="0" xfId="0" applyFont="1" applyAlignment="1">
      <alignment horizontal="left"/>
    </xf>
    <xf numFmtId="49" fontId="66" fillId="0" borderId="0" xfId="0" applyNumberFormat="1" applyFont="1" applyBorder="1" applyAlignment="1">
      <alignment horizontal="center"/>
    </xf>
    <xf numFmtId="49" fontId="66" fillId="0" borderId="0" xfId="0" applyNumberFormat="1" applyFont="1" applyBorder="1"/>
    <xf numFmtId="0" fontId="66" fillId="0" borderId="0" xfId="0" applyFont="1" applyBorder="1"/>
    <xf numFmtId="49" fontId="66" fillId="0" borderId="0" xfId="0" applyNumberFormat="1" applyFont="1" applyBorder="1" applyAlignment="1">
      <alignment horizontal="center" wrapText="1"/>
    </xf>
    <xf numFmtId="0" fontId="57" fillId="0" borderId="0" xfId="0" applyFont="1" applyBorder="1" applyAlignment="1">
      <alignment horizontal="center"/>
    </xf>
    <xf numFmtId="0" fontId="81" fillId="0" borderId="0" xfId="0" applyFont="1" applyFill="1" applyBorder="1" applyAlignment="1">
      <alignment wrapText="1"/>
    </xf>
    <xf numFmtId="49" fontId="66" fillId="0" borderId="0" xfId="0" applyNumberFormat="1" applyFont="1" applyFill="1" applyBorder="1" applyAlignment="1">
      <alignment horizontal="center" wrapText="1"/>
    </xf>
    <xf numFmtId="0" fontId="66" fillId="0" borderId="0" xfId="0" applyFont="1" applyFill="1" applyBorder="1" applyAlignment="1">
      <alignment horizontal="left" wrapText="1"/>
    </xf>
    <xf numFmtId="0" fontId="66" fillId="0" borderId="0" xfId="0" applyFont="1" applyFill="1" applyBorder="1" applyAlignment="1">
      <alignment horizontal="center" wrapText="1"/>
    </xf>
    <xf numFmtId="0" fontId="66" fillId="0" borderId="0" xfId="0" applyFont="1" applyFill="1" applyBorder="1" applyAlignment="1">
      <alignment wrapText="1"/>
    </xf>
    <xf numFmtId="49" fontId="81" fillId="0" borderId="0" xfId="0" applyNumberFormat="1" applyFont="1" applyFill="1" applyBorder="1" applyAlignment="1">
      <alignment horizontal="left" wrapText="1"/>
    </xf>
    <xf numFmtId="0" fontId="81" fillId="0" borderId="0" xfId="0" applyFont="1" applyFill="1" applyBorder="1" applyAlignment="1">
      <alignment horizontal="center" wrapText="1"/>
    </xf>
    <xf numFmtId="49" fontId="81" fillId="0" borderId="0" xfId="0" applyNumberFormat="1" applyFont="1" applyFill="1" applyBorder="1" applyAlignment="1">
      <alignment horizontal="center" wrapText="1"/>
    </xf>
    <xf numFmtId="0" fontId="66" fillId="0" borderId="0" xfId="0" applyFont="1" applyFill="1" applyBorder="1" applyAlignment="1">
      <alignment horizontal="right" wrapText="1"/>
    </xf>
    <xf numFmtId="49" fontId="66" fillId="0" borderId="0" xfId="0" applyNumberFormat="1" applyFont="1" applyFill="1" applyBorder="1" applyAlignment="1">
      <alignment horizontal="left" wrapText="1"/>
    </xf>
    <xf numFmtId="49" fontId="81" fillId="0" borderId="0" xfId="0" applyNumberFormat="1" applyFont="1" applyFill="1" applyBorder="1" applyAlignment="1">
      <alignment horizontal="left"/>
    </xf>
    <xf numFmtId="3" fontId="84" fillId="0" borderId="1" xfId="13" applyNumberFormat="1" applyFont="1" applyBorder="1"/>
    <xf numFmtId="0" fontId="84" fillId="2" borderId="3" xfId="32" applyFont="1" applyFill="1" applyBorder="1" applyAlignment="1">
      <alignment horizontal="center"/>
    </xf>
    <xf numFmtId="3" fontId="84" fillId="0" borderId="1" xfId="13" applyNumberFormat="1" applyFont="1" applyFill="1" applyBorder="1" applyAlignment="1">
      <alignment horizontal="right" vertical="center" wrapText="1"/>
    </xf>
    <xf numFmtId="3" fontId="84" fillId="0" borderId="0" xfId="13" applyNumberFormat="1" applyFont="1" applyFill="1" applyAlignment="1">
      <alignment horizontal="right" vertical="center" wrapText="1"/>
    </xf>
    <xf numFmtId="3" fontId="84" fillId="0" borderId="0" xfId="13" applyNumberFormat="1" applyFont="1" applyFill="1" applyBorder="1" applyAlignment="1">
      <alignment horizontal="right" vertical="center" wrapText="1"/>
    </xf>
    <xf numFmtId="3" fontId="84" fillId="0" borderId="11" xfId="13" applyNumberFormat="1" applyFont="1" applyFill="1" applyBorder="1" applyAlignment="1">
      <alignment horizontal="right" vertical="center" wrapText="1"/>
    </xf>
    <xf numFmtId="0" fontId="84" fillId="0" borderId="0" xfId="13" applyFont="1" applyFill="1" applyBorder="1" applyAlignment="1">
      <alignment horizontal="center" vertical="center"/>
    </xf>
    <xf numFmtId="0" fontId="84" fillId="2" borderId="7" xfId="32" applyFont="1" applyFill="1" applyBorder="1" applyAlignment="1">
      <alignment horizontal="center"/>
    </xf>
    <xf numFmtId="0" fontId="84" fillId="0" borderId="12" xfId="32" applyFont="1" applyFill="1" applyBorder="1" applyAlignment="1">
      <alignment wrapText="1"/>
    </xf>
    <xf numFmtId="3" fontId="84" fillId="0" borderId="9" xfId="13" applyNumberFormat="1" applyFont="1" applyBorder="1"/>
    <xf numFmtId="0" fontId="84" fillId="2" borderId="64" xfId="32" applyFont="1" applyFill="1" applyBorder="1" applyAlignment="1">
      <alignment horizontal="center"/>
    </xf>
    <xf numFmtId="0" fontId="84" fillId="2" borderId="60" xfId="32" applyFont="1" applyFill="1" applyBorder="1" applyAlignment="1">
      <alignment horizontal="center"/>
    </xf>
    <xf numFmtId="0" fontId="84" fillId="2" borderId="29" xfId="32" applyFont="1" applyFill="1" applyBorder="1" applyAlignment="1">
      <alignment horizontal="center"/>
    </xf>
    <xf numFmtId="3" fontId="84" fillId="0" borderId="54" xfId="32" applyNumberFormat="1" applyFont="1" applyFill="1" applyBorder="1" applyAlignment="1">
      <alignment horizontal="right" wrapText="1"/>
    </xf>
    <xf numFmtId="3" fontId="84" fillId="0" borderId="55" xfId="32" applyNumberFormat="1" applyFont="1" applyFill="1" applyBorder="1" applyAlignment="1">
      <alignment horizontal="right" wrapText="1"/>
    </xf>
    <xf numFmtId="3" fontId="86" fillId="0" borderId="22" xfId="0" applyNumberFormat="1" applyFont="1" applyBorder="1"/>
    <xf numFmtId="3" fontId="84" fillId="0" borderId="33" xfId="32" applyNumberFormat="1" applyFont="1" applyBorder="1"/>
    <xf numFmtId="3" fontId="84" fillId="0" borderId="23" xfId="32" applyNumberFormat="1" applyFont="1" applyBorder="1"/>
    <xf numFmtId="0" fontId="84" fillId="2" borderId="3" xfId="25" applyFont="1" applyFill="1" applyBorder="1" applyAlignment="1">
      <alignment horizontal="center"/>
    </xf>
    <xf numFmtId="3" fontId="84" fillId="2" borderId="3" xfId="13" applyNumberFormat="1" applyFont="1" applyFill="1" applyBorder="1" applyAlignment="1">
      <alignment horizontal="center"/>
    </xf>
    <xf numFmtId="0" fontId="82" fillId="12" borderId="0" xfId="25" applyFont="1" applyFill="1" applyBorder="1" applyAlignment="1">
      <alignment horizontal="left"/>
    </xf>
    <xf numFmtId="0" fontId="84" fillId="0" borderId="1" xfId="25" applyFont="1" applyFill="1" applyBorder="1" applyAlignment="1">
      <alignment wrapText="1"/>
    </xf>
    <xf numFmtId="0" fontId="84" fillId="0" borderId="1" xfId="25" applyFont="1" applyFill="1" applyBorder="1" applyAlignment="1">
      <alignment horizontal="right" wrapText="1"/>
    </xf>
    <xf numFmtId="3" fontId="84" fillId="0" borderId="1" xfId="13" applyNumberFormat="1" applyFont="1" applyFill="1" applyBorder="1" applyAlignment="1">
      <alignment horizontal="right" wrapText="1"/>
    </xf>
    <xf numFmtId="0" fontId="84" fillId="2" borderId="3" xfId="26" applyFont="1" applyFill="1" applyBorder="1" applyAlignment="1">
      <alignment horizontal="center"/>
    </xf>
    <xf numFmtId="0" fontId="84" fillId="0" borderId="1" xfId="26" applyFont="1" applyFill="1" applyBorder="1" applyAlignment="1">
      <alignment wrapText="1"/>
    </xf>
    <xf numFmtId="0" fontId="82" fillId="12" borderId="0" xfId="26" applyFont="1" applyFill="1" applyBorder="1" applyAlignment="1">
      <alignment horizontal="left"/>
    </xf>
    <xf numFmtId="0" fontId="80" fillId="0" borderId="0" xfId="16" applyFont="1" applyAlignment="1">
      <alignment vertical="top"/>
    </xf>
    <xf numFmtId="0" fontId="81" fillId="0" borderId="0" xfId="16" applyFont="1" applyAlignment="1">
      <alignment vertical="top"/>
    </xf>
    <xf numFmtId="0" fontId="81" fillId="0" borderId="0" xfId="16" applyFont="1" applyFill="1" applyAlignment="1">
      <alignment vertical="top"/>
    </xf>
    <xf numFmtId="3" fontId="81" fillId="0" borderId="0" xfId="16" applyNumberFormat="1" applyFont="1" applyAlignment="1">
      <alignment vertical="top"/>
    </xf>
    <xf numFmtId="170" fontId="87" fillId="0" borderId="0" xfId="16" applyNumberFormat="1" applyFont="1" applyAlignment="1">
      <alignment horizontal="left" vertical="top" wrapText="1"/>
    </xf>
    <xf numFmtId="49" fontId="87" fillId="0" borderId="0" xfId="16" applyNumberFormat="1" applyFont="1" applyAlignment="1">
      <alignment horizontal="center" vertical="top" wrapText="1"/>
    </xf>
    <xf numFmtId="169" fontId="87" fillId="0" borderId="0" xfId="16" applyNumberFormat="1" applyFont="1" applyAlignment="1">
      <alignment horizontal="right" vertical="top" wrapText="1"/>
    </xf>
    <xf numFmtId="49" fontId="88" fillId="0" borderId="0" xfId="16" applyNumberFormat="1" applyFont="1" applyFill="1" applyAlignment="1">
      <alignment vertical="top" wrapText="1"/>
    </xf>
    <xf numFmtId="49" fontId="89" fillId="3" borderId="0" xfId="16" applyNumberFormat="1" applyFont="1" applyFill="1" applyBorder="1" applyAlignment="1">
      <alignment vertical="top" wrapText="1"/>
    </xf>
    <xf numFmtId="3" fontId="89" fillId="3" borderId="0" xfId="16" applyNumberFormat="1" applyFont="1" applyFill="1" applyBorder="1" applyAlignment="1">
      <alignment horizontal="right" vertical="top"/>
    </xf>
    <xf numFmtId="49" fontId="89" fillId="3" borderId="145" xfId="16" applyNumberFormat="1" applyFont="1" applyFill="1" applyBorder="1" applyAlignment="1">
      <alignment vertical="top" wrapText="1"/>
    </xf>
    <xf numFmtId="49" fontId="89" fillId="3" borderId="145" xfId="16" applyNumberFormat="1" applyFont="1" applyFill="1" applyBorder="1" applyAlignment="1">
      <alignment horizontal="right" wrapText="1"/>
    </xf>
    <xf numFmtId="49" fontId="87" fillId="4" borderId="146" xfId="16" applyNumberFormat="1" applyFont="1" applyFill="1" applyBorder="1" applyAlignment="1">
      <alignment vertical="top" wrapText="1"/>
    </xf>
    <xf numFmtId="49" fontId="89" fillId="3" borderId="146" xfId="16" applyNumberFormat="1" applyFont="1" applyFill="1" applyBorder="1" applyAlignment="1">
      <alignment vertical="top" wrapText="1"/>
    </xf>
    <xf numFmtId="3" fontId="89" fillId="3" borderId="147" xfId="16" applyNumberFormat="1" applyFont="1" applyFill="1" applyBorder="1" applyAlignment="1">
      <alignment horizontal="right" vertical="top"/>
    </xf>
    <xf numFmtId="3" fontId="89" fillId="3" borderId="148" xfId="16" applyNumberFormat="1" applyFont="1" applyFill="1" applyBorder="1" applyAlignment="1">
      <alignment horizontal="right" vertical="top"/>
    </xf>
    <xf numFmtId="49" fontId="89" fillId="3" borderId="30" xfId="16" applyNumberFormat="1" applyFont="1" applyFill="1" applyBorder="1" applyAlignment="1">
      <alignment horizontal="right" wrapText="1"/>
    </xf>
    <xf numFmtId="49" fontId="89" fillId="3" borderId="31" xfId="16" applyNumberFormat="1" applyFont="1" applyFill="1" applyBorder="1" applyAlignment="1">
      <alignment horizontal="right" wrapText="1"/>
    </xf>
    <xf numFmtId="49" fontId="89" fillId="3" borderId="32" xfId="16" applyNumberFormat="1" applyFont="1" applyFill="1" applyBorder="1" applyAlignment="1">
      <alignment horizontal="right" wrapText="1"/>
    </xf>
    <xf numFmtId="3" fontId="89" fillId="3" borderId="149" xfId="16" applyNumberFormat="1" applyFont="1" applyFill="1" applyBorder="1" applyAlignment="1">
      <alignment horizontal="right" vertical="top"/>
    </xf>
    <xf numFmtId="3" fontId="89" fillId="3" borderId="150" xfId="16" applyNumberFormat="1" applyFont="1" applyFill="1" applyBorder="1" applyAlignment="1">
      <alignment horizontal="right" vertical="top"/>
    </xf>
    <xf numFmtId="3" fontId="89" fillId="3" borderId="151" xfId="16" applyNumberFormat="1" applyFont="1" applyFill="1" applyBorder="1" applyAlignment="1">
      <alignment horizontal="right" vertical="top"/>
    </xf>
    <xf numFmtId="3" fontId="89" fillId="3" borderId="152" xfId="16" applyNumberFormat="1" applyFont="1" applyFill="1" applyBorder="1" applyAlignment="1">
      <alignment horizontal="right" vertical="top"/>
    </xf>
    <xf numFmtId="3" fontId="89" fillId="3" borderId="153" xfId="16" applyNumberFormat="1" applyFont="1" applyFill="1" applyBorder="1" applyAlignment="1">
      <alignment horizontal="right" vertical="top"/>
    </xf>
    <xf numFmtId="3" fontId="89" fillId="3" borderId="154" xfId="16" applyNumberFormat="1" applyFont="1" applyFill="1" applyBorder="1" applyAlignment="1">
      <alignment horizontal="right" vertical="top"/>
    </xf>
    <xf numFmtId="0" fontId="81" fillId="0" borderId="0" xfId="9" applyFont="1" applyFill="1" applyAlignment="1">
      <alignment vertical="top"/>
    </xf>
    <xf numFmtId="0" fontId="81" fillId="0" borderId="0" xfId="9" applyFont="1" applyFill="1" applyAlignment="1">
      <alignment horizontal="center" vertical="top"/>
    </xf>
    <xf numFmtId="0" fontId="81" fillId="0" borderId="0" xfId="0" applyFont="1" applyAlignment="1">
      <alignment vertical="top"/>
    </xf>
    <xf numFmtId="0" fontId="81" fillId="0" borderId="0" xfId="0" applyFont="1" applyFill="1" applyAlignment="1">
      <alignment vertical="top"/>
    </xf>
    <xf numFmtId="0" fontId="81" fillId="0" borderId="0" xfId="0" applyFont="1" applyAlignment="1">
      <alignment horizontal="right" vertical="top"/>
    </xf>
    <xf numFmtId="3" fontId="81" fillId="0" borderId="0" xfId="9" applyNumberFormat="1" applyFont="1" applyFill="1" applyAlignment="1">
      <alignment vertical="top"/>
    </xf>
    <xf numFmtId="49" fontId="87" fillId="0" borderId="0" xfId="9" applyNumberFormat="1" applyFont="1" applyFill="1" applyAlignment="1">
      <alignment horizontal="center" vertical="top" wrapText="1"/>
    </xf>
    <xf numFmtId="169" fontId="87" fillId="0" borderId="0" xfId="9" applyNumberFormat="1" applyFont="1" applyFill="1" applyAlignment="1">
      <alignment horizontal="right" vertical="top" wrapText="1"/>
    </xf>
    <xf numFmtId="49" fontId="88" fillId="0" borderId="0" xfId="0" applyNumberFormat="1" applyFont="1" applyFill="1" applyAlignment="1">
      <alignment vertical="top" wrapText="1"/>
    </xf>
    <xf numFmtId="49" fontId="89" fillId="3" borderId="155" xfId="0" applyNumberFormat="1" applyFont="1" applyFill="1" applyBorder="1" applyAlignment="1">
      <alignment horizontal="right" wrapText="1"/>
    </xf>
    <xf numFmtId="49" fontId="89" fillId="3" borderId="155" xfId="0" applyNumberFormat="1" applyFont="1" applyFill="1" applyBorder="1" applyAlignment="1">
      <alignment horizontal="center" wrapText="1"/>
    </xf>
    <xf numFmtId="49" fontId="89" fillId="3" borderId="156" xfId="0" applyNumberFormat="1" applyFont="1" applyFill="1" applyBorder="1" applyAlignment="1">
      <alignment horizontal="right" wrapText="1"/>
    </xf>
    <xf numFmtId="49" fontId="89" fillId="3" borderId="157" xfId="0" applyNumberFormat="1" applyFont="1" applyFill="1" applyBorder="1" applyAlignment="1">
      <alignment horizontal="right" wrapText="1"/>
    </xf>
    <xf numFmtId="49" fontId="89" fillId="3" borderId="0" xfId="0" applyNumberFormat="1" applyFont="1" applyFill="1" applyBorder="1" applyAlignment="1">
      <alignment horizontal="right" wrapText="1"/>
    </xf>
    <xf numFmtId="49" fontId="89" fillId="3" borderId="0" xfId="0" applyNumberFormat="1" applyFont="1" applyFill="1" applyBorder="1" applyAlignment="1">
      <alignment wrapText="1"/>
    </xf>
    <xf numFmtId="49" fontId="89" fillId="3" borderId="95" xfId="0" applyNumberFormat="1" applyFont="1" applyFill="1" applyBorder="1" applyAlignment="1">
      <alignment wrapText="1"/>
    </xf>
    <xf numFmtId="49" fontId="89" fillId="3" borderId="95" xfId="0" applyNumberFormat="1" applyFont="1" applyFill="1" applyBorder="1" applyAlignment="1">
      <alignment vertical="top" wrapText="1"/>
    </xf>
    <xf numFmtId="49" fontId="87" fillId="4" borderId="95" xfId="0" applyNumberFormat="1" applyFont="1" applyFill="1" applyBorder="1" applyAlignment="1">
      <alignment vertical="top" wrapText="1"/>
    </xf>
    <xf numFmtId="3" fontId="89" fillId="3" borderId="158" xfId="0" applyNumberFormat="1" applyFont="1" applyFill="1" applyBorder="1" applyAlignment="1">
      <alignment horizontal="right" vertical="top"/>
    </xf>
    <xf numFmtId="3" fontId="89" fillId="3" borderId="93" xfId="0" applyNumberFormat="1" applyFont="1" applyFill="1" applyBorder="1" applyAlignment="1">
      <alignment horizontal="right" vertical="top"/>
    </xf>
    <xf numFmtId="0" fontId="86" fillId="0" borderId="0" xfId="12" applyFont="1"/>
    <xf numFmtId="0" fontId="81" fillId="0" borderId="0" xfId="0" applyFont="1" applyFill="1" applyBorder="1" applyAlignment="1"/>
    <xf numFmtId="49" fontId="88" fillId="0" borderId="0" xfId="0" applyNumberFormat="1" applyFont="1" applyFill="1" applyBorder="1" applyAlignment="1">
      <alignment wrapText="1"/>
    </xf>
    <xf numFmtId="49" fontId="89" fillId="0" borderId="0" xfId="0" applyNumberFormat="1" applyFont="1" applyFill="1" applyBorder="1" applyAlignment="1">
      <alignment wrapText="1"/>
    </xf>
    <xf numFmtId="49" fontId="89" fillId="0" borderId="65" xfId="0" applyNumberFormat="1" applyFont="1" applyFill="1" applyBorder="1" applyAlignment="1">
      <alignment horizontal="center" wrapText="1"/>
    </xf>
    <xf numFmtId="49" fontId="89" fillId="0" borderId="65" xfId="0" applyNumberFormat="1" applyFont="1" applyFill="1" applyBorder="1" applyAlignment="1">
      <alignment wrapText="1"/>
    </xf>
    <xf numFmtId="49" fontId="89" fillId="0" borderId="66" xfId="0" applyNumberFormat="1" applyFont="1" applyFill="1" applyBorder="1" applyAlignment="1">
      <alignment horizontal="right" wrapText="1" indent="1"/>
    </xf>
    <xf numFmtId="49" fontId="89" fillId="0" borderId="65" xfId="0" applyNumberFormat="1" applyFont="1" applyFill="1" applyBorder="1" applyAlignment="1">
      <alignment horizontal="right" wrapText="1" indent="1"/>
    </xf>
    <xf numFmtId="49" fontId="89" fillId="0" borderId="67" xfId="0" applyNumberFormat="1" applyFont="1" applyFill="1" applyBorder="1" applyAlignment="1">
      <alignment horizontal="right" wrapText="1" indent="1"/>
    </xf>
    <xf numFmtId="0" fontId="81" fillId="0" borderId="0" xfId="0" applyFont="1" applyFill="1" applyBorder="1" applyAlignment="1">
      <alignment horizontal="center"/>
    </xf>
    <xf numFmtId="49" fontId="87" fillId="0" borderId="0" xfId="0" applyNumberFormat="1" applyFont="1" applyFill="1" applyBorder="1" applyAlignment="1">
      <alignment wrapText="1"/>
    </xf>
    <xf numFmtId="3" fontId="87" fillId="0" borderId="68" xfId="0" applyNumberFormat="1" applyFont="1" applyFill="1" applyBorder="1" applyAlignment="1">
      <alignment horizontal="right" indent="1"/>
    </xf>
    <xf numFmtId="3" fontId="87" fillId="0" borderId="0" xfId="0" applyNumberFormat="1" applyFont="1" applyFill="1" applyBorder="1" applyAlignment="1">
      <alignment horizontal="right" indent="1"/>
    </xf>
    <xf numFmtId="3" fontId="87" fillId="0" borderId="69" xfId="0" applyNumberFormat="1" applyFont="1" applyFill="1" applyBorder="1" applyAlignment="1">
      <alignment horizontal="right" indent="1"/>
    </xf>
    <xf numFmtId="3" fontId="81" fillId="0" borderId="0" xfId="0" applyNumberFormat="1" applyFont="1" applyFill="1" applyBorder="1" applyAlignment="1"/>
    <xf numFmtId="0" fontId="81" fillId="0" borderId="0" xfId="0" quotePrefix="1" applyFont="1" applyFill="1" applyBorder="1" applyAlignment="1">
      <alignment horizontal="center"/>
    </xf>
    <xf numFmtId="49" fontId="89" fillId="0" borderId="69" xfId="0" applyNumberFormat="1" applyFont="1" applyFill="1" applyBorder="1" applyAlignment="1">
      <alignment vertical="top" wrapText="1"/>
    </xf>
    <xf numFmtId="3" fontId="81" fillId="0" borderId="66" xfId="0" applyNumberFormat="1" applyFont="1" applyFill="1" applyBorder="1" applyAlignment="1">
      <alignment horizontal="right" indent="1"/>
    </xf>
    <xf numFmtId="3" fontId="81" fillId="0" borderId="65" xfId="0" applyNumberFormat="1" applyFont="1" applyFill="1" applyBorder="1" applyAlignment="1">
      <alignment horizontal="right" indent="1"/>
    </xf>
    <xf numFmtId="3" fontId="81" fillId="0" borderId="67" xfId="0" applyNumberFormat="1" applyFont="1" applyFill="1" applyBorder="1" applyAlignment="1">
      <alignment horizontal="right" indent="1"/>
    </xf>
    <xf numFmtId="3" fontId="81" fillId="0" borderId="0" xfId="0" applyNumberFormat="1" applyFont="1" applyFill="1" applyBorder="1" applyAlignment="1">
      <alignment horizontal="right" indent="1"/>
    </xf>
    <xf numFmtId="0" fontId="56" fillId="0" borderId="0" xfId="12" applyFont="1"/>
    <xf numFmtId="0" fontId="86" fillId="0" borderId="0" xfId="12" applyFont="1" applyAlignment="1">
      <alignment horizontal="center" wrapText="1"/>
    </xf>
    <xf numFmtId="0" fontId="57" fillId="0" borderId="0" xfId="12" applyFont="1" applyAlignment="1">
      <alignment wrapText="1"/>
    </xf>
    <xf numFmtId="3" fontId="86" fillId="0" borderId="0" xfId="12" applyNumberFormat="1" applyFont="1"/>
    <xf numFmtId="0" fontId="86" fillId="0" borderId="0" xfId="12" quotePrefix="1" applyFont="1"/>
    <xf numFmtId="0" fontId="57" fillId="0" borderId="159" xfId="12" applyFont="1" applyBorder="1" applyAlignment="1">
      <alignment horizontal="center" wrapText="1"/>
    </xf>
    <xf numFmtId="0" fontId="86" fillId="13" borderId="160" xfId="12" applyFont="1" applyFill="1" applyBorder="1" applyAlignment="1">
      <alignment vertical="top"/>
    </xf>
    <xf numFmtId="3" fontId="57" fillId="14" borderId="161" xfId="12" applyNumberFormat="1" applyFont="1" applyFill="1" applyBorder="1" applyAlignment="1">
      <alignment horizontal="right" vertical="top"/>
    </xf>
    <xf numFmtId="3" fontId="57" fillId="14" borderId="0" xfId="12" applyNumberFormat="1" applyFont="1" applyFill="1" applyBorder="1" applyAlignment="1">
      <alignment horizontal="right" vertical="top"/>
    </xf>
    <xf numFmtId="0" fontId="57" fillId="14" borderId="160" xfId="12" applyFont="1" applyFill="1" applyBorder="1" applyAlignment="1">
      <alignment vertical="top"/>
    </xf>
    <xf numFmtId="3" fontId="57" fillId="14" borderId="162" xfId="12" applyNumberFormat="1" applyFont="1" applyFill="1" applyBorder="1" applyAlignment="1">
      <alignment horizontal="right" vertical="top"/>
    </xf>
    <xf numFmtId="0" fontId="69" fillId="0" borderId="0" xfId="0" applyFont="1" applyAlignment="1">
      <alignment horizontal="left" vertical="top"/>
    </xf>
    <xf numFmtId="3" fontId="58" fillId="0" borderId="137" xfId="0" applyNumberFormat="1" applyFont="1" applyFill="1" applyBorder="1" applyAlignment="1">
      <alignment horizontal="right" indent="1"/>
    </xf>
    <xf numFmtId="0" fontId="58" fillId="9" borderId="23" xfId="0" applyFont="1" applyFill="1" applyBorder="1" applyAlignment="1">
      <alignment horizontal="right" indent="1"/>
    </xf>
    <xf numFmtId="0" fontId="58" fillId="9" borderId="33" xfId="0" applyFont="1" applyFill="1" applyBorder="1" applyAlignment="1">
      <alignment horizontal="right" indent="1"/>
    </xf>
    <xf numFmtId="0" fontId="58" fillId="9" borderId="22" xfId="0" applyFont="1" applyFill="1" applyBorder="1" applyAlignment="1">
      <alignment horizontal="right" indent="1"/>
    </xf>
    <xf numFmtId="0" fontId="58" fillId="9" borderId="99" xfId="0" applyFont="1" applyFill="1" applyBorder="1" applyAlignment="1">
      <alignment horizontal="right" indent="1"/>
    </xf>
    <xf numFmtId="0" fontId="58" fillId="8" borderId="23" xfId="0" applyFont="1" applyFill="1" applyBorder="1" applyAlignment="1">
      <alignment horizontal="right" indent="1"/>
    </xf>
    <xf numFmtId="0" fontId="58" fillId="8" borderId="33" xfId="0" applyFont="1" applyFill="1" applyBorder="1" applyAlignment="1">
      <alignment horizontal="right" indent="1"/>
    </xf>
    <xf numFmtId="0" fontId="58" fillId="8" borderId="22" xfId="0" applyFont="1" applyFill="1" applyBorder="1" applyAlignment="1">
      <alignment horizontal="right" indent="1"/>
    </xf>
    <xf numFmtId="0" fontId="58" fillId="8" borderId="99" xfId="0" applyFont="1" applyFill="1" applyBorder="1" applyAlignment="1">
      <alignment horizontal="right" indent="1"/>
    </xf>
    <xf numFmtId="3" fontId="58" fillId="0" borderId="23" xfId="0" applyNumberFormat="1" applyFont="1" applyFill="1" applyBorder="1" applyAlignment="1">
      <alignment horizontal="right" indent="1"/>
    </xf>
    <xf numFmtId="3" fontId="58" fillId="0" borderId="33" xfId="0" applyNumberFormat="1" applyFont="1" applyFill="1" applyBorder="1" applyAlignment="1">
      <alignment horizontal="right" indent="1"/>
    </xf>
    <xf numFmtId="3" fontId="58" fillId="0" borderId="22" xfId="0" applyNumberFormat="1" applyFont="1" applyFill="1" applyBorder="1" applyAlignment="1">
      <alignment horizontal="right" indent="1"/>
    </xf>
    <xf numFmtId="3" fontId="58" fillId="0" borderId="99" xfId="0" applyNumberFormat="1" applyFont="1" applyFill="1" applyBorder="1" applyAlignment="1">
      <alignment horizontal="right" indent="1"/>
    </xf>
    <xf numFmtId="9" fontId="58" fillId="0" borderId="23" xfId="0" applyNumberFormat="1" applyFont="1" applyFill="1" applyBorder="1" applyAlignment="1">
      <alignment horizontal="right" indent="1"/>
    </xf>
    <xf numFmtId="9" fontId="58" fillId="0" borderId="137" xfId="0" applyNumberFormat="1" applyFont="1" applyFill="1" applyBorder="1" applyAlignment="1">
      <alignment horizontal="right" indent="1"/>
    </xf>
    <xf numFmtId="0" fontId="58" fillId="0" borderId="33" xfId="0" applyFont="1" applyFill="1" applyBorder="1" applyAlignment="1">
      <alignment horizontal="right" indent="1"/>
    </xf>
    <xf numFmtId="0" fontId="58" fillId="0" borderId="99" xfId="0" applyFont="1" applyFill="1" applyBorder="1" applyAlignment="1">
      <alignment horizontal="right" indent="1"/>
    </xf>
    <xf numFmtId="0" fontId="81" fillId="0" borderId="0" xfId="6" applyFont="1"/>
    <xf numFmtId="0" fontId="84" fillId="0" borderId="0" xfId="28" applyFont="1"/>
    <xf numFmtId="0" fontId="84" fillId="0" borderId="0" xfId="17" applyFont="1"/>
    <xf numFmtId="5" fontId="86" fillId="0" borderId="0" xfId="0" applyNumberFormat="1" applyFont="1"/>
    <xf numFmtId="7" fontId="86" fillId="0" borderId="0" xfId="0" applyNumberFormat="1" applyFont="1"/>
    <xf numFmtId="0" fontId="84" fillId="0" borderId="1" xfId="28" applyFont="1" applyFill="1" applyBorder="1" applyAlignment="1">
      <alignment wrapText="1"/>
    </xf>
    <xf numFmtId="166" fontId="84" fillId="0" borderId="1" xfId="28" applyNumberFormat="1" applyFont="1" applyFill="1" applyBorder="1" applyAlignment="1">
      <alignment horizontal="right" wrapText="1"/>
    </xf>
    <xf numFmtId="166" fontId="84" fillId="0" borderId="1" xfId="17" applyNumberFormat="1" applyFont="1" applyFill="1" applyBorder="1" applyAlignment="1">
      <alignment horizontal="right" wrapText="1"/>
    </xf>
    <xf numFmtId="0" fontId="84" fillId="0" borderId="0" xfId="13" applyFont="1" applyAlignment="1">
      <alignment horizontal="left"/>
    </xf>
    <xf numFmtId="0" fontId="84" fillId="0" borderId="12" xfId="28" applyFont="1" applyFill="1" applyBorder="1" applyAlignment="1">
      <alignment wrapText="1"/>
    </xf>
    <xf numFmtId="5" fontId="86" fillId="0" borderId="23" xfId="0" applyNumberFormat="1" applyFont="1" applyBorder="1"/>
    <xf numFmtId="5" fontId="86" fillId="0" borderId="33" xfId="0" applyNumberFormat="1" applyFont="1" applyBorder="1"/>
    <xf numFmtId="5" fontId="86" fillId="0" borderId="22" xfId="0" applyNumberFormat="1" applyFont="1" applyBorder="1"/>
    <xf numFmtId="166" fontId="84" fillId="0" borderId="9" xfId="17" applyNumberFormat="1" applyFont="1" applyFill="1" applyBorder="1" applyAlignment="1">
      <alignment horizontal="right" wrapText="1"/>
    </xf>
    <xf numFmtId="0" fontId="84" fillId="0" borderId="0" xfId="19" applyFont="1"/>
    <xf numFmtId="166" fontId="84" fillId="0" borderId="1" xfId="19" applyNumberFormat="1" applyFont="1" applyFill="1" applyBorder="1" applyAlignment="1">
      <alignment horizontal="right" wrapText="1"/>
    </xf>
    <xf numFmtId="167" fontId="86" fillId="0" borderId="0" xfId="0" applyNumberFormat="1" applyFont="1"/>
    <xf numFmtId="0" fontId="86" fillId="0" borderId="0" xfId="0" applyFont="1" applyFill="1" applyAlignment="1">
      <alignment wrapText="1"/>
    </xf>
    <xf numFmtId="166" fontId="82" fillId="5" borderId="0" xfId="30" applyNumberFormat="1" applyFont="1" applyFill="1" applyBorder="1" applyAlignment="1">
      <alignment horizontal="center"/>
    </xf>
    <xf numFmtId="0" fontId="84" fillId="2" borderId="3" xfId="33" applyFont="1" applyFill="1" applyBorder="1" applyAlignment="1">
      <alignment horizontal="center" wrapText="1"/>
    </xf>
    <xf numFmtId="0" fontId="84" fillId="2" borderId="3" xfId="19" applyFont="1" applyFill="1" applyBorder="1" applyAlignment="1">
      <alignment horizontal="center"/>
    </xf>
    <xf numFmtId="5" fontId="57" fillId="5" borderId="23" xfId="0" applyNumberFormat="1" applyFont="1" applyFill="1" applyBorder="1"/>
    <xf numFmtId="5" fontId="57" fillId="5" borderId="33" xfId="0" applyNumberFormat="1" applyFont="1" applyFill="1" applyBorder="1"/>
    <xf numFmtId="5" fontId="57" fillId="5" borderId="22" xfId="0" applyNumberFormat="1" applyFont="1" applyFill="1" applyBorder="1"/>
    <xf numFmtId="7" fontId="57" fillId="5" borderId="0" xfId="0" applyNumberFormat="1" applyFont="1" applyFill="1"/>
    <xf numFmtId="0" fontId="82" fillId="5" borderId="70" xfId="28" applyFont="1" applyFill="1" applyBorder="1" applyAlignment="1">
      <alignment wrapText="1"/>
    </xf>
    <xf numFmtId="0" fontId="84" fillId="2" borderId="3" xfId="28" applyFont="1" applyFill="1" applyBorder="1" applyAlignment="1">
      <alignment horizontal="center"/>
    </xf>
    <xf numFmtId="0" fontId="84" fillId="2" borderId="7" xfId="30" applyFont="1" applyFill="1" applyBorder="1" applyAlignment="1">
      <alignment horizontal="center"/>
    </xf>
    <xf numFmtId="0" fontId="82" fillId="5" borderId="12" xfId="30" applyFont="1" applyFill="1" applyBorder="1" applyAlignment="1">
      <alignment wrapText="1"/>
    </xf>
    <xf numFmtId="0" fontId="84" fillId="0" borderId="12" xfId="30" applyFont="1" applyFill="1" applyBorder="1" applyAlignment="1">
      <alignment wrapText="1"/>
    </xf>
    <xf numFmtId="0" fontId="84" fillId="2" borderId="8" xfId="19" applyFont="1" applyFill="1" applyBorder="1" applyAlignment="1">
      <alignment horizontal="center"/>
    </xf>
    <xf numFmtId="166" fontId="84" fillId="0" borderId="9" xfId="19" applyNumberFormat="1" applyFont="1" applyFill="1" applyBorder="1" applyAlignment="1">
      <alignment horizontal="right" wrapText="1"/>
    </xf>
    <xf numFmtId="0" fontId="84" fillId="2" borderId="43" xfId="33" applyFont="1" applyFill="1" applyBorder="1" applyAlignment="1">
      <alignment horizontal="center" wrapText="1"/>
    </xf>
    <xf numFmtId="5" fontId="82" fillId="5" borderId="45" xfId="30" applyNumberFormat="1" applyFont="1" applyFill="1" applyBorder="1" applyAlignment="1">
      <alignment wrapText="1"/>
    </xf>
    <xf numFmtId="5" fontId="82" fillId="5" borderId="46" xfId="30" applyNumberFormat="1" applyFont="1" applyFill="1" applyBorder="1" applyAlignment="1">
      <alignment wrapText="1"/>
    </xf>
    <xf numFmtId="5" fontId="84" fillId="0" borderId="44" xfId="30" applyNumberFormat="1" applyFont="1" applyFill="1" applyBorder="1" applyAlignment="1">
      <alignment wrapText="1"/>
    </xf>
    <xf numFmtId="5" fontId="84" fillId="0" borderId="45" xfId="30" applyNumberFormat="1" applyFont="1" applyFill="1" applyBorder="1" applyAlignment="1">
      <alignment wrapText="1"/>
    </xf>
    <xf numFmtId="5" fontId="84" fillId="0" borderId="46" xfId="30" applyNumberFormat="1" applyFont="1" applyFill="1" applyBorder="1" applyAlignment="1">
      <alignment wrapText="1"/>
    </xf>
    <xf numFmtId="0" fontId="84" fillId="2" borderId="71" xfId="30" applyFont="1" applyFill="1" applyBorder="1" applyAlignment="1">
      <alignment horizontal="center"/>
    </xf>
    <xf numFmtId="5" fontId="82" fillId="5" borderId="72" xfId="30" applyNumberFormat="1" applyFont="1" applyFill="1" applyBorder="1" applyAlignment="1">
      <alignment wrapText="1"/>
    </xf>
    <xf numFmtId="5" fontId="84" fillId="0" borderId="72" xfId="30" applyNumberFormat="1" applyFont="1" applyFill="1" applyBorder="1" applyAlignment="1">
      <alignment wrapText="1"/>
    </xf>
    <xf numFmtId="0" fontId="84" fillId="2" borderId="41" xfId="30" applyFont="1" applyFill="1" applyBorder="1" applyAlignment="1">
      <alignment horizontal="center"/>
    </xf>
    <xf numFmtId="0" fontId="84" fillId="2" borderId="42" xfId="30" applyFont="1" applyFill="1" applyBorder="1" applyAlignment="1">
      <alignment horizontal="center"/>
    </xf>
    <xf numFmtId="0" fontId="84" fillId="2" borderId="43" xfId="30" applyFont="1" applyFill="1" applyBorder="1" applyAlignment="1">
      <alignment horizontal="center"/>
    </xf>
    <xf numFmtId="5" fontId="82" fillId="5" borderId="44" xfId="30" applyNumberFormat="1" applyFont="1" applyFill="1" applyBorder="1" applyAlignment="1">
      <alignment wrapText="1"/>
    </xf>
    <xf numFmtId="0" fontId="84" fillId="2" borderId="7" xfId="33" applyFont="1" applyFill="1" applyBorder="1" applyAlignment="1">
      <alignment horizontal="center" wrapText="1"/>
    </xf>
    <xf numFmtId="0" fontId="84" fillId="0" borderId="12" xfId="33" applyFont="1" applyFill="1" applyBorder="1" applyAlignment="1">
      <alignment wrapText="1"/>
    </xf>
    <xf numFmtId="0" fontId="84" fillId="2" borderId="41" xfId="33" applyFont="1" applyFill="1" applyBorder="1" applyAlignment="1">
      <alignment horizontal="center" wrapText="1"/>
    </xf>
    <xf numFmtId="0" fontId="84" fillId="2" borderId="42" xfId="33" applyFont="1" applyFill="1" applyBorder="1" applyAlignment="1">
      <alignment horizontal="center" wrapText="1"/>
    </xf>
    <xf numFmtId="0" fontId="84" fillId="2" borderId="43" xfId="33" applyFont="1" applyFill="1" applyBorder="1" applyAlignment="1">
      <alignment horizontal="center" wrapText="1"/>
    </xf>
    <xf numFmtId="167" fontId="84" fillId="0" borderId="44" xfId="33" applyNumberFormat="1" applyFont="1" applyFill="1" applyBorder="1" applyAlignment="1">
      <alignment wrapText="1"/>
    </xf>
    <xf numFmtId="167" fontId="84" fillId="0" borderId="45" xfId="33" applyNumberFormat="1" applyFont="1" applyFill="1" applyBorder="1" applyAlignment="1">
      <alignment wrapText="1"/>
    </xf>
    <xf numFmtId="167" fontId="84" fillId="0" borderId="46" xfId="33" applyNumberFormat="1" applyFont="1" applyFill="1" applyBorder="1" applyAlignment="1">
      <alignment wrapText="1"/>
    </xf>
    <xf numFmtId="0" fontId="84" fillId="2" borderId="71" xfId="33" applyFont="1" applyFill="1" applyBorder="1" applyAlignment="1">
      <alignment horizontal="center" wrapText="1"/>
    </xf>
    <xf numFmtId="167" fontId="84" fillId="0" borderId="72" xfId="33" applyNumberFormat="1" applyFont="1" applyFill="1" applyBorder="1" applyAlignment="1">
      <alignment wrapText="1"/>
    </xf>
    <xf numFmtId="0" fontId="84" fillId="2" borderId="42" xfId="20" applyFont="1" applyFill="1" applyBorder="1" applyAlignment="1">
      <alignment horizontal="center"/>
    </xf>
    <xf numFmtId="166" fontId="84" fillId="0" borderId="44" xfId="20" applyNumberFormat="1" applyFont="1" applyFill="1" applyBorder="1" applyAlignment="1">
      <alignment horizontal="right" wrapText="1"/>
    </xf>
    <xf numFmtId="166" fontId="84" fillId="0" borderId="45" xfId="20" applyNumberFormat="1" applyFont="1" applyFill="1" applyBorder="1" applyAlignment="1">
      <alignment horizontal="right" wrapText="1"/>
    </xf>
    <xf numFmtId="166" fontId="84" fillId="0" borderId="46" xfId="20" applyNumberFormat="1" applyFont="1" applyFill="1" applyBorder="1" applyAlignment="1">
      <alignment horizontal="right" wrapText="1"/>
    </xf>
    <xf numFmtId="0" fontId="84" fillId="0" borderId="49" xfId="20" applyFont="1" applyBorder="1"/>
    <xf numFmtId="0" fontId="84" fillId="0" borderId="50" xfId="20" applyFont="1" applyBorder="1"/>
    <xf numFmtId="0" fontId="84" fillId="0" borderId="39" xfId="20" applyFont="1" applyBorder="1"/>
    <xf numFmtId="166" fontId="84" fillId="0" borderId="49" xfId="20" applyNumberFormat="1" applyFont="1" applyFill="1" applyBorder="1" applyAlignment="1">
      <alignment horizontal="right" wrapText="1"/>
    </xf>
    <xf numFmtId="166" fontId="84" fillId="0" borderId="50" xfId="20" applyNumberFormat="1" applyFont="1" applyFill="1" applyBorder="1" applyAlignment="1">
      <alignment horizontal="right" wrapText="1"/>
    </xf>
    <xf numFmtId="166" fontId="84" fillId="0" borderId="39" xfId="20" applyNumberFormat="1" applyFont="1" applyFill="1" applyBorder="1" applyAlignment="1">
      <alignment horizontal="right" wrapText="1"/>
    </xf>
    <xf numFmtId="0" fontId="84" fillId="2" borderId="41" xfId="20" applyFont="1" applyFill="1" applyBorder="1" applyAlignment="1">
      <alignment horizontal="center"/>
    </xf>
    <xf numFmtId="0" fontId="84" fillId="2" borderId="42" xfId="20" applyFont="1" applyFill="1" applyBorder="1" applyAlignment="1">
      <alignment horizontal="center" wrapText="1"/>
    </xf>
    <xf numFmtId="0" fontId="84" fillId="2" borderId="43" xfId="20" applyFont="1" applyFill="1" applyBorder="1" applyAlignment="1">
      <alignment horizontal="center"/>
    </xf>
    <xf numFmtId="0" fontId="82" fillId="5" borderId="12" xfId="33" applyFont="1" applyFill="1" applyBorder="1" applyAlignment="1">
      <alignment wrapText="1"/>
    </xf>
    <xf numFmtId="167" fontId="82" fillId="5" borderId="44" xfId="33" applyNumberFormat="1" applyFont="1" applyFill="1" applyBorder="1" applyAlignment="1">
      <alignment wrapText="1"/>
    </xf>
    <xf numFmtId="167" fontId="82" fillId="5" borderId="45" xfId="33" applyNumberFormat="1" applyFont="1" applyFill="1" applyBorder="1" applyAlignment="1">
      <alignment wrapText="1"/>
    </xf>
    <xf numFmtId="167" fontId="82" fillId="5" borderId="46" xfId="33" applyNumberFormat="1" applyFont="1" applyFill="1" applyBorder="1" applyAlignment="1">
      <alignment wrapText="1"/>
    </xf>
    <xf numFmtId="167" fontId="82" fillId="5" borderId="72" xfId="33" applyNumberFormat="1" applyFont="1" applyFill="1" applyBorder="1" applyAlignment="1">
      <alignment wrapText="1"/>
    </xf>
    <xf numFmtId="167" fontId="57" fillId="5" borderId="49" xfId="0" applyNumberFormat="1" applyFont="1" applyFill="1" applyBorder="1"/>
    <xf numFmtId="167" fontId="57" fillId="5" borderId="50" xfId="0" applyNumberFormat="1" applyFont="1" applyFill="1" applyBorder="1"/>
    <xf numFmtId="167" fontId="57" fillId="5" borderId="39" xfId="0" applyNumberFormat="1" applyFont="1" applyFill="1" applyBorder="1"/>
    <xf numFmtId="0" fontId="84" fillId="0" borderId="12" xfId="27" applyFont="1" applyFill="1" applyBorder="1" applyAlignment="1">
      <alignment wrapText="1"/>
    </xf>
    <xf numFmtId="167" fontId="84" fillId="0" borderId="44" xfId="27" applyNumberFormat="1" applyFont="1" applyFill="1" applyBorder="1" applyAlignment="1">
      <alignment wrapText="1"/>
    </xf>
    <xf numFmtId="167" fontId="84" fillId="0" borderId="45" xfId="27" applyNumberFormat="1" applyFont="1" applyFill="1" applyBorder="1" applyAlignment="1">
      <alignment wrapText="1"/>
    </xf>
    <xf numFmtId="167" fontId="84" fillId="0" borderId="46" xfId="27" applyNumberFormat="1" applyFont="1" applyFill="1" applyBorder="1" applyAlignment="1">
      <alignment wrapText="1"/>
    </xf>
    <xf numFmtId="167" fontId="84" fillId="0" borderId="72" xfId="27" applyNumberFormat="1" applyFont="1" applyFill="1" applyBorder="1" applyAlignment="1">
      <alignment wrapText="1"/>
    </xf>
    <xf numFmtId="166" fontId="84" fillId="0" borderId="49" xfId="21" applyNumberFormat="1" applyFont="1" applyFill="1" applyBorder="1" applyAlignment="1">
      <alignment horizontal="right" wrapText="1"/>
    </xf>
    <xf numFmtId="166" fontId="84" fillId="0" borderId="50" xfId="21" applyNumberFormat="1" applyFont="1" applyFill="1" applyBorder="1" applyAlignment="1">
      <alignment horizontal="right" wrapText="1"/>
    </xf>
    <xf numFmtId="166" fontId="84" fillId="0" borderId="39" xfId="21" applyNumberFormat="1" applyFont="1" applyFill="1" applyBorder="1" applyAlignment="1">
      <alignment horizontal="right" wrapText="1"/>
    </xf>
    <xf numFmtId="0" fontId="84" fillId="0" borderId="49" xfId="21" applyFont="1" applyBorder="1"/>
    <xf numFmtId="0" fontId="84" fillId="0" borderId="50" xfId="21" applyFont="1" applyBorder="1"/>
    <xf numFmtId="0" fontId="84" fillId="0" borderId="39" xfId="21" applyFont="1" applyBorder="1"/>
    <xf numFmtId="166" fontId="84" fillId="0" borderId="44" xfId="21" applyNumberFormat="1" applyFont="1" applyFill="1" applyBorder="1" applyAlignment="1">
      <alignment horizontal="right" wrapText="1"/>
    </xf>
    <xf numFmtId="166" fontId="84" fillId="0" borderId="45" xfId="21" applyNumberFormat="1" applyFont="1" applyFill="1" applyBorder="1" applyAlignment="1">
      <alignment horizontal="right" wrapText="1"/>
    </xf>
    <xf numFmtId="166" fontId="84" fillId="0" borderId="46" xfId="21" applyNumberFormat="1" applyFont="1" applyFill="1" applyBorder="1" applyAlignment="1">
      <alignment horizontal="right" wrapText="1"/>
    </xf>
    <xf numFmtId="0" fontId="84" fillId="0" borderId="70" xfId="27" applyFont="1" applyFill="1" applyBorder="1" applyAlignment="1">
      <alignment wrapText="1"/>
    </xf>
    <xf numFmtId="167" fontId="84" fillId="0" borderId="73" xfId="27" applyNumberFormat="1" applyFont="1" applyFill="1" applyBorder="1" applyAlignment="1">
      <alignment wrapText="1"/>
    </xf>
    <xf numFmtId="167" fontId="84" fillId="0" borderId="74" xfId="27" applyNumberFormat="1" applyFont="1" applyFill="1" applyBorder="1" applyAlignment="1">
      <alignment wrapText="1"/>
    </xf>
    <xf numFmtId="167" fontId="84" fillId="0" borderId="75" xfId="27" applyNumberFormat="1" applyFont="1" applyFill="1" applyBorder="1" applyAlignment="1">
      <alignment wrapText="1"/>
    </xf>
    <xf numFmtId="167" fontId="84" fillId="0" borderId="76" xfId="27" applyNumberFormat="1" applyFont="1" applyFill="1" applyBorder="1" applyAlignment="1">
      <alignment wrapText="1"/>
    </xf>
    <xf numFmtId="166" fontId="84" fillId="0" borderId="73" xfId="21" applyNumberFormat="1" applyFont="1" applyFill="1" applyBorder="1" applyAlignment="1">
      <alignment horizontal="right" wrapText="1"/>
    </xf>
    <xf numFmtId="166" fontId="84" fillId="0" borderId="74" xfId="21" applyNumberFormat="1" applyFont="1" applyFill="1" applyBorder="1" applyAlignment="1">
      <alignment horizontal="right" wrapText="1"/>
    </xf>
    <xf numFmtId="166" fontId="84" fillId="0" borderId="75" xfId="21" applyNumberFormat="1" applyFont="1" applyFill="1" applyBorder="1" applyAlignment="1">
      <alignment horizontal="right" wrapText="1"/>
    </xf>
    <xf numFmtId="0" fontId="84" fillId="2" borderId="3" xfId="27" applyFont="1" applyFill="1" applyBorder="1" applyAlignment="1">
      <alignment horizontal="center"/>
    </xf>
    <xf numFmtId="0" fontId="84" fillId="2" borderId="77" xfId="27" applyFont="1" applyFill="1" applyBorder="1" applyAlignment="1">
      <alignment horizontal="center"/>
    </xf>
    <xf numFmtId="0" fontId="82" fillId="5" borderId="78" xfId="27" applyFont="1" applyFill="1" applyBorder="1" applyAlignment="1">
      <alignment wrapText="1"/>
    </xf>
    <xf numFmtId="167" fontId="82" fillId="5" borderId="78" xfId="27" applyNumberFormat="1" applyFont="1" applyFill="1" applyBorder="1" applyAlignment="1">
      <alignment wrapText="1"/>
    </xf>
    <xf numFmtId="167" fontId="57" fillId="5" borderId="79" xfId="0" applyNumberFormat="1" applyFont="1" applyFill="1" applyBorder="1"/>
    <xf numFmtId="0" fontId="84" fillId="0" borderId="1" xfId="29" applyFont="1" applyFill="1" applyBorder="1" applyAlignment="1">
      <alignment wrapText="1"/>
    </xf>
    <xf numFmtId="167" fontId="84" fillId="0" borderId="1" xfId="29" applyNumberFormat="1" applyFont="1" applyFill="1" applyBorder="1" applyAlignment="1">
      <alignment horizontal="right" wrapText="1"/>
    </xf>
    <xf numFmtId="0" fontId="84" fillId="0" borderId="0" xfId="29" applyFont="1" applyFill="1" applyBorder="1" applyAlignment="1">
      <alignment wrapText="1"/>
    </xf>
    <xf numFmtId="167" fontId="84" fillId="0" borderId="0" xfId="29" applyNumberFormat="1" applyFont="1" applyFill="1" applyBorder="1" applyAlignment="1">
      <alignment horizontal="right" wrapText="1"/>
    </xf>
    <xf numFmtId="0" fontId="84" fillId="2" borderId="3" xfId="29" applyFont="1" applyFill="1" applyBorder="1" applyAlignment="1">
      <alignment horizontal="center"/>
    </xf>
    <xf numFmtId="0" fontId="84" fillId="2" borderId="3" xfId="22" applyFont="1" applyFill="1" applyBorder="1" applyAlignment="1">
      <alignment horizontal="center"/>
    </xf>
    <xf numFmtId="167" fontId="84" fillId="0" borderId="1" xfId="29" applyNumberFormat="1" applyFont="1" applyFill="1" applyBorder="1" applyAlignment="1">
      <alignment wrapText="1"/>
    </xf>
    <xf numFmtId="171" fontId="84" fillId="0" borderId="1" xfId="22" applyNumberFormat="1" applyFont="1" applyFill="1" applyBorder="1" applyAlignment="1">
      <alignment horizontal="right" wrapText="1"/>
    </xf>
    <xf numFmtId="4" fontId="84" fillId="0" borderId="1" xfId="22" applyNumberFormat="1" applyFont="1" applyFill="1" applyBorder="1" applyAlignment="1">
      <alignment horizontal="right" wrapText="1"/>
    </xf>
    <xf numFmtId="0" fontId="84" fillId="0" borderId="1" xfId="22" applyFont="1" applyFill="1" applyBorder="1" applyAlignment="1">
      <alignment horizontal="right" wrapText="1"/>
    </xf>
    <xf numFmtId="0" fontId="82" fillId="12" borderId="0" xfId="29" applyFont="1" applyFill="1" applyBorder="1" applyAlignment="1">
      <alignment horizontal="left"/>
    </xf>
    <xf numFmtId="0" fontId="84" fillId="2" borderId="3" xfId="29" applyFont="1" applyFill="1" applyBorder="1" applyAlignment="1">
      <alignment horizontal="center"/>
    </xf>
    <xf numFmtId="167" fontId="84" fillId="0" borderId="1" xfId="29" applyNumberFormat="1" applyFont="1" applyFill="1" applyBorder="1" applyAlignment="1">
      <alignment wrapText="1"/>
    </xf>
    <xf numFmtId="0" fontId="83" fillId="0" borderId="1" xfId="29" applyFont="1" applyFill="1" applyBorder="1" applyAlignment="1"/>
    <xf numFmtId="0" fontId="84" fillId="2" borderId="3" xfId="23" applyFont="1" applyFill="1" applyBorder="1" applyAlignment="1">
      <alignment horizontal="center"/>
    </xf>
    <xf numFmtId="0" fontId="84" fillId="0" borderId="1" xfId="23" applyFont="1" applyFill="1" applyBorder="1" applyAlignment="1">
      <alignment wrapText="1"/>
    </xf>
    <xf numFmtId="0" fontId="59" fillId="0" borderId="0" xfId="0" applyFont="1" applyBorder="1" applyAlignment="1">
      <alignment horizontal="center" wrapText="1"/>
    </xf>
    <xf numFmtId="0" fontId="59" fillId="0" borderId="0" xfId="0" applyFont="1" applyBorder="1" applyAlignment="1">
      <alignment wrapText="1"/>
    </xf>
    <xf numFmtId="44" fontId="84" fillId="0" borderId="1" xfId="3" applyFont="1" applyFill="1" applyBorder="1" applyAlignment="1">
      <alignment horizontal="right" wrapText="1"/>
    </xf>
    <xf numFmtId="0" fontId="29" fillId="0" borderId="0" xfId="11" applyFont="1"/>
    <xf numFmtId="0" fontId="33" fillId="0" borderId="2" xfId="31" applyFont="1" applyFill="1" applyBorder="1" applyAlignment="1">
      <alignment horizontal="center"/>
    </xf>
    <xf numFmtId="0" fontId="33" fillId="0" borderId="2" xfId="31" quotePrefix="1" applyFont="1" applyFill="1" applyBorder="1" applyAlignment="1">
      <alignment horizontal="center"/>
    </xf>
    <xf numFmtId="0" fontId="29" fillId="0" borderId="0" xfId="11" applyFont="1" applyBorder="1"/>
    <xf numFmtId="0" fontId="35" fillId="0" borderId="0" xfId="31" applyFont="1" applyFill="1" applyBorder="1" applyAlignment="1">
      <alignment horizontal="center"/>
    </xf>
    <xf numFmtId="0" fontId="33" fillId="0" borderId="0" xfId="31" applyFont="1" applyFill="1" applyBorder="1" applyAlignment="1">
      <alignment horizontal="center"/>
    </xf>
    <xf numFmtId="9" fontId="33" fillId="0" borderId="0" xfId="31" applyNumberFormat="1" applyFont="1" applyFill="1" applyBorder="1" applyAlignment="1">
      <alignment horizontal="right" wrapText="1"/>
    </xf>
    <xf numFmtId="0" fontId="35" fillId="0" borderId="0" xfId="31" applyFont="1" applyFill="1" applyBorder="1" applyAlignment="1">
      <alignment horizontal="center" wrapText="1"/>
    </xf>
    <xf numFmtId="0" fontId="35" fillId="0" borderId="0" xfId="31" applyFont="1" applyFill="1" applyBorder="1" applyAlignment="1">
      <alignment wrapText="1"/>
    </xf>
    <xf numFmtId="9" fontId="35" fillId="0" borderId="0" xfId="31" applyNumberFormat="1" applyFont="1" applyFill="1" applyBorder="1" applyAlignment="1">
      <alignment horizontal="right" wrapText="1"/>
    </xf>
    <xf numFmtId="0" fontId="35" fillId="0" borderId="0" xfId="31" applyFont="1" applyFill="1" applyBorder="1" applyAlignment="1">
      <alignment vertical="top" wrapText="1"/>
    </xf>
    <xf numFmtId="0" fontId="35" fillId="0" borderId="2" xfId="31" quotePrefix="1" applyFont="1" applyFill="1" applyBorder="1" applyAlignment="1">
      <alignment horizontal="center" wrapText="1"/>
    </xf>
    <xf numFmtId="0" fontId="35" fillId="0" borderId="2" xfId="31" applyFont="1" applyFill="1" applyBorder="1" applyAlignment="1">
      <alignment wrapText="1"/>
    </xf>
    <xf numFmtId="9" fontId="35" fillId="0" borderId="2" xfId="31" applyNumberFormat="1" applyFont="1" applyFill="1" applyBorder="1" applyAlignment="1">
      <alignment horizontal="right" wrapText="1"/>
    </xf>
    <xf numFmtId="0" fontId="36" fillId="0" borderId="0" xfId="11" applyFont="1"/>
    <xf numFmtId="0" fontId="29" fillId="0" borderId="0" xfId="11" applyFont="1" applyAlignment="1">
      <alignment horizontal="right" vertical="top"/>
    </xf>
    <xf numFmtId="0" fontId="30" fillId="0" borderId="0" xfId="4" applyFont="1" applyAlignment="1" applyProtection="1"/>
    <xf numFmtId="0" fontId="31" fillId="0" borderId="2" xfId="11" applyFont="1" applyBorder="1" applyAlignment="1">
      <alignment horizontal="center"/>
    </xf>
    <xf numFmtId="0" fontId="29" fillId="0" borderId="2" xfId="11" applyFont="1" applyBorder="1" applyAlignment="1"/>
    <xf numFmtId="0" fontId="33" fillId="0" borderId="0" xfId="31" applyFont="1" applyFill="1" applyBorder="1" applyAlignment="1">
      <alignment horizontal="left"/>
    </xf>
    <xf numFmtId="0" fontId="35" fillId="0" borderId="0" xfId="11" applyFont="1" applyFill="1" applyBorder="1" applyAlignment="1">
      <alignment horizontal="center" wrapText="1"/>
    </xf>
    <xf numFmtId="0" fontId="35" fillId="0" borderId="0" xfId="11" applyFont="1" applyFill="1" applyBorder="1" applyAlignment="1">
      <alignment wrapText="1"/>
    </xf>
    <xf numFmtId="165" fontId="35" fillId="0" borderId="0" xfId="11" applyNumberFormat="1" applyFont="1" applyFill="1" applyBorder="1" applyAlignment="1">
      <alignment horizontal="center" wrapText="1"/>
    </xf>
    <xf numFmtId="165" fontId="35" fillId="0" borderId="0" xfId="11" applyNumberFormat="1" applyFont="1" applyFill="1" applyBorder="1" applyAlignment="1">
      <alignment horizontal="right" wrapText="1" indent="1"/>
    </xf>
    <xf numFmtId="0" fontId="35" fillId="0" borderId="2" xfId="11" applyFont="1" applyFill="1" applyBorder="1" applyAlignment="1">
      <alignment horizontal="center" wrapText="1"/>
    </xf>
    <xf numFmtId="0" fontId="35" fillId="0" borderId="2" xfId="11" applyFont="1" applyFill="1" applyBorder="1" applyAlignment="1">
      <alignment wrapText="1"/>
    </xf>
    <xf numFmtId="165" fontId="35" fillId="0" borderId="2" xfId="11" applyNumberFormat="1" applyFont="1" applyFill="1" applyBorder="1" applyAlignment="1">
      <alignment horizontal="center" wrapText="1"/>
    </xf>
    <xf numFmtId="165" fontId="35" fillId="0" borderId="2" xfId="11" applyNumberFormat="1" applyFont="1" applyFill="1" applyBorder="1" applyAlignment="1">
      <alignment horizontal="right" wrapText="1" indent="1"/>
    </xf>
    <xf numFmtId="0" fontId="35" fillId="0" borderId="80" xfId="11" applyFont="1" applyFill="1" applyBorder="1" applyAlignment="1">
      <alignment horizontal="right" wrapText="1"/>
    </xf>
    <xf numFmtId="0" fontId="35" fillId="0" borderId="11" xfId="11" applyFont="1" applyFill="1" applyBorder="1" applyAlignment="1">
      <alignment horizontal="right" wrapText="1"/>
    </xf>
    <xf numFmtId="0" fontId="35" fillId="0" borderId="9" xfId="11" applyFont="1" applyFill="1" applyBorder="1" applyAlignment="1">
      <alignment horizontal="right" wrapText="1"/>
    </xf>
    <xf numFmtId="0" fontId="35" fillId="0" borderId="1" xfId="11" applyFont="1" applyFill="1" applyBorder="1" applyAlignment="1">
      <alignment horizontal="right" wrapText="1"/>
    </xf>
    <xf numFmtId="0" fontId="69" fillId="0" borderId="0" xfId="6" applyFont="1"/>
    <xf numFmtId="0" fontId="69" fillId="0" borderId="0" xfId="6" applyFont="1" applyAlignment="1">
      <alignment wrapText="1"/>
    </xf>
    <xf numFmtId="0" fontId="68" fillId="0" borderId="0" xfId="6" applyFont="1" applyBorder="1" applyAlignment="1">
      <alignment horizontal="center"/>
    </xf>
    <xf numFmtId="49" fontId="68" fillId="0" borderId="2" xfId="6" applyNumberFormat="1" applyFont="1" applyBorder="1" applyAlignment="1">
      <alignment horizontal="center"/>
    </xf>
    <xf numFmtId="0" fontId="68" fillId="0" borderId="2" xfId="6" applyFont="1" applyBorder="1" applyAlignment="1">
      <alignment horizontal="center" wrapText="1"/>
    </xf>
    <xf numFmtId="0" fontId="68" fillId="0" borderId="25" xfId="6" applyFont="1" applyBorder="1" applyAlignment="1">
      <alignment horizontal="center" wrapText="1"/>
    </xf>
    <xf numFmtId="3" fontId="69" fillId="0" borderId="0" xfId="6" applyNumberFormat="1" applyFont="1" applyAlignment="1">
      <alignment horizontal="right" indent="1"/>
    </xf>
    <xf numFmtId="9" fontId="69" fillId="0" borderId="0" xfId="6" applyNumberFormat="1" applyFont="1" applyAlignment="1">
      <alignment horizontal="right" wrapText="1" indent="1"/>
    </xf>
    <xf numFmtId="49" fontId="69" fillId="0" borderId="0" xfId="6" applyNumberFormat="1" applyFont="1" applyAlignment="1">
      <alignment horizontal="center"/>
    </xf>
    <xf numFmtId="49" fontId="29" fillId="0" borderId="0" xfId="6" applyNumberFormat="1" applyFont="1" applyAlignment="1">
      <alignment horizontal="center"/>
    </xf>
    <xf numFmtId="49" fontId="69" fillId="0" borderId="2" xfId="6" applyNumberFormat="1" applyFont="1" applyBorder="1" applyAlignment="1">
      <alignment horizontal="center"/>
    </xf>
    <xf numFmtId="3" fontId="69" fillId="0" borderId="2" xfId="6" applyNumberFormat="1" applyFont="1" applyBorder="1" applyAlignment="1">
      <alignment horizontal="right" indent="1"/>
    </xf>
    <xf numFmtId="9" fontId="69" fillId="0" borderId="2" xfId="6" applyNumberFormat="1" applyFont="1" applyBorder="1" applyAlignment="1">
      <alignment horizontal="right" wrapText="1" indent="1"/>
    </xf>
    <xf numFmtId="0" fontId="29" fillId="0" borderId="0" xfId="6" applyFont="1" applyAlignment="1">
      <alignment vertical="top" wrapText="1"/>
    </xf>
    <xf numFmtId="0" fontId="29" fillId="0" borderId="0" xfId="6" applyFont="1" applyAlignment="1">
      <alignment horizontal="right" vertical="top"/>
    </xf>
    <xf numFmtId="3" fontId="69" fillId="0" borderId="0" xfId="6" applyNumberFormat="1" applyFont="1"/>
    <xf numFmtId="38" fontId="69" fillId="0" borderId="0" xfId="6" applyNumberFormat="1" applyFont="1"/>
    <xf numFmtId="0" fontId="69" fillId="0" borderId="0" xfId="6" applyFont="1" applyAlignment="1">
      <alignment horizontal="left" wrapText="1"/>
    </xf>
    <xf numFmtId="0" fontId="69" fillId="0" borderId="2" xfId="6" applyFont="1" applyBorder="1" applyAlignment="1">
      <alignment horizontal="left" wrapText="1"/>
    </xf>
    <xf numFmtId="49" fontId="68" fillId="5" borderId="0" xfId="6" quotePrefix="1" applyNumberFormat="1" applyFont="1" applyFill="1" applyAlignment="1">
      <alignment horizontal="center"/>
    </xf>
    <xf numFmtId="0" fontId="68" fillId="5" borderId="0" xfId="6" applyFont="1" applyFill="1" applyAlignment="1">
      <alignment horizontal="left" wrapText="1"/>
    </xf>
    <xf numFmtId="3" fontId="68" fillId="5" borderId="0" xfId="6" applyNumberFormat="1" applyFont="1" applyFill="1" applyAlignment="1">
      <alignment horizontal="right" indent="1"/>
    </xf>
    <xf numFmtId="9" fontId="68" fillId="5" borderId="0" xfId="6" applyNumberFormat="1" applyFont="1" applyFill="1" applyAlignment="1">
      <alignment horizontal="right" wrapText="1" indent="1"/>
    </xf>
    <xf numFmtId="0" fontId="68" fillId="0" borderId="2" xfId="6" applyFont="1" applyBorder="1" applyAlignment="1">
      <alignment horizontal="right" wrapText="1"/>
    </xf>
    <xf numFmtId="3" fontId="69" fillId="0" borderId="0" xfId="6" applyNumberFormat="1" applyFont="1" applyAlignment="1">
      <alignment horizontal="right" indent="2"/>
    </xf>
    <xf numFmtId="3" fontId="69" fillId="0" borderId="2" xfId="6" applyNumberFormat="1" applyFont="1" applyBorder="1" applyAlignment="1">
      <alignment horizontal="right" indent="2"/>
    </xf>
    <xf numFmtId="3" fontId="68" fillId="5" borderId="0" xfId="6" applyNumberFormat="1" applyFont="1" applyFill="1" applyAlignment="1">
      <alignment horizontal="right" indent="2"/>
    </xf>
    <xf numFmtId="0" fontId="82" fillId="12" borderId="0" xfId="23" applyFont="1" applyFill="1" applyBorder="1" applyAlignment="1">
      <alignment horizontal="left"/>
    </xf>
    <xf numFmtId="167" fontId="57" fillId="5" borderId="0" xfId="0" applyNumberFormat="1" applyFont="1" applyFill="1"/>
    <xf numFmtId="0" fontId="84" fillId="2" borderId="3" xfId="35" applyFont="1" applyFill="1" applyBorder="1" applyAlignment="1">
      <alignment horizontal="center"/>
    </xf>
    <xf numFmtId="0" fontId="84" fillId="2" borderId="7" xfId="35" applyFont="1" applyFill="1" applyBorder="1" applyAlignment="1">
      <alignment horizontal="center"/>
    </xf>
    <xf numFmtId="0" fontId="84" fillId="2" borderId="41" xfId="35" applyFont="1" applyFill="1" applyBorder="1" applyAlignment="1">
      <alignment horizontal="center"/>
    </xf>
    <xf numFmtId="0" fontId="84" fillId="2" borderId="42" xfId="35" applyFont="1" applyFill="1" applyBorder="1" applyAlignment="1">
      <alignment horizontal="center"/>
    </xf>
    <xf numFmtId="0" fontId="84" fillId="2" borderId="43" xfId="35" applyFont="1" applyFill="1" applyBorder="1" applyAlignment="1">
      <alignment horizontal="center"/>
    </xf>
    <xf numFmtId="0" fontId="82" fillId="5" borderId="81" xfId="35" applyFont="1" applyFill="1" applyBorder="1" applyAlignment="1">
      <alignment horizontal="left" wrapText="1"/>
    </xf>
    <xf numFmtId="0" fontId="82" fillId="5" borderId="82" xfId="35" applyFont="1" applyFill="1" applyBorder="1" applyAlignment="1">
      <alignment wrapText="1"/>
    </xf>
    <xf numFmtId="181" fontId="82" fillId="5" borderId="83" xfId="3" applyNumberFormat="1" applyFont="1" applyFill="1" applyBorder="1" applyAlignment="1">
      <alignment wrapText="1"/>
    </xf>
    <xf numFmtId="181" fontId="82" fillId="5" borderId="84" xfId="3" applyNumberFormat="1" applyFont="1" applyFill="1" applyBorder="1" applyAlignment="1">
      <alignment wrapText="1"/>
    </xf>
    <xf numFmtId="181" fontId="82" fillId="5" borderId="85" xfId="3" applyNumberFormat="1" applyFont="1" applyFill="1" applyBorder="1" applyAlignment="1">
      <alignment wrapText="1"/>
    </xf>
    <xf numFmtId="167" fontId="84" fillId="0" borderId="0" xfId="35" applyNumberFormat="1" applyFont="1" applyFill="1" applyBorder="1" applyAlignment="1">
      <alignment wrapText="1"/>
    </xf>
    <xf numFmtId="0" fontId="84" fillId="0" borderId="0" xfId="35" applyFont="1" applyFill="1" applyBorder="1" applyAlignment="1">
      <alignment wrapText="1"/>
    </xf>
    <xf numFmtId="181" fontId="84" fillId="0" borderId="49" xfId="3" applyNumberFormat="1" applyFont="1" applyFill="1" applyBorder="1" applyAlignment="1">
      <alignment wrapText="1"/>
    </xf>
    <xf numFmtId="181" fontId="84" fillId="0" borderId="50" xfId="3" applyNumberFormat="1" applyFont="1" applyFill="1" applyBorder="1" applyAlignment="1">
      <alignment wrapText="1"/>
    </xf>
    <xf numFmtId="181" fontId="84" fillId="0" borderId="39" xfId="3" applyNumberFormat="1" applyFont="1" applyFill="1" applyBorder="1" applyAlignment="1">
      <alignment wrapText="1"/>
    </xf>
    <xf numFmtId="181" fontId="57" fillId="0" borderId="49" xfId="3" applyNumberFormat="1" applyFont="1" applyBorder="1"/>
    <xf numFmtId="181" fontId="57" fillId="0" borderId="50" xfId="3" applyNumberFormat="1" applyFont="1" applyBorder="1"/>
    <xf numFmtId="181" fontId="57" fillId="0" borderId="39" xfId="3" applyNumberFormat="1" applyFont="1" applyBorder="1"/>
    <xf numFmtId="181" fontId="84" fillId="0" borderId="49" xfId="3" applyNumberFormat="1" applyFont="1" applyFill="1" applyBorder="1" applyAlignment="1">
      <alignment horizontal="right" wrapText="1"/>
    </xf>
    <xf numFmtId="181" fontId="84" fillId="0" borderId="50" xfId="3" applyNumberFormat="1" applyFont="1" applyFill="1" applyBorder="1" applyAlignment="1">
      <alignment horizontal="right" wrapText="1"/>
    </xf>
    <xf numFmtId="181" fontId="84" fillId="0" borderId="39" xfId="3" applyNumberFormat="1" applyFont="1" applyFill="1" applyBorder="1" applyAlignment="1">
      <alignment horizontal="right" wrapText="1"/>
    </xf>
    <xf numFmtId="181" fontId="84" fillId="0" borderId="49" xfId="3" applyNumberFormat="1" applyFont="1" applyBorder="1"/>
    <xf numFmtId="181" fontId="84" fillId="0" borderId="50" xfId="3" applyNumberFormat="1" applyFont="1" applyBorder="1"/>
    <xf numFmtId="181" fontId="84" fillId="0" borderId="39" xfId="3" applyNumberFormat="1" applyFont="1" applyBorder="1"/>
    <xf numFmtId="0" fontId="84" fillId="2" borderId="3" xfId="24" applyFont="1" applyFill="1" applyBorder="1" applyAlignment="1">
      <alignment horizontal="center"/>
    </xf>
    <xf numFmtId="0" fontId="84" fillId="0" borderId="1" xfId="24" applyFont="1" applyFill="1" applyBorder="1" applyAlignment="1">
      <alignment wrapText="1"/>
    </xf>
    <xf numFmtId="172" fontId="84" fillId="0" borderId="1" xfId="24" applyNumberFormat="1" applyFont="1" applyFill="1" applyBorder="1" applyAlignment="1">
      <alignment horizontal="right" wrapText="1"/>
    </xf>
    <xf numFmtId="0" fontId="82" fillId="12" borderId="0" xfId="24" applyFont="1" applyFill="1" applyBorder="1" applyAlignment="1">
      <alignment horizontal="left"/>
    </xf>
    <xf numFmtId="0" fontId="82" fillId="5" borderId="12" xfId="34" applyFont="1" applyFill="1" applyBorder="1" applyAlignment="1">
      <alignment wrapText="1"/>
    </xf>
    <xf numFmtId="167" fontId="84" fillId="0" borderId="12" xfId="34" applyNumberFormat="1" applyFont="1" applyFill="1" applyBorder="1" applyAlignment="1">
      <alignment wrapText="1"/>
    </xf>
    <xf numFmtId="0" fontId="84" fillId="2" borderId="7" xfId="34" applyFont="1" applyFill="1" applyBorder="1" applyAlignment="1">
      <alignment horizontal="center"/>
    </xf>
    <xf numFmtId="0" fontId="84" fillId="2" borderId="86" xfId="34" applyFont="1" applyFill="1" applyBorder="1" applyAlignment="1">
      <alignment horizontal="center"/>
    </xf>
    <xf numFmtId="0" fontId="84" fillId="2" borderId="87" xfId="34" applyFont="1" applyFill="1" applyBorder="1" applyAlignment="1">
      <alignment horizontal="center"/>
    </xf>
    <xf numFmtId="0" fontId="84" fillId="2" borderId="40" xfId="34" applyFont="1" applyFill="1" applyBorder="1" applyAlignment="1">
      <alignment horizontal="center"/>
    </xf>
    <xf numFmtId="181" fontId="82" fillId="5" borderId="49" xfId="3" applyNumberFormat="1" applyFont="1" applyFill="1" applyBorder="1" applyAlignment="1">
      <alignment horizontal="right" wrapText="1"/>
    </xf>
    <xf numFmtId="181" fontId="82" fillId="5" borderId="50" xfId="3" applyNumberFormat="1" applyFont="1" applyFill="1" applyBorder="1" applyAlignment="1">
      <alignment horizontal="right" wrapText="1"/>
    </xf>
    <xf numFmtId="181" fontId="82" fillId="5" borderId="39" xfId="3" applyNumberFormat="1" applyFont="1" applyFill="1" applyBorder="1" applyAlignment="1">
      <alignment horizontal="right" wrapText="1"/>
    </xf>
    <xf numFmtId="167" fontId="84" fillId="0" borderId="0" xfId="36" applyNumberFormat="1" applyFont="1"/>
    <xf numFmtId="0" fontId="84" fillId="0" borderId="1" xfId="36" applyFont="1" applyFill="1" applyBorder="1" applyAlignment="1">
      <alignment wrapText="1"/>
    </xf>
    <xf numFmtId="167" fontId="84" fillId="0" borderId="1" xfId="36" applyNumberFormat="1" applyFont="1" applyFill="1" applyBorder="1" applyAlignment="1">
      <alignment wrapText="1"/>
    </xf>
    <xf numFmtId="167" fontId="84" fillId="0" borderId="1" xfId="36" applyNumberFormat="1" applyFont="1" applyFill="1" applyBorder="1" applyAlignment="1">
      <alignment horizontal="right" wrapText="1"/>
    </xf>
    <xf numFmtId="0" fontId="84" fillId="2" borderId="77" xfId="36" applyFont="1" applyFill="1" applyBorder="1" applyAlignment="1">
      <alignment horizontal="center"/>
    </xf>
    <xf numFmtId="0" fontId="84" fillId="2" borderId="86" xfId="36" applyFont="1" applyFill="1" applyBorder="1" applyAlignment="1">
      <alignment horizontal="center"/>
    </xf>
    <xf numFmtId="0" fontId="84" fillId="2" borderId="87" xfId="36" applyFont="1" applyFill="1" applyBorder="1" applyAlignment="1">
      <alignment horizontal="center"/>
    </xf>
    <xf numFmtId="0" fontId="84" fillId="2" borderId="40" xfId="36" applyFont="1" applyFill="1" applyBorder="1" applyAlignment="1">
      <alignment horizontal="center"/>
    </xf>
    <xf numFmtId="181" fontId="82" fillId="5" borderId="49" xfId="3" applyNumberFormat="1" applyFont="1" applyFill="1" applyBorder="1" applyAlignment="1">
      <alignment wrapText="1"/>
    </xf>
    <xf numFmtId="181" fontId="82" fillId="5" borderId="50" xfId="3" applyNumberFormat="1" applyFont="1" applyFill="1" applyBorder="1" applyAlignment="1">
      <alignment wrapText="1"/>
    </xf>
    <xf numFmtId="181" fontId="82" fillId="5" borderId="39" xfId="3" applyNumberFormat="1" applyFont="1" applyFill="1" applyBorder="1" applyAlignment="1">
      <alignment wrapText="1"/>
    </xf>
    <xf numFmtId="0" fontId="82" fillId="12" borderId="4" xfId="36" applyFont="1" applyFill="1" applyBorder="1" applyAlignment="1">
      <alignment horizontal="left"/>
    </xf>
    <xf numFmtId="181" fontId="84" fillId="0" borderId="4" xfId="3" applyNumberFormat="1" applyFont="1" applyFill="1" applyBorder="1" applyAlignment="1">
      <alignment wrapText="1"/>
    </xf>
    <xf numFmtId="167" fontId="84" fillId="0" borderId="4" xfId="36" applyNumberFormat="1" applyFont="1" applyFill="1" applyBorder="1" applyAlignment="1">
      <alignment wrapText="1"/>
    </xf>
    <xf numFmtId="0" fontId="84" fillId="2" borderId="86" xfId="18" applyFont="1" applyFill="1" applyBorder="1" applyAlignment="1">
      <alignment horizontal="center"/>
    </xf>
    <xf numFmtId="0" fontId="84" fillId="2" borderId="87" xfId="18" applyFont="1" applyFill="1" applyBorder="1" applyAlignment="1">
      <alignment horizontal="center"/>
    </xf>
    <xf numFmtId="0" fontId="84" fillId="2" borderId="40" xfId="18" applyFont="1" applyFill="1" applyBorder="1" applyAlignment="1">
      <alignment horizontal="center"/>
    </xf>
    <xf numFmtId="181" fontId="82" fillId="12" borderId="39" xfId="3" applyNumberFormat="1" applyFont="1" applyFill="1" applyBorder="1" applyAlignment="1">
      <alignment horizontal="center"/>
    </xf>
    <xf numFmtId="181" fontId="82" fillId="12" borderId="49" xfId="3" applyNumberFormat="1" applyFont="1" applyFill="1" applyBorder="1" applyAlignment="1">
      <alignment horizontal="center"/>
    </xf>
    <xf numFmtId="181" fontId="82" fillId="12" borderId="50" xfId="3" applyNumberFormat="1" applyFont="1" applyFill="1" applyBorder="1" applyAlignment="1">
      <alignment horizontal="center"/>
    </xf>
    <xf numFmtId="0" fontId="83" fillId="0" borderId="1" xfId="36" applyFont="1" applyFill="1" applyBorder="1" applyAlignment="1"/>
    <xf numFmtId="164" fontId="75" fillId="0" borderId="23" xfId="37" applyNumberFormat="1" applyFont="1" applyBorder="1"/>
    <xf numFmtId="164" fontId="75" fillId="0" borderId="137" xfId="37" applyNumberFormat="1" applyFont="1" applyBorder="1"/>
    <xf numFmtId="164" fontId="58" fillId="0" borderId="99" xfId="37" applyNumberFormat="1" applyFont="1" applyBorder="1" applyAlignment="1">
      <alignment horizontal="center"/>
    </xf>
    <xf numFmtId="164" fontId="58" fillId="5" borderId="22" xfId="0" applyNumberFormat="1" applyFont="1" applyFill="1" applyBorder="1" applyAlignment="1">
      <alignment horizontal="center"/>
    </xf>
    <xf numFmtId="164" fontId="58" fillId="5" borderId="99" xfId="37" applyNumberFormat="1" applyFont="1" applyFill="1" applyBorder="1" applyAlignment="1">
      <alignment horizontal="center"/>
    </xf>
    <xf numFmtId="164" fontId="58" fillId="0" borderId="22" xfId="0" applyNumberFormat="1" applyFont="1" applyBorder="1" applyAlignment="1">
      <alignment horizontal="center"/>
    </xf>
    <xf numFmtId="0" fontId="58" fillId="0" borderId="21" xfId="0" applyFont="1" applyBorder="1" applyAlignment="1">
      <alignment horizontal="center"/>
    </xf>
    <xf numFmtId="164" fontId="58" fillId="5" borderId="21" xfId="0" applyNumberFormat="1" applyFont="1" applyFill="1" applyBorder="1" applyAlignment="1">
      <alignment horizontal="center"/>
    </xf>
    <xf numFmtId="164" fontId="58" fillId="0" borderId="21" xfId="0" applyNumberFormat="1" applyFont="1" applyBorder="1" applyAlignment="1">
      <alignment horizontal="center"/>
    </xf>
    <xf numFmtId="164" fontId="58" fillId="5" borderId="123" xfId="0" applyNumberFormat="1" applyFont="1" applyFill="1" applyBorder="1" applyAlignment="1">
      <alignment horizontal="center"/>
    </xf>
    <xf numFmtId="164" fontId="58" fillId="0" borderId="23" xfId="0" applyNumberFormat="1" applyFont="1" applyBorder="1" applyAlignment="1">
      <alignment horizontal="center"/>
    </xf>
    <xf numFmtId="164" fontId="58" fillId="5" borderId="23" xfId="0" applyNumberFormat="1" applyFont="1" applyFill="1" applyBorder="1" applyAlignment="1">
      <alignment horizontal="center"/>
    </xf>
    <xf numFmtId="164" fontId="58" fillId="5" borderId="100" xfId="0" applyNumberFormat="1" applyFont="1" applyFill="1" applyBorder="1" applyAlignment="1">
      <alignment horizontal="center"/>
    </xf>
    <xf numFmtId="0" fontId="58" fillId="5" borderId="101" xfId="0" applyFont="1" applyFill="1" applyBorder="1" applyAlignment="1">
      <alignment horizontal="center"/>
    </xf>
    <xf numFmtId="0" fontId="58" fillId="5" borderId="163" xfId="0" applyFont="1" applyFill="1" applyBorder="1" applyAlignment="1">
      <alignment horizontal="center"/>
    </xf>
    <xf numFmtId="0" fontId="58" fillId="5" borderId="164" xfId="0" applyFont="1" applyFill="1" applyBorder="1" applyAlignment="1">
      <alignment horizontal="center"/>
    </xf>
    <xf numFmtId="0" fontId="58" fillId="5" borderId="165" xfId="0" applyFont="1" applyFill="1" applyBorder="1" applyAlignment="1">
      <alignment horizontal="center"/>
    </xf>
    <xf numFmtId="0" fontId="58" fillId="5" borderId="166" xfId="0" applyFont="1" applyFill="1" applyBorder="1" applyAlignment="1">
      <alignment horizontal="center"/>
    </xf>
    <xf numFmtId="0" fontId="59" fillId="0" borderId="0" xfId="0" applyFont="1" applyAlignment="1">
      <alignment wrapText="1"/>
    </xf>
    <xf numFmtId="0" fontId="57" fillId="14" borderId="160" xfId="12" applyFont="1" applyFill="1" applyBorder="1" applyAlignment="1">
      <alignment horizontal="center" wrapText="1"/>
    </xf>
    <xf numFmtId="0" fontId="84" fillId="0" borderId="1" xfId="32" applyFont="1" applyFill="1" applyBorder="1" applyAlignment="1">
      <alignment horizontal="center" wrapText="1"/>
    </xf>
    <xf numFmtId="3" fontId="57" fillId="5" borderId="0" xfId="0" applyNumberFormat="1" applyFont="1" applyFill="1"/>
    <xf numFmtId="3" fontId="84" fillId="0" borderId="1" xfId="26" applyNumberFormat="1" applyFont="1" applyFill="1" applyBorder="1" applyAlignment="1">
      <alignment horizontal="right" wrapText="1"/>
    </xf>
    <xf numFmtId="3" fontId="84" fillId="0" borderId="0" xfId="26" applyNumberFormat="1" applyFont="1"/>
    <xf numFmtId="0" fontId="82" fillId="5" borderId="11" xfId="28" applyFont="1" applyFill="1" applyBorder="1" applyAlignment="1">
      <alignment horizontal="center" vertical="center" wrapText="1"/>
    </xf>
    <xf numFmtId="0" fontId="84" fillId="0" borderId="1" xfId="28" quotePrefix="1" applyFont="1" applyFill="1" applyBorder="1" applyAlignment="1">
      <alignment horizontal="center" vertical="center" wrapText="1"/>
    </xf>
    <xf numFmtId="0" fontId="84" fillId="0" borderId="1" xfId="28" applyFont="1" applyFill="1" applyBorder="1" applyAlignment="1">
      <alignment horizontal="center" vertical="center" wrapText="1"/>
    </xf>
    <xf numFmtId="0" fontId="84" fillId="15" borderId="3" xfId="28" applyFont="1" applyFill="1" applyBorder="1" applyAlignment="1">
      <alignment horizontal="center" wrapText="1"/>
    </xf>
    <xf numFmtId="0" fontId="86" fillId="0" borderId="0" xfId="12" applyFont="1" applyAlignment="1">
      <alignment horizontal="center"/>
    </xf>
    <xf numFmtId="0" fontId="86" fillId="0" borderId="0" xfId="12" quotePrefix="1" applyFont="1" applyAlignment="1">
      <alignment horizontal="center"/>
    </xf>
    <xf numFmtId="0" fontId="81" fillId="0" borderId="0" xfId="16" applyFont="1" applyAlignment="1"/>
    <xf numFmtId="0" fontId="81" fillId="0" borderId="0" xfId="16" applyFont="1" applyAlignment="1">
      <alignment horizontal="center" vertical="top"/>
    </xf>
    <xf numFmtId="0" fontId="81" fillId="0" borderId="0" xfId="16" quotePrefix="1" applyFont="1" applyAlignment="1">
      <alignment horizontal="center" vertical="top"/>
    </xf>
    <xf numFmtId="0" fontId="66" fillId="0" borderId="0" xfId="16" applyFont="1" applyAlignment="1">
      <alignment horizontal="center"/>
    </xf>
    <xf numFmtId="0" fontId="82" fillId="12" borderId="0" xfId="25" applyFont="1" applyFill="1" applyBorder="1" applyAlignment="1">
      <alignment horizontal="center"/>
    </xf>
    <xf numFmtId="0" fontId="84" fillId="0" borderId="1" xfId="25" applyFont="1" applyFill="1" applyBorder="1" applyAlignment="1">
      <alignment horizontal="center" wrapText="1"/>
    </xf>
    <xf numFmtId="0" fontId="84" fillId="2" borderId="3" xfId="30" applyFont="1" applyFill="1" applyBorder="1" applyAlignment="1">
      <alignment horizontal="center" wrapText="1"/>
    </xf>
    <xf numFmtId="0" fontId="82" fillId="5" borderId="1" xfId="30" quotePrefix="1" applyFont="1" applyFill="1" applyBorder="1" applyAlignment="1">
      <alignment horizontal="center" wrapText="1"/>
    </xf>
    <xf numFmtId="0" fontId="84" fillId="0" borderId="1" xfId="30" applyFont="1" applyFill="1" applyBorder="1" applyAlignment="1">
      <alignment horizontal="center" wrapText="1"/>
    </xf>
    <xf numFmtId="167" fontId="82" fillId="12" borderId="0" xfId="29" applyNumberFormat="1" applyFont="1" applyFill="1" applyBorder="1" applyAlignment="1"/>
    <xf numFmtId="167" fontId="82" fillId="5" borderId="1" xfId="29" applyNumberFormat="1" applyFont="1" applyFill="1" applyBorder="1" applyAlignment="1">
      <alignment wrapText="1"/>
    </xf>
    <xf numFmtId="0" fontId="82" fillId="12" borderId="0" xfId="23" applyFont="1" applyFill="1" applyBorder="1" applyAlignment="1">
      <alignment horizontal="center"/>
    </xf>
    <xf numFmtId="0" fontId="84" fillId="0" borderId="1" xfId="23" applyFont="1" applyFill="1" applyBorder="1" applyAlignment="1">
      <alignment horizontal="center" wrapText="1"/>
    </xf>
    <xf numFmtId="0" fontId="84" fillId="2" borderId="3" xfId="23" applyFont="1" applyFill="1" applyBorder="1" applyAlignment="1">
      <alignment horizontal="center" wrapText="1"/>
    </xf>
    <xf numFmtId="0" fontId="84" fillId="2" borderId="87" xfId="34" applyFont="1" applyFill="1" applyBorder="1" applyAlignment="1">
      <alignment horizontal="center" wrapText="1"/>
    </xf>
    <xf numFmtId="172" fontId="82" fillId="12" borderId="0" xfId="24" applyNumberFormat="1" applyFont="1" applyFill="1" applyBorder="1" applyAlignment="1"/>
    <xf numFmtId="3" fontId="29" fillId="0" borderId="36" xfId="0" applyNumberFormat="1" applyFont="1" applyFill="1" applyBorder="1" applyAlignment="1" applyProtection="1">
      <alignment vertical="center"/>
    </xf>
    <xf numFmtId="173" fontId="58" fillId="5" borderId="23" xfId="1" applyNumberFormat="1" applyFont="1" applyFill="1" applyBorder="1" applyAlignment="1">
      <alignment horizontal="center"/>
    </xf>
    <xf numFmtId="173" fontId="58" fillId="0" borderId="23" xfId="1" applyNumberFormat="1" applyFont="1" applyFill="1" applyBorder="1" applyAlignment="1">
      <alignment horizontal="center"/>
    </xf>
    <xf numFmtId="173" fontId="58" fillId="0" borderId="100" xfId="1" applyNumberFormat="1" applyFont="1" applyFill="1" applyBorder="1" applyAlignment="1">
      <alignment horizontal="center"/>
    </xf>
    <xf numFmtId="0" fontId="31" fillId="0" borderId="0" xfId="0" applyFont="1"/>
    <xf numFmtId="0" fontId="29" fillId="0" borderId="0" xfId="0" applyFont="1"/>
    <xf numFmtId="0" fontId="38" fillId="0" borderId="0" xfId="0" applyFont="1" applyAlignment="1">
      <alignment horizontal="centerContinuous"/>
    </xf>
    <xf numFmtId="0" fontId="29" fillId="0" borderId="0" xfId="0" applyFont="1" applyAlignment="1">
      <alignment horizontal="centerContinuous"/>
    </xf>
    <xf numFmtId="0" fontId="31" fillId="0" borderId="0" xfId="0" applyFont="1" applyAlignment="1">
      <alignment wrapText="1"/>
    </xf>
    <xf numFmtId="0" fontId="31" fillId="0" borderId="0" xfId="0" quotePrefix="1" applyFont="1" applyAlignment="1">
      <alignment horizontal="left" wrapText="1"/>
    </xf>
    <xf numFmtId="0" fontId="29" fillId="0" borderId="0" xfId="0" applyFont="1" applyAlignment="1">
      <alignment wrapText="1"/>
    </xf>
    <xf numFmtId="0" fontId="38" fillId="0" borderId="0" xfId="0" applyFont="1" applyAlignment="1">
      <alignment wrapText="1"/>
    </xf>
    <xf numFmtId="3" fontId="29" fillId="0" borderId="0" xfId="0" applyNumberFormat="1" applyFont="1"/>
    <xf numFmtId="0" fontId="29" fillId="0" borderId="0" xfId="0" quotePrefix="1" applyFont="1"/>
    <xf numFmtId="0" fontId="86" fillId="0" borderId="18" xfId="0" applyFont="1" applyBorder="1"/>
    <xf numFmtId="0" fontId="81" fillId="0" borderId="0" xfId="0" applyFont="1" applyFill="1" applyBorder="1" applyAlignment="1">
      <alignment horizontal="center" wrapText="1"/>
    </xf>
    <xf numFmtId="0" fontId="0" fillId="0" borderId="0" xfId="0" applyFont="1" applyBorder="1" applyAlignment="1">
      <alignment horizontal="left"/>
    </xf>
    <xf numFmtId="0" fontId="81" fillId="0" borderId="0" xfId="0" applyFont="1" applyFill="1" applyBorder="1" applyAlignment="1">
      <alignment horizontal="center" wrapText="1"/>
    </xf>
    <xf numFmtId="0" fontId="69" fillId="0" borderId="0" xfId="0" applyFont="1" applyAlignment="1">
      <alignment horizontal="left" vertical="top" wrapText="1"/>
    </xf>
    <xf numFmtId="181" fontId="86" fillId="0" borderId="0" xfId="3" applyNumberFormat="1" applyFont="1"/>
    <xf numFmtId="181" fontId="57" fillId="0" borderId="0" xfId="3" applyNumberFormat="1" applyFont="1"/>
    <xf numFmtId="181" fontId="57" fillId="0" borderId="0" xfId="3" applyNumberFormat="1" applyFont="1" applyAlignment="1">
      <alignment wrapText="1"/>
    </xf>
    <xf numFmtId="9" fontId="86" fillId="0" borderId="0" xfId="37" applyFont="1"/>
    <xf numFmtId="9" fontId="57" fillId="0" borderId="0" xfId="37" applyFont="1"/>
    <xf numFmtId="9" fontId="57" fillId="16" borderId="0" xfId="37" applyFont="1" applyFill="1"/>
    <xf numFmtId="181" fontId="57" fillId="0" borderId="0" xfId="3" applyNumberFormat="1" applyFont="1" applyAlignment="1">
      <alignment horizontal="center"/>
    </xf>
    <xf numFmtId="49" fontId="68" fillId="9" borderId="25" xfId="0" quotePrefix="1" applyNumberFormat="1" applyFont="1" applyFill="1" applyBorder="1" applyAlignment="1">
      <alignment horizontal="center"/>
    </xf>
    <xf numFmtId="0" fontId="68" fillId="9" borderId="25" xfId="0" applyFont="1" applyFill="1" applyBorder="1" applyAlignment="1">
      <alignment horizontal="left" wrapText="1"/>
    </xf>
    <xf numFmtId="181" fontId="57" fillId="0" borderId="0" xfId="3" applyNumberFormat="1" applyFont="1" applyFill="1"/>
    <xf numFmtId="9" fontId="57" fillId="0" borderId="0" xfId="37" applyFont="1" applyAlignment="1">
      <alignment wrapText="1"/>
    </xf>
    <xf numFmtId="9" fontId="57" fillId="0" borderId="0" xfId="37" applyFont="1" applyAlignment="1">
      <alignment horizontal="center"/>
    </xf>
    <xf numFmtId="0" fontId="69" fillId="0" borderId="0" xfId="0" applyFont="1" applyAlignment="1">
      <alignment horizontal="left" vertical="top" wrapText="1"/>
    </xf>
    <xf numFmtId="49" fontId="68" fillId="0" borderId="2" xfId="0" applyNumberFormat="1" applyFont="1" applyBorder="1" applyAlignment="1">
      <alignment horizontal="center"/>
    </xf>
    <xf numFmtId="0" fontId="68" fillId="0" borderId="2" xfId="0" applyFont="1" applyBorder="1" applyAlignment="1">
      <alignment horizontal="left" wrapText="1"/>
    </xf>
    <xf numFmtId="0" fontId="57" fillId="0" borderId="30" xfId="0" applyFont="1" applyBorder="1" applyAlignment="1">
      <alignment wrapText="1"/>
    </xf>
    <xf numFmtId="0" fontId="57" fillId="0" borderId="31" xfId="0" applyFont="1" applyBorder="1" applyAlignment="1">
      <alignment wrapText="1"/>
    </xf>
    <xf numFmtId="0" fontId="57" fillId="0" borderId="32" xfId="0" applyFont="1" applyBorder="1" applyAlignment="1">
      <alignment wrapText="1"/>
    </xf>
    <xf numFmtId="0" fontId="57" fillId="0" borderId="32" xfId="0" applyFont="1" applyBorder="1"/>
    <xf numFmtId="49" fontId="68" fillId="11" borderId="25" xfId="0" quotePrefix="1" applyNumberFormat="1" applyFont="1" applyFill="1" applyBorder="1" applyAlignment="1">
      <alignment horizontal="center"/>
    </xf>
    <xf numFmtId="0" fontId="68" fillId="11" borderId="25" xfId="0" applyFont="1" applyFill="1" applyBorder="1" applyAlignment="1">
      <alignment horizontal="left" wrapText="1"/>
    </xf>
    <xf numFmtId="0" fontId="67" fillId="5" borderId="30" xfId="0" applyFont="1" applyFill="1" applyBorder="1"/>
    <xf numFmtId="0" fontId="67" fillId="5" borderId="31" xfId="0" applyFont="1" applyFill="1" applyBorder="1"/>
    <xf numFmtId="0" fontId="67" fillId="5" borderId="32" xfId="0" applyFont="1" applyFill="1" applyBorder="1"/>
    <xf numFmtId="9" fontId="67" fillId="5" borderId="23" xfId="37" applyFont="1" applyFill="1" applyBorder="1" applyAlignment="1">
      <alignment horizontal="center"/>
    </xf>
    <xf numFmtId="9" fontId="67" fillId="5" borderId="22" xfId="37" applyFont="1" applyFill="1" applyBorder="1" applyAlignment="1">
      <alignment horizontal="center"/>
    </xf>
    <xf numFmtId="0" fontId="67" fillId="0" borderId="23" xfId="0" applyFont="1" applyBorder="1"/>
    <xf numFmtId="0" fontId="67" fillId="0" borderId="33" xfId="0" applyFont="1" applyBorder="1"/>
    <xf numFmtId="0" fontId="67" fillId="0" borderId="22" xfId="0" applyFont="1" applyBorder="1"/>
    <xf numFmtId="9" fontId="67" fillId="0" borderId="23" xfId="37" applyFont="1" applyBorder="1" applyAlignment="1">
      <alignment horizontal="center"/>
    </xf>
    <xf numFmtId="9" fontId="67" fillId="0" borderId="33" xfId="37" applyFont="1" applyBorder="1" applyAlignment="1">
      <alignment horizontal="center"/>
    </xf>
    <xf numFmtId="9" fontId="67" fillId="0" borderId="22" xfId="37" applyFont="1" applyBorder="1" applyAlignment="1">
      <alignment horizontal="center"/>
    </xf>
    <xf numFmtId="49" fontId="69" fillId="0" borderId="2" xfId="0" applyNumberFormat="1" applyFont="1" applyBorder="1" applyAlignment="1">
      <alignment horizontal="center"/>
    </xf>
    <xf numFmtId="0" fontId="69" fillId="0" borderId="2" xfId="0" applyFont="1" applyBorder="1"/>
    <xf numFmtId="0" fontId="69" fillId="0" borderId="0" xfId="0" applyFont="1" applyAlignment="1">
      <alignment vertical="top"/>
    </xf>
    <xf numFmtId="0" fontId="57" fillId="0" borderId="32" xfId="0" applyFont="1" applyBorder="1" applyAlignment="1">
      <alignment horizontal="center"/>
    </xf>
    <xf numFmtId="3" fontId="58" fillId="0" borderId="167" xfId="0" applyNumberFormat="1" applyFont="1" applyFill="1" applyBorder="1" applyAlignment="1">
      <alignment horizontal="centerContinuous"/>
    </xf>
    <xf numFmtId="3" fontId="58" fillId="0" borderId="129" xfId="0" applyNumberFormat="1" applyFont="1" applyFill="1" applyBorder="1" applyAlignment="1">
      <alignment horizontal="centerContinuous"/>
    </xf>
    <xf numFmtId="9" fontId="58" fillId="5" borderId="168" xfId="37" applyFont="1" applyFill="1" applyBorder="1" applyAlignment="1">
      <alignment horizontal="centerContinuous"/>
    </xf>
    <xf numFmtId="9" fontId="58" fillId="5" borderId="126" xfId="37" applyFont="1" applyFill="1" applyBorder="1" applyAlignment="1">
      <alignment horizontal="centerContinuous"/>
    </xf>
    <xf numFmtId="9" fontId="58" fillId="5" borderId="169" xfId="37" applyFont="1" applyFill="1" applyBorder="1" applyAlignment="1">
      <alignment horizontal="centerContinuous"/>
    </xf>
    <xf numFmtId="9" fontId="58" fillId="5" borderId="170" xfId="37" applyFont="1" applyFill="1" applyBorder="1" applyAlignment="1">
      <alignment horizontal="centerContinuous"/>
    </xf>
    <xf numFmtId="0" fontId="58" fillId="5" borderId="171" xfId="0" applyFont="1" applyFill="1" applyBorder="1" applyAlignment="1">
      <alignment horizontal="left"/>
    </xf>
    <xf numFmtId="0" fontId="58" fillId="5" borderId="25" xfId="0" applyFont="1" applyFill="1" applyBorder="1" applyAlignment="1">
      <alignment horizontal="left"/>
    </xf>
    <xf numFmtId="0" fontId="58" fillId="5" borderId="25" xfId="0" applyFont="1" applyFill="1" applyBorder="1" applyAlignment="1">
      <alignment horizontal="right"/>
    </xf>
    <xf numFmtId="0" fontId="58" fillId="5" borderId="172" xfId="0" applyFont="1" applyFill="1" applyBorder="1" applyAlignment="1">
      <alignment horizontal="left"/>
    </xf>
    <xf numFmtId="0" fontId="58" fillId="5" borderId="173" xfId="0" applyFont="1" applyFill="1" applyBorder="1" applyAlignment="1">
      <alignment horizontal="left"/>
    </xf>
    <xf numFmtId="0" fontId="67" fillId="0" borderId="17" xfId="0" applyFont="1" applyBorder="1"/>
    <xf numFmtId="173" fontId="67" fillId="5" borderId="13" xfId="1" applyNumberFormat="1" applyFont="1" applyFill="1" applyBorder="1"/>
    <xf numFmtId="173" fontId="67" fillId="0" borderId="17" xfId="1" applyNumberFormat="1" applyFont="1" applyBorder="1"/>
    <xf numFmtId="9" fontId="67" fillId="0" borderId="59" xfId="37" applyFont="1" applyBorder="1" applyAlignment="1">
      <alignment horizontal="center"/>
    </xf>
    <xf numFmtId="0" fontId="57" fillId="0" borderId="30" xfId="0" applyFont="1" applyBorder="1" applyAlignment="1">
      <alignment horizontal="center" wrapText="1"/>
    </xf>
    <xf numFmtId="0" fontId="57" fillId="0" borderId="88" xfId="0" applyFont="1" applyBorder="1" applyAlignment="1">
      <alignment horizontal="center" wrapText="1"/>
    </xf>
    <xf numFmtId="0" fontId="57" fillId="0" borderId="31" xfId="0" applyFont="1" applyBorder="1" applyAlignment="1">
      <alignment horizontal="center" wrapText="1"/>
    </xf>
    <xf numFmtId="3" fontId="58" fillId="0" borderId="174" xfId="0" applyNumberFormat="1" applyFont="1" applyFill="1" applyBorder="1" applyAlignment="1">
      <alignment horizontal="centerContinuous"/>
    </xf>
    <xf numFmtId="9" fontId="58" fillId="5" borderId="175" xfId="37" applyFont="1" applyFill="1" applyBorder="1" applyAlignment="1">
      <alignment horizontal="centerContinuous"/>
    </xf>
    <xf numFmtId="9" fontId="58" fillId="5" borderId="176" xfId="37" applyFont="1" applyFill="1" applyBorder="1" applyAlignment="1">
      <alignment horizontal="centerContinuous"/>
    </xf>
    <xf numFmtId="9" fontId="58" fillId="5" borderId="169" xfId="0" applyNumberFormat="1" applyFont="1" applyFill="1" applyBorder="1" applyAlignment="1">
      <alignment horizontal="center"/>
    </xf>
    <xf numFmtId="9" fontId="75" fillId="5" borderId="23" xfId="0" applyNumberFormat="1" applyFont="1" applyFill="1" applyBorder="1"/>
    <xf numFmtId="9" fontId="75" fillId="5" borderId="33" xfId="0" applyNumberFormat="1" applyFont="1" applyFill="1" applyBorder="1"/>
    <xf numFmtId="9" fontId="75" fillId="5" borderId="99" xfId="0" applyNumberFormat="1" applyFont="1" applyFill="1" applyBorder="1"/>
    <xf numFmtId="181" fontId="57" fillId="9" borderId="25" xfId="3" applyNumberFormat="1" applyFont="1" applyFill="1" applyBorder="1"/>
    <xf numFmtId="9" fontId="57" fillId="9" borderId="25" xfId="37" applyFont="1" applyFill="1" applyBorder="1"/>
    <xf numFmtId="0" fontId="57" fillId="0" borderId="0" xfId="0" applyFont="1" applyAlignment="1">
      <alignment horizontal="center"/>
    </xf>
    <xf numFmtId="0" fontId="86" fillId="0" borderId="0" xfId="0" applyFont="1" applyBorder="1" applyAlignment="1">
      <alignment horizontal="center"/>
    </xf>
    <xf numFmtId="0" fontId="86" fillId="0" borderId="0" xfId="0" applyFont="1" applyFill="1" applyAlignment="1">
      <alignment horizontal="center"/>
    </xf>
    <xf numFmtId="0" fontId="86" fillId="0" borderId="0" xfId="0" applyFont="1" applyAlignment="1">
      <alignment horizontal="left"/>
    </xf>
    <xf numFmtId="10" fontId="82" fillId="5" borderId="58" xfId="11" applyNumberFormat="1" applyFont="1" applyFill="1" applyBorder="1" applyAlignment="1">
      <alignment wrapText="1"/>
    </xf>
    <xf numFmtId="0" fontId="62" fillId="0" borderId="0" xfId="0" applyFont="1" applyBorder="1" applyAlignment="1">
      <alignment horizontal="left" vertical="center" wrapText="1"/>
    </xf>
    <xf numFmtId="9" fontId="59" fillId="8" borderId="177" xfId="37" applyFont="1" applyFill="1" applyBorder="1" applyAlignment="1">
      <alignment horizontal="center" wrapText="1"/>
    </xf>
    <xf numFmtId="9" fontId="59" fillId="8" borderId="178" xfId="37" applyFont="1" applyFill="1" applyBorder="1" applyAlignment="1">
      <alignment horizontal="center" wrapText="1"/>
    </xf>
    <xf numFmtId="9" fontId="90" fillId="17" borderId="179" xfId="37" applyFont="1" applyFill="1" applyBorder="1" applyAlignment="1">
      <alignment horizontal="left" vertical="center" wrapText="1"/>
    </xf>
    <xf numFmtId="9" fontId="90" fillId="17" borderId="180" xfId="37" applyFont="1" applyFill="1" applyBorder="1" applyAlignment="1">
      <alignment horizontal="left" vertical="center" wrapText="1"/>
    </xf>
    <xf numFmtId="9" fontId="90" fillId="17" borderId="181" xfId="37" applyFont="1" applyFill="1" applyBorder="1" applyAlignment="1">
      <alignment horizontal="left" vertical="center" wrapText="1"/>
    </xf>
    <xf numFmtId="9" fontId="90" fillId="17" borderId="182" xfId="37" applyFont="1" applyFill="1" applyBorder="1" applyAlignment="1">
      <alignment horizontal="left" vertical="center" wrapText="1"/>
    </xf>
    <xf numFmtId="0" fontId="59" fillId="5" borderId="183" xfId="0" applyFont="1" applyFill="1" applyBorder="1" applyAlignment="1">
      <alignment horizontal="center"/>
    </xf>
    <xf numFmtId="0" fontId="59" fillId="5" borderId="184" xfId="0" applyFont="1" applyFill="1" applyBorder="1" applyAlignment="1">
      <alignment horizontal="center"/>
    </xf>
    <xf numFmtId="0" fontId="59" fillId="5" borderId="185" xfId="0" applyFont="1" applyFill="1" applyBorder="1" applyAlignment="1">
      <alignment horizontal="center" wrapText="1"/>
    </xf>
    <xf numFmtId="0" fontId="59" fillId="5" borderId="186" xfId="0" applyFont="1" applyFill="1" applyBorder="1" applyAlignment="1">
      <alignment horizontal="center" wrapText="1"/>
    </xf>
    <xf numFmtId="0" fontId="90" fillId="17" borderId="179" xfId="0" applyFont="1" applyFill="1" applyBorder="1" applyAlignment="1">
      <alignment horizontal="left" vertical="center" wrapText="1"/>
    </xf>
    <xf numFmtId="0" fontId="90" fillId="17" borderId="187" xfId="0" applyFont="1" applyFill="1" applyBorder="1" applyAlignment="1">
      <alignment horizontal="left" vertical="center" wrapText="1"/>
    </xf>
    <xf numFmtId="0" fontId="90" fillId="17" borderId="188" xfId="0" applyFont="1" applyFill="1" applyBorder="1" applyAlignment="1">
      <alignment horizontal="left" vertical="center" wrapText="1"/>
    </xf>
    <xf numFmtId="0" fontId="90" fillId="17" borderId="2" xfId="0" applyFont="1" applyFill="1" applyBorder="1" applyAlignment="1">
      <alignment horizontal="left" vertical="center" wrapText="1"/>
    </xf>
    <xf numFmtId="0" fontId="58" fillId="0" borderId="116" xfId="0" applyFont="1" applyFill="1" applyBorder="1" applyAlignment="1">
      <alignment horizontal="left" wrapText="1"/>
    </xf>
    <xf numFmtId="0" fontId="58" fillId="0" borderId="0" xfId="0" applyFont="1" applyFill="1" applyBorder="1" applyAlignment="1">
      <alignment horizontal="left" wrapText="1"/>
    </xf>
    <xf numFmtId="0" fontId="91" fillId="17" borderId="189" xfId="0" applyFont="1" applyFill="1" applyBorder="1" applyAlignment="1">
      <alignment horizontal="left" vertical="center" wrapText="1"/>
    </xf>
    <xf numFmtId="0" fontId="91" fillId="17" borderId="190" xfId="0" applyFont="1" applyFill="1" applyBorder="1" applyAlignment="1">
      <alignment horizontal="left" vertical="center" wrapText="1"/>
    </xf>
    <xf numFmtId="0" fontId="91" fillId="17" borderId="191" xfId="0" applyFont="1" applyFill="1" applyBorder="1" applyAlignment="1">
      <alignment horizontal="left" vertical="center" wrapText="1"/>
    </xf>
    <xf numFmtId="0" fontId="58" fillId="5" borderId="116" xfId="0" quotePrefix="1" applyFont="1" applyFill="1" applyBorder="1" applyAlignment="1">
      <alignment horizontal="left"/>
    </xf>
    <xf numFmtId="0" fontId="58" fillId="5" borderId="0" xfId="0" quotePrefix="1" applyFont="1" applyFill="1" applyBorder="1" applyAlignment="1">
      <alignment horizontal="left"/>
    </xf>
    <xf numFmtId="0" fontId="58" fillId="5" borderId="21" xfId="0" quotePrefix="1" applyFont="1" applyFill="1" applyBorder="1" applyAlignment="1">
      <alignment horizontal="left"/>
    </xf>
    <xf numFmtId="0" fontId="58" fillId="0" borderId="121" xfId="0" quotePrefix="1" applyFont="1" applyBorder="1" applyAlignment="1">
      <alignment horizontal="left"/>
    </xf>
    <xf numFmtId="0" fontId="58" fillId="0" borderId="122" xfId="0" quotePrefix="1" applyFont="1" applyBorder="1" applyAlignment="1">
      <alignment horizontal="left"/>
    </xf>
    <xf numFmtId="0" fontId="58" fillId="0" borderId="123" xfId="0" quotePrefix="1" applyFont="1" applyBorder="1" applyAlignment="1">
      <alignment horizontal="left"/>
    </xf>
    <xf numFmtId="9" fontId="59" fillId="5" borderId="177" xfId="37" applyFont="1" applyFill="1" applyBorder="1" applyAlignment="1">
      <alignment horizontal="center"/>
    </xf>
    <xf numFmtId="9" fontId="59" fillId="5" borderId="124" xfId="37" applyFont="1" applyFill="1" applyBorder="1" applyAlignment="1">
      <alignment horizontal="center"/>
    </xf>
    <xf numFmtId="0" fontId="58" fillId="5" borderId="116" xfId="0" applyFont="1" applyFill="1" applyBorder="1" applyAlignment="1">
      <alignment horizontal="left"/>
    </xf>
    <xf numFmtId="0" fontId="58" fillId="5" borderId="0" xfId="0" applyFont="1" applyFill="1" applyBorder="1" applyAlignment="1">
      <alignment horizontal="left"/>
    </xf>
    <xf numFmtId="0" fontId="58" fillId="0" borderId="116" xfId="0" applyFont="1" applyBorder="1" applyAlignment="1">
      <alignment horizontal="left"/>
    </xf>
    <xf numFmtId="0" fontId="58" fillId="0" borderId="0" xfId="0" applyFont="1" applyBorder="1" applyAlignment="1">
      <alignment horizontal="left"/>
    </xf>
    <xf numFmtId="0" fontId="58" fillId="0" borderId="0" xfId="0" applyFont="1" applyBorder="1" applyAlignment="1">
      <alignment horizontal="center"/>
    </xf>
    <xf numFmtId="0" fontId="58" fillId="0" borderId="0" xfId="0" applyFont="1" applyAlignment="1">
      <alignment horizontal="left" wrapText="1"/>
    </xf>
    <xf numFmtId="0" fontId="58" fillId="0" borderId="0" xfId="0" applyFont="1" applyFill="1" applyBorder="1" applyAlignment="1">
      <alignment horizontal="left" vertical="top" wrapText="1"/>
    </xf>
    <xf numFmtId="0" fontId="58" fillId="0" borderId="0" xfId="0" applyFont="1" applyAlignment="1">
      <alignment horizontal="left" vertical="top" wrapText="1"/>
    </xf>
    <xf numFmtId="0" fontId="74" fillId="0" borderId="2" xfId="0" applyFont="1" applyBorder="1" applyAlignment="1">
      <alignment horizontal="center"/>
    </xf>
    <xf numFmtId="0" fontId="71" fillId="5" borderId="192" xfId="0" applyFont="1" applyFill="1" applyBorder="1" applyAlignment="1" applyProtection="1">
      <alignment horizontal="center"/>
      <protection locked="0"/>
    </xf>
    <xf numFmtId="0" fontId="71" fillId="5" borderId="139" xfId="0" applyFont="1" applyFill="1" applyBorder="1" applyAlignment="1" applyProtection="1">
      <alignment horizontal="center"/>
      <protection locked="0"/>
    </xf>
    <xf numFmtId="0" fontId="71" fillId="5" borderId="193" xfId="0" applyFont="1" applyFill="1" applyBorder="1" applyAlignment="1" applyProtection="1">
      <alignment horizontal="center"/>
      <protection locked="0"/>
    </xf>
    <xf numFmtId="0" fontId="58" fillId="0" borderId="0" xfId="0" applyNumberFormat="1" applyFont="1" applyFill="1" applyBorder="1" applyAlignment="1">
      <alignment horizontal="left" vertical="top" wrapText="1"/>
    </xf>
    <xf numFmtId="0" fontId="58" fillId="0" borderId="0" xfId="0" applyNumberFormat="1" applyFont="1" applyAlignment="1">
      <alignment horizontal="left" vertical="top" wrapText="1"/>
    </xf>
    <xf numFmtId="0" fontId="59" fillId="8" borderId="184" xfId="0" applyFont="1" applyFill="1" applyBorder="1" applyAlignment="1">
      <alignment horizontal="center" wrapText="1"/>
    </xf>
    <xf numFmtId="0" fontId="59" fillId="8" borderId="194" xfId="0" applyFont="1" applyFill="1" applyBorder="1" applyAlignment="1">
      <alignment horizontal="center" wrapText="1"/>
    </xf>
    <xf numFmtId="0" fontId="59" fillId="8" borderId="195" xfId="0" applyFont="1" applyFill="1" applyBorder="1" applyAlignment="1">
      <alignment horizontal="center" wrapText="1"/>
    </xf>
    <xf numFmtId="0" fontId="59" fillId="8" borderId="191" xfId="0" applyFont="1" applyFill="1" applyBorder="1" applyAlignment="1">
      <alignment horizontal="center" wrapText="1"/>
    </xf>
    <xf numFmtId="0" fontId="59" fillId="8" borderId="196" xfId="0" applyFont="1" applyFill="1" applyBorder="1" applyAlignment="1">
      <alignment horizontal="center"/>
    </xf>
    <xf numFmtId="0" fontId="59" fillId="8" borderId="197" xfId="0" applyFont="1" applyFill="1" applyBorder="1" applyAlignment="1">
      <alignment horizontal="center"/>
    </xf>
    <xf numFmtId="0" fontId="90" fillId="17" borderId="181" xfId="0" applyFont="1" applyFill="1" applyBorder="1" applyAlignment="1">
      <alignment horizontal="left" vertical="center" wrapText="1"/>
    </xf>
    <xf numFmtId="0" fontId="90" fillId="17" borderId="198" xfId="0" applyFont="1" applyFill="1" applyBorder="1" applyAlignment="1">
      <alignment horizontal="left" vertical="center" wrapText="1"/>
    </xf>
    <xf numFmtId="0" fontId="62" fillId="0" borderId="0" xfId="0" applyFont="1" applyBorder="1" applyAlignment="1">
      <alignment horizontal="left" wrapText="1"/>
    </xf>
    <xf numFmtId="0" fontId="58" fillId="0" borderId="116" xfId="0" quotePrefix="1" applyFont="1" applyBorder="1" applyAlignment="1">
      <alignment horizontal="left"/>
    </xf>
    <xf numFmtId="0" fontId="58" fillId="0" borderId="0" xfId="0" quotePrefix="1" applyFont="1" applyBorder="1" applyAlignment="1">
      <alignment horizontal="left"/>
    </xf>
    <xf numFmtId="0" fontId="58" fillId="0" borderId="21" xfId="0" quotePrefix="1" applyFont="1" applyBorder="1" applyAlignment="1">
      <alignment horizontal="left"/>
    </xf>
    <xf numFmtId="0" fontId="58" fillId="5" borderId="0" xfId="0" applyFont="1" applyFill="1" applyAlignment="1">
      <alignment horizontal="left"/>
    </xf>
    <xf numFmtId="0" fontId="62" fillId="0" borderId="0" xfId="0" applyFont="1" applyFill="1" applyBorder="1" applyAlignment="1">
      <alignment horizontal="left" wrapText="1"/>
    </xf>
    <xf numFmtId="0" fontId="59" fillId="5" borderId="199" xfId="0" applyFont="1" applyFill="1" applyBorder="1" applyAlignment="1">
      <alignment horizontal="center" wrapText="1"/>
    </xf>
    <xf numFmtId="0" fontId="59" fillId="5" borderId="200" xfId="0" applyFont="1" applyFill="1" applyBorder="1" applyAlignment="1">
      <alignment horizontal="center" wrapText="1"/>
    </xf>
    <xf numFmtId="0" fontId="92" fillId="10" borderId="0" xfId="0" applyFont="1" applyFill="1" applyAlignment="1">
      <alignment horizontal="left" wrapText="1"/>
    </xf>
    <xf numFmtId="0" fontId="91" fillId="17" borderId="179" xfId="0" applyFont="1" applyFill="1" applyBorder="1" applyAlignment="1">
      <alignment horizontal="left" vertical="center"/>
    </xf>
    <xf numFmtId="0" fontId="91" fillId="17" borderId="187" xfId="0" applyFont="1" applyFill="1" applyBorder="1" applyAlignment="1">
      <alignment horizontal="left" vertical="center"/>
    </xf>
    <xf numFmtId="0" fontId="91" fillId="17" borderId="188" xfId="0" applyFont="1" applyFill="1" applyBorder="1" applyAlignment="1">
      <alignment horizontal="left" vertical="center"/>
    </xf>
    <xf numFmtId="0" fontId="91" fillId="17" borderId="2" xfId="0" applyFont="1" applyFill="1" applyBorder="1" applyAlignment="1">
      <alignment horizontal="left" vertical="center"/>
    </xf>
    <xf numFmtId="0" fontId="59" fillId="5" borderId="177" xfId="0" applyFont="1" applyFill="1" applyBorder="1" applyAlignment="1">
      <alignment horizontal="center" wrapText="1"/>
    </xf>
    <xf numFmtId="0" fontId="59" fillId="5" borderId="191" xfId="0" applyFont="1" applyFill="1" applyBorder="1" applyAlignment="1">
      <alignment horizontal="center" wrapText="1"/>
    </xf>
    <xf numFmtId="0" fontId="71" fillId="5" borderId="191" xfId="0" applyFont="1" applyFill="1" applyBorder="1" applyAlignment="1">
      <alignment horizontal="center"/>
    </xf>
    <xf numFmtId="0" fontId="71" fillId="5" borderId="197" xfId="0" applyFont="1" applyFill="1" applyBorder="1" applyAlignment="1">
      <alignment horizontal="center"/>
    </xf>
    <xf numFmtId="0" fontId="91" fillId="17" borderId="180" xfId="0" applyFont="1" applyFill="1" applyBorder="1" applyAlignment="1">
      <alignment horizontal="left" vertical="center"/>
    </xf>
    <xf numFmtId="0" fontId="91" fillId="17" borderId="181" xfId="0" applyFont="1" applyFill="1" applyBorder="1" applyAlignment="1">
      <alignment horizontal="left" vertical="center"/>
    </xf>
    <xf numFmtId="0" fontId="91" fillId="17" borderId="198" xfId="0" applyFont="1" applyFill="1" applyBorder="1" applyAlignment="1">
      <alignment horizontal="left" vertical="center"/>
    </xf>
    <xf numFmtId="0" fontId="91" fillId="17" borderId="182" xfId="0" applyFont="1" applyFill="1" applyBorder="1" applyAlignment="1">
      <alignment horizontal="left" vertical="center"/>
    </xf>
    <xf numFmtId="0" fontId="59" fillId="5" borderId="201" xfId="0" applyFont="1" applyFill="1" applyBorder="1" applyAlignment="1">
      <alignment horizontal="center"/>
    </xf>
    <xf numFmtId="0" fontId="59" fillId="5" borderId="202" xfId="0" applyFont="1" applyFill="1" applyBorder="1" applyAlignment="1">
      <alignment horizontal="center"/>
    </xf>
    <xf numFmtId="0" fontId="59" fillId="5" borderId="203" xfId="0" applyFont="1" applyFill="1" applyBorder="1" applyAlignment="1">
      <alignment horizontal="center"/>
    </xf>
    <xf numFmtId="0" fontId="58" fillId="5" borderId="121" xfId="0" applyFont="1" applyFill="1" applyBorder="1" applyAlignment="1">
      <alignment horizontal="left"/>
    </xf>
    <xf numFmtId="0" fontId="58" fillId="5" borderId="122" xfId="0" applyFont="1" applyFill="1" applyBorder="1" applyAlignment="1">
      <alignment horizontal="left"/>
    </xf>
    <xf numFmtId="0" fontId="62" fillId="0" borderId="187" xfId="0" applyFont="1" applyBorder="1" applyAlignment="1">
      <alignment horizontal="left" vertical="center" wrapText="1"/>
    </xf>
    <xf numFmtId="0" fontId="59" fillId="5" borderId="204" xfId="0" applyFont="1" applyFill="1" applyBorder="1" applyAlignment="1">
      <alignment horizontal="center"/>
    </xf>
    <xf numFmtId="0" fontId="91" fillId="17" borderId="179" xfId="0" applyFont="1" applyFill="1" applyBorder="1" applyAlignment="1">
      <alignment horizontal="left" vertical="center" wrapText="1"/>
    </xf>
    <xf numFmtId="0" fontId="91" fillId="17" borderId="187" xfId="0" applyFont="1" applyFill="1" applyBorder="1" applyAlignment="1">
      <alignment horizontal="left" vertical="center" wrapText="1"/>
    </xf>
    <xf numFmtId="0" fontId="91" fillId="17" borderId="180" xfId="0" applyFont="1" applyFill="1" applyBorder="1" applyAlignment="1">
      <alignment horizontal="left" vertical="center" wrapText="1"/>
    </xf>
    <xf numFmtId="0" fontId="91" fillId="17" borderId="116" xfId="0" applyFont="1" applyFill="1" applyBorder="1" applyAlignment="1">
      <alignment horizontal="left" vertical="center" wrapText="1"/>
    </xf>
    <xf numFmtId="0" fontId="91" fillId="17" borderId="0" xfId="0" applyFont="1" applyFill="1" applyBorder="1" applyAlignment="1">
      <alignment horizontal="left" vertical="center" wrapText="1"/>
    </xf>
    <xf numFmtId="0" fontId="91" fillId="17" borderId="21" xfId="0" applyFont="1" applyFill="1" applyBorder="1" applyAlignment="1">
      <alignment horizontal="left" vertical="center" wrapText="1"/>
    </xf>
    <xf numFmtId="0" fontId="91" fillId="17" borderId="181" xfId="0" applyFont="1" applyFill="1" applyBorder="1" applyAlignment="1">
      <alignment horizontal="left" vertical="center" wrapText="1"/>
    </xf>
    <xf numFmtId="0" fontId="91" fillId="17" borderId="198" xfId="0" applyFont="1" applyFill="1" applyBorder="1" applyAlignment="1">
      <alignment horizontal="left" vertical="center" wrapText="1"/>
    </xf>
    <xf numFmtId="0" fontId="93" fillId="10" borderId="0" xfId="0" applyFont="1" applyFill="1" applyAlignment="1">
      <alignment horizontal="center"/>
    </xf>
    <xf numFmtId="0" fontId="65" fillId="0" borderId="116" xfId="0" applyFont="1" applyBorder="1" applyAlignment="1">
      <alignment horizontal="center"/>
    </xf>
    <xf numFmtId="0" fontId="65" fillId="0" borderId="121" xfId="0" applyFont="1" applyBorder="1" applyAlignment="1">
      <alignment horizontal="center"/>
    </xf>
    <xf numFmtId="0" fontId="64" fillId="0" borderId="0" xfId="0" applyFont="1" applyBorder="1" applyAlignment="1">
      <alignment horizontal="left"/>
    </xf>
    <xf numFmtId="0" fontId="59" fillId="8" borderId="205" xfId="0" applyFont="1" applyFill="1" applyBorder="1" applyAlignment="1">
      <alignment horizontal="center" wrapText="1"/>
    </xf>
    <xf numFmtId="0" fontId="59" fillId="8" borderId="206" xfId="0" applyFont="1" applyFill="1" applyBorder="1" applyAlignment="1">
      <alignment horizontal="center" wrapText="1"/>
    </xf>
    <xf numFmtId="0" fontId="59" fillId="8" borderId="207" xfId="0" applyFont="1" applyFill="1" applyBorder="1" applyAlignment="1">
      <alignment horizontal="center"/>
    </xf>
    <xf numFmtId="0" fontId="59" fillId="8" borderId="208" xfId="0" applyFont="1" applyFill="1" applyBorder="1" applyAlignment="1">
      <alignment horizontal="center"/>
    </xf>
    <xf numFmtId="0" fontId="59" fillId="8" borderId="209" xfId="0" applyFont="1" applyFill="1" applyBorder="1" applyAlignment="1">
      <alignment horizontal="center"/>
    </xf>
    <xf numFmtId="0" fontId="59" fillId="8" borderId="210" xfId="0" applyFont="1" applyFill="1" applyBorder="1" applyAlignment="1">
      <alignment horizontal="center" wrapText="1"/>
    </xf>
    <xf numFmtId="0" fontId="59" fillId="8" borderId="211" xfId="0" applyFont="1" applyFill="1" applyBorder="1" applyAlignment="1">
      <alignment horizontal="center" wrapText="1"/>
    </xf>
    <xf numFmtId="0" fontId="59" fillId="8" borderId="133" xfId="0" applyFont="1" applyFill="1" applyBorder="1" applyAlignment="1">
      <alignment horizontal="center" wrapText="1"/>
    </xf>
    <xf numFmtId="0" fontId="59" fillId="8" borderId="212" xfId="0" applyFont="1" applyFill="1" applyBorder="1" applyAlignment="1">
      <alignment horizontal="center" wrapText="1"/>
    </xf>
    <xf numFmtId="49" fontId="80" fillId="0" borderId="0" xfId="0" applyNumberFormat="1" applyFont="1" applyFill="1" applyBorder="1" applyAlignment="1">
      <alignment horizontal="left" wrapText="1"/>
    </xf>
    <xf numFmtId="0" fontId="57" fillId="0" borderId="24" xfId="0" applyFont="1" applyBorder="1" applyAlignment="1">
      <alignment horizontal="center"/>
    </xf>
    <xf numFmtId="0" fontId="57" fillId="0" borderId="25" xfId="0" applyFont="1" applyBorder="1" applyAlignment="1">
      <alignment horizontal="center"/>
    </xf>
    <xf numFmtId="0" fontId="57" fillId="0" borderId="16" xfId="0" applyFont="1" applyBorder="1" applyAlignment="1">
      <alignment horizontal="center"/>
    </xf>
    <xf numFmtId="0" fontId="57" fillId="0" borderId="13" xfId="0" applyFont="1" applyBorder="1" applyAlignment="1">
      <alignment horizontal="center"/>
    </xf>
    <xf numFmtId="0" fontId="80" fillId="0" borderId="2" xfId="11" applyFont="1" applyBorder="1" applyAlignment="1">
      <alignment horizontal="center"/>
    </xf>
    <xf numFmtId="0" fontId="80" fillId="0" borderId="0" xfId="11" applyFont="1" applyBorder="1" applyAlignment="1">
      <alignment horizontal="center"/>
    </xf>
    <xf numFmtId="0" fontId="81" fillId="0" borderId="0" xfId="11" applyFont="1" applyFill="1" applyBorder="1" applyAlignment="1">
      <alignment horizontal="left" vertical="top" wrapText="1"/>
    </xf>
    <xf numFmtId="0" fontId="81" fillId="0" borderId="0" xfId="11" applyFont="1" applyAlignment="1"/>
    <xf numFmtId="0" fontId="66" fillId="0" borderId="2" xfId="11" applyFont="1" applyBorder="1" applyAlignment="1">
      <alignment horizontal="center"/>
    </xf>
    <xf numFmtId="0" fontId="83" fillId="0" borderId="5" xfId="13" applyFont="1" applyBorder="1" applyAlignment="1">
      <alignment horizontal="center"/>
    </xf>
    <xf numFmtId="49" fontId="89" fillId="0" borderId="213" xfId="16" applyNumberFormat="1" applyFont="1" applyBorder="1" applyAlignment="1">
      <alignment horizontal="left" wrapText="1"/>
    </xf>
    <xf numFmtId="49" fontId="89" fillId="0" borderId="214" xfId="16" applyNumberFormat="1" applyFont="1" applyBorder="1" applyAlignment="1">
      <alignment horizontal="left" wrapText="1"/>
    </xf>
    <xf numFmtId="49" fontId="89" fillId="0" borderId="215" xfId="16" applyNumberFormat="1" applyFont="1" applyBorder="1" applyAlignment="1">
      <alignment horizontal="left" wrapText="1"/>
    </xf>
    <xf numFmtId="49" fontId="89" fillId="3" borderId="216" xfId="16" applyNumberFormat="1" applyFont="1" applyFill="1" applyBorder="1" applyAlignment="1">
      <alignment horizontal="center" vertical="top" wrapText="1"/>
    </xf>
    <xf numFmtId="49" fontId="89" fillId="3" borderId="25" xfId="16" applyNumberFormat="1" applyFont="1" applyFill="1" applyBorder="1" applyAlignment="1">
      <alignment horizontal="center" vertical="top" wrapText="1"/>
    </xf>
    <xf numFmtId="49" fontId="89" fillId="3" borderId="145" xfId="16" applyNumberFormat="1" applyFont="1" applyFill="1" applyBorder="1" applyAlignment="1">
      <alignment horizontal="center" vertical="top" wrapText="1"/>
    </xf>
    <xf numFmtId="49" fontId="89" fillId="3" borderId="30" xfId="16" applyNumberFormat="1" applyFont="1" applyFill="1" applyBorder="1" applyAlignment="1">
      <alignment horizontal="center" vertical="top" wrapText="1"/>
    </xf>
    <xf numFmtId="49" fontId="89" fillId="3" borderId="31" xfId="16" applyNumberFormat="1" applyFont="1" applyFill="1" applyBorder="1" applyAlignment="1">
      <alignment horizontal="center" vertical="top" wrapText="1"/>
    </xf>
    <xf numFmtId="49" fontId="89" fillId="3" borderId="32" xfId="16" applyNumberFormat="1" applyFont="1" applyFill="1" applyBorder="1" applyAlignment="1">
      <alignment horizontal="center" vertical="top" wrapText="1"/>
    </xf>
    <xf numFmtId="0" fontId="86" fillId="0" borderId="0" xfId="0" applyFont="1" applyAlignment="1">
      <alignment horizontal="left" vertical="top" wrapText="1"/>
    </xf>
    <xf numFmtId="0" fontId="56" fillId="0" borderId="0" xfId="0" applyFont="1" applyAlignment="1">
      <alignment horizontal="left" vertical="top" wrapText="1"/>
    </xf>
    <xf numFmtId="49" fontId="89" fillId="3" borderId="217" xfId="0" applyNumberFormat="1" applyFont="1" applyFill="1" applyBorder="1" applyAlignment="1">
      <alignment horizontal="center" vertical="top" wrapText="1"/>
    </xf>
    <xf numFmtId="49" fontId="89" fillId="3" borderId="218" xfId="0" applyNumberFormat="1" applyFont="1" applyFill="1" applyBorder="1" applyAlignment="1">
      <alignment horizontal="center" vertical="top" wrapText="1"/>
    </xf>
    <xf numFmtId="49" fontId="89" fillId="3" borderId="219" xfId="0" applyNumberFormat="1" applyFont="1" applyFill="1" applyBorder="1" applyAlignment="1">
      <alignment horizontal="center" vertical="top" wrapText="1"/>
    </xf>
    <xf numFmtId="49" fontId="89" fillId="3" borderId="220" xfId="0" applyNumberFormat="1" applyFont="1" applyFill="1" applyBorder="1" applyAlignment="1">
      <alignment horizontal="center" vertical="top" wrapText="1"/>
    </xf>
    <xf numFmtId="49" fontId="89" fillId="3" borderId="221" xfId="0" applyNumberFormat="1" applyFont="1" applyFill="1" applyBorder="1" applyAlignment="1">
      <alignment horizontal="center" vertical="top" wrapText="1"/>
    </xf>
    <xf numFmtId="49" fontId="89" fillId="3" borderId="96" xfId="0" applyNumberFormat="1" applyFont="1" applyFill="1" applyBorder="1" applyAlignment="1">
      <alignment horizontal="center" vertical="top" wrapText="1"/>
    </xf>
    <xf numFmtId="49" fontId="89" fillId="0" borderId="222" xfId="0" applyNumberFormat="1" applyFont="1" applyBorder="1" applyAlignment="1">
      <alignment horizontal="center" vertical="top" wrapText="1"/>
    </xf>
    <xf numFmtId="49" fontId="89" fillId="0" borderId="215" xfId="0" applyNumberFormat="1" applyFont="1" applyBorder="1" applyAlignment="1">
      <alignment horizontal="center" vertical="top" wrapText="1"/>
    </xf>
    <xf numFmtId="49" fontId="89" fillId="3" borderId="223" xfId="0" applyNumberFormat="1" applyFont="1" applyFill="1" applyBorder="1" applyAlignment="1">
      <alignment vertical="top" wrapText="1"/>
    </xf>
    <xf numFmtId="49" fontId="89" fillId="3" borderId="224" xfId="0" applyNumberFormat="1" applyFont="1" applyFill="1" applyBorder="1" applyAlignment="1">
      <alignment vertical="top" wrapText="1"/>
    </xf>
    <xf numFmtId="49" fontId="89" fillId="3" borderId="221" xfId="0" applyNumberFormat="1" applyFont="1" applyFill="1" applyBorder="1" applyAlignment="1">
      <alignment vertical="top" wrapText="1"/>
    </xf>
    <xf numFmtId="49" fontId="89" fillId="3" borderId="96" xfId="0" applyNumberFormat="1" applyFont="1" applyFill="1" applyBorder="1" applyAlignment="1">
      <alignment vertical="top" wrapText="1"/>
    </xf>
    <xf numFmtId="49" fontId="89" fillId="3" borderId="146" xfId="0" applyNumberFormat="1" applyFont="1" applyFill="1" applyBorder="1" applyAlignment="1">
      <alignment wrapText="1"/>
    </xf>
    <xf numFmtId="49" fontId="89" fillId="3" borderId="221" xfId="0" applyNumberFormat="1" applyFont="1" applyFill="1" applyBorder="1" applyAlignment="1">
      <alignment wrapText="1"/>
    </xf>
    <xf numFmtId="49" fontId="89" fillId="3" borderId="96" xfId="0" applyNumberFormat="1" applyFont="1" applyFill="1" applyBorder="1" applyAlignment="1">
      <alignment wrapText="1"/>
    </xf>
    <xf numFmtId="0" fontId="81" fillId="0" borderId="0" xfId="9" applyFont="1" applyFill="1" applyAlignment="1">
      <alignment horizontal="left" vertical="top" wrapText="1"/>
    </xf>
    <xf numFmtId="0" fontId="81" fillId="0" borderId="0" xfId="0" applyFont="1" applyFill="1" applyBorder="1" applyAlignment="1">
      <alignment horizontal="left" vertical="top" wrapText="1"/>
    </xf>
    <xf numFmtId="0" fontId="66" fillId="0" borderId="0" xfId="0" applyFont="1" applyAlignment="1">
      <alignment horizontal="center" vertical="top"/>
    </xf>
    <xf numFmtId="0" fontId="81" fillId="0" borderId="0" xfId="0" applyFont="1" applyFill="1" applyBorder="1" applyAlignment="1">
      <alignment horizontal="center" wrapText="1"/>
    </xf>
    <xf numFmtId="0" fontId="81" fillId="0" borderId="225" xfId="0" applyFont="1" applyFill="1" applyBorder="1" applyAlignment="1">
      <alignment horizontal="center" wrapText="1"/>
    </xf>
    <xf numFmtId="49" fontId="89" fillId="0" borderId="89" xfId="0" applyNumberFormat="1" applyFont="1" applyBorder="1" applyAlignment="1">
      <alignment horizontal="center" wrapText="1"/>
    </xf>
    <xf numFmtId="49" fontId="89" fillId="0" borderId="90" xfId="0" applyNumberFormat="1" applyFont="1" applyBorder="1" applyAlignment="1">
      <alignment horizontal="center" wrapText="1"/>
    </xf>
    <xf numFmtId="49" fontId="89" fillId="0" borderId="91" xfId="0" applyNumberFormat="1" applyFont="1" applyBorder="1" applyAlignment="1">
      <alignment horizontal="center" wrapText="1"/>
    </xf>
    <xf numFmtId="0" fontId="20" fillId="0" borderId="5" xfId="15" applyFont="1" applyBorder="1" applyAlignment="1">
      <alignment horizontal="center"/>
    </xf>
    <xf numFmtId="0" fontId="21" fillId="0" borderId="0" xfId="15" applyFont="1" applyBorder="1" applyAlignment="1">
      <alignment horizontal="center"/>
    </xf>
    <xf numFmtId="0" fontId="10" fillId="0" borderId="0" xfId="15" applyFont="1" applyFill="1" applyBorder="1" applyAlignment="1">
      <alignment horizontal="left" wrapText="1"/>
    </xf>
    <xf numFmtId="0" fontId="10" fillId="0" borderId="21" xfId="15" applyFont="1" applyFill="1" applyBorder="1" applyAlignment="1">
      <alignment horizontal="left" wrapText="1"/>
    </xf>
    <xf numFmtId="0" fontId="21" fillId="0" borderId="2" xfId="15" applyFont="1" applyBorder="1" applyAlignment="1">
      <alignment horizontal="center"/>
    </xf>
    <xf numFmtId="0" fontId="21" fillId="0" borderId="5" xfId="15" applyFont="1" applyBorder="1" applyAlignment="1">
      <alignment horizontal="center"/>
    </xf>
    <xf numFmtId="0" fontId="20" fillId="0" borderId="92" xfId="15" applyFont="1" applyBorder="1" applyAlignment="1">
      <alignment horizontal="center"/>
    </xf>
    <xf numFmtId="181" fontId="57" fillId="0" borderId="0" xfId="3" applyNumberFormat="1" applyFont="1" applyAlignment="1">
      <alignment horizontal="center"/>
    </xf>
    <xf numFmtId="0" fontId="57" fillId="0" borderId="0" xfId="0" applyFont="1" applyAlignment="1">
      <alignment horizontal="center"/>
    </xf>
    <xf numFmtId="9" fontId="57" fillId="0" borderId="0" xfId="37" applyFont="1" applyAlignment="1">
      <alignment horizontal="center"/>
    </xf>
    <xf numFmtId="0" fontId="57" fillId="0" borderId="30" xfId="0" applyFont="1" applyBorder="1" applyAlignment="1">
      <alignment horizontal="center"/>
    </xf>
    <xf numFmtId="0" fontId="57" fillId="0" borderId="88" xfId="0" applyFont="1" applyBorder="1" applyAlignment="1">
      <alignment horizontal="center"/>
    </xf>
    <xf numFmtId="0" fontId="57" fillId="0" borderId="31" xfId="0" applyFont="1" applyBorder="1" applyAlignment="1">
      <alignment horizontal="center"/>
    </xf>
    <xf numFmtId="0" fontId="57" fillId="0" borderId="32" xfId="0" applyFont="1" applyBorder="1" applyAlignment="1">
      <alignment horizontal="center"/>
    </xf>
    <xf numFmtId="0" fontId="94" fillId="0" borderId="14" xfId="0" applyFont="1" applyBorder="1" applyAlignment="1">
      <alignment horizontal="center" wrapText="1"/>
    </xf>
    <xf numFmtId="0" fontId="94" fillId="0" borderId="19" xfId="0" applyFont="1" applyBorder="1" applyAlignment="1">
      <alignment horizontal="center" wrapText="1"/>
    </xf>
    <xf numFmtId="0" fontId="94" fillId="0" borderId="13" xfId="0" applyFont="1" applyBorder="1" applyAlignment="1">
      <alignment horizontal="center" wrapText="1"/>
    </xf>
    <xf numFmtId="0" fontId="68" fillId="0" borderId="13" xfId="0" applyFont="1" applyBorder="1" applyAlignment="1">
      <alignment horizontal="center" wrapText="1"/>
    </xf>
    <xf numFmtId="0" fontId="69" fillId="0" borderId="0" xfId="0" applyFont="1" applyAlignment="1">
      <alignment horizontal="left" vertical="top" wrapText="1"/>
    </xf>
    <xf numFmtId="0" fontId="29" fillId="0" borderId="0" xfId="0" applyFont="1" applyBorder="1" applyAlignment="1">
      <alignment horizontal="left" vertical="top" wrapText="1"/>
    </xf>
    <xf numFmtId="0" fontId="30" fillId="0" borderId="0" xfId="4" applyFont="1" applyFill="1" applyBorder="1" applyAlignment="1" applyProtection="1">
      <alignment horizontal="left" wrapText="1"/>
    </xf>
    <xf numFmtId="0" fontId="79" fillId="0" borderId="0" xfId="0" applyFont="1" applyBorder="1" applyAlignment="1">
      <alignment horizontal="left" wrapText="1"/>
    </xf>
    <xf numFmtId="0" fontId="79" fillId="0" borderId="0" xfId="0" applyFont="1" applyBorder="1" applyAlignment="1">
      <alignment horizontal="left"/>
    </xf>
    <xf numFmtId="0" fontId="68" fillId="0" borderId="2" xfId="0" applyFont="1" applyBorder="1" applyAlignment="1">
      <alignment horizontal="center" wrapText="1"/>
    </xf>
    <xf numFmtId="176" fontId="29" fillId="0" borderId="15" xfId="0" applyNumberFormat="1" applyFont="1" applyFill="1" applyBorder="1" applyAlignment="1">
      <alignment horizontal="center" wrapText="1"/>
    </xf>
    <xf numFmtId="176" fontId="29" fillId="0" borderId="26" xfId="0" applyNumberFormat="1" applyFont="1" applyFill="1" applyBorder="1" applyAlignment="1">
      <alignment horizontal="center" wrapText="1"/>
    </xf>
    <xf numFmtId="176" fontId="29" fillId="0" borderId="38" xfId="0" applyNumberFormat="1" applyFont="1" applyFill="1" applyBorder="1" applyAlignment="1">
      <alignment horizontal="center" wrapText="1"/>
    </xf>
    <xf numFmtId="176" fontId="29" fillId="0" borderId="18" xfId="0" applyNumberFormat="1" applyFont="1" applyFill="1" applyBorder="1" applyAlignment="1">
      <alignment horizontal="center" wrapText="1"/>
    </xf>
    <xf numFmtId="176" fontId="29" fillId="0" borderId="0" xfId="0" applyNumberFormat="1" applyFont="1" applyFill="1" applyBorder="1" applyAlignment="1">
      <alignment horizontal="center" wrapText="1"/>
    </xf>
    <xf numFmtId="176" fontId="29" fillId="0" borderId="21" xfId="0" applyNumberFormat="1" applyFont="1" applyFill="1" applyBorder="1" applyAlignment="1">
      <alignment horizontal="center" wrapText="1"/>
    </xf>
    <xf numFmtId="49" fontId="29" fillId="0" borderId="14" xfId="0" applyNumberFormat="1" applyFont="1" applyFill="1" applyBorder="1" applyAlignment="1">
      <alignment horizontal="center" vertical="center"/>
    </xf>
    <xf numFmtId="49" fontId="29" fillId="0" borderId="19" xfId="0" applyNumberFormat="1" applyFont="1" applyFill="1" applyBorder="1" applyAlignment="1">
      <alignment horizontal="center" vertical="center"/>
    </xf>
    <xf numFmtId="175" fontId="29" fillId="0" borderId="14" xfId="0" applyNumberFormat="1" applyFont="1" applyFill="1" applyBorder="1" applyAlignment="1" applyProtection="1">
      <alignment horizontal="center" vertical="center"/>
    </xf>
    <xf numFmtId="175" fontId="29" fillId="0" borderId="19" xfId="0" applyNumberFormat="1" applyFont="1" applyFill="1" applyBorder="1" applyAlignment="1" applyProtection="1">
      <alignment horizontal="center" vertical="center"/>
    </xf>
    <xf numFmtId="175" fontId="29" fillId="0" borderId="24" xfId="0" applyNumberFormat="1" applyFont="1" applyFill="1" applyBorder="1" applyAlignment="1" applyProtection="1">
      <alignment horizontal="center" vertical="center"/>
    </xf>
    <xf numFmtId="175" fontId="29" fillId="0" borderId="25" xfId="0" applyNumberFormat="1" applyFont="1" applyFill="1" applyBorder="1" applyAlignment="1" applyProtection="1">
      <alignment horizontal="center" vertical="center"/>
    </xf>
    <xf numFmtId="175" fontId="29" fillId="0" borderId="16" xfId="0" applyNumberFormat="1" applyFont="1" applyFill="1" applyBorder="1" applyAlignment="1" applyProtection="1">
      <alignment horizontal="center" vertical="center"/>
    </xf>
    <xf numFmtId="175" fontId="29" fillId="0" borderId="24" xfId="0" applyNumberFormat="1" applyFont="1" applyFill="1" applyBorder="1" applyAlignment="1" applyProtection="1">
      <alignment horizontal="center" vertical="center" wrapText="1"/>
    </xf>
    <xf numFmtId="175" fontId="29" fillId="0" borderId="25" xfId="0" applyNumberFormat="1" applyFont="1" applyFill="1" applyBorder="1" applyAlignment="1" applyProtection="1">
      <alignment horizontal="center" vertical="center" wrapText="1"/>
    </xf>
    <xf numFmtId="175" fontId="29" fillId="0" borderId="16" xfId="0" applyNumberFormat="1" applyFont="1" applyFill="1" applyBorder="1" applyAlignment="1" applyProtection="1">
      <alignment horizontal="center" vertical="center" wrapText="1"/>
    </xf>
    <xf numFmtId="175" fontId="29" fillId="0" borderId="25" xfId="0" applyNumberFormat="1" applyFont="1" applyFill="1" applyBorder="1" applyAlignment="1">
      <alignment horizontal="center" wrapText="1"/>
    </xf>
    <xf numFmtId="175" fontId="29" fillId="0" borderId="16" xfId="0" applyNumberFormat="1" applyFont="1" applyFill="1" applyBorder="1" applyAlignment="1">
      <alignment horizontal="center" wrapText="1"/>
    </xf>
    <xf numFmtId="0" fontId="57" fillId="0" borderId="25" xfId="0" applyFont="1" applyBorder="1" applyAlignment="1">
      <alignment horizontal="center" wrapText="1"/>
    </xf>
    <xf numFmtId="0" fontId="32" fillId="0" borderId="2" xfId="11" applyFont="1" applyBorder="1" applyAlignment="1">
      <alignment horizontal="center"/>
    </xf>
    <xf numFmtId="0" fontId="37" fillId="0" borderId="2" xfId="11" applyFont="1" applyBorder="1" applyAlignment="1"/>
    <xf numFmtId="0" fontId="29" fillId="0" borderId="0" xfId="11" applyFont="1" applyAlignment="1">
      <alignment horizontal="left" vertical="top" wrapText="1"/>
    </xf>
    <xf numFmtId="0" fontId="68" fillId="0" borderId="2" xfId="6" applyFont="1" applyBorder="1" applyAlignment="1">
      <alignment horizontal="center" wrapText="1"/>
    </xf>
    <xf numFmtId="0" fontId="68" fillId="0" borderId="2" xfId="6" applyFont="1" applyBorder="1" applyAlignment="1">
      <alignment horizontal="center"/>
    </xf>
    <xf numFmtId="0" fontId="68" fillId="0" borderId="0" xfId="6" applyFont="1" applyAlignment="1">
      <alignment horizontal="left" vertical="top" wrapText="1"/>
    </xf>
    <xf numFmtId="0" fontId="29" fillId="0" borderId="0" xfId="6" applyFont="1" applyAlignment="1">
      <alignment horizontal="left" vertical="top" wrapText="1"/>
    </xf>
    <xf numFmtId="0" fontId="68" fillId="0" borderId="2" xfId="6" applyFont="1" applyBorder="1" applyAlignment="1">
      <alignment horizontal="left" wrapText="1"/>
    </xf>
    <xf numFmtId="0" fontId="4" fillId="0" borderId="0" xfId="11" applyFont="1"/>
    <xf numFmtId="0" fontId="11" fillId="0" borderId="2" xfId="11" applyFont="1" applyBorder="1" applyAlignment="1">
      <alignment horizontal="center" wrapText="1"/>
    </xf>
    <xf numFmtId="0" fontId="4" fillId="0" borderId="0" xfId="11" applyFont="1" applyFill="1" applyBorder="1" applyAlignment="1">
      <alignment horizontal="left" vertical="top" wrapText="1"/>
    </xf>
    <xf numFmtId="0" fontId="4" fillId="0" borderId="0" xfId="11" applyFont="1" applyAlignment="1">
      <alignment horizontal="left" vertical="top" wrapText="1"/>
    </xf>
    <xf numFmtId="0" fontId="47" fillId="0" borderId="0" xfId="6" applyFont="1" applyAlignment="1">
      <alignment horizontal="left" vertical="top" wrapText="1"/>
    </xf>
    <xf numFmtId="0" fontId="4" fillId="0" borderId="0" xfId="6" applyFont="1" applyAlignment="1">
      <alignment horizontal="left" vertical="top" wrapText="1"/>
    </xf>
  </cellXfs>
  <cellStyles count="38">
    <cellStyle name="Comma" xfId="1" builtinId="3"/>
    <cellStyle name="Comma 2" xfId="2"/>
    <cellStyle name="Currency" xfId="3" builtinId="4"/>
    <cellStyle name="Hyperlink" xfId="4" builtinId="8"/>
    <cellStyle name="Hyperlink 2" xfId="5"/>
    <cellStyle name="Normal" xfId="0" builtinId="0"/>
    <cellStyle name="Normal 2" xfId="6"/>
    <cellStyle name="Normal 2 2" xfId="7"/>
    <cellStyle name="Normal 2 3" xfId="8"/>
    <cellStyle name="Normal 2 4" xfId="9"/>
    <cellStyle name="Normal 3" xfId="10"/>
    <cellStyle name="Normal 4" xfId="11"/>
    <cellStyle name="Normal 5" xfId="12"/>
    <cellStyle name="Normal 6" xfId="13"/>
    <cellStyle name="Normal 7" xfId="14"/>
    <cellStyle name="Normal 8" xfId="15"/>
    <cellStyle name="Normal 9" xfId="16"/>
    <cellStyle name="Normal_01 Eligibililty Staff -2011" xfId="17"/>
    <cellStyle name="Normal_10 Other Benefits LASER 2011" xfId="18"/>
    <cellStyle name="Normal_2 Services Staff 2011" xfId="19"/>
    <cellStyle name="Normal_3 Other Exp LASER 2011" xfId="20"/>
    <cellStyle name="Normal_4 Services for Clients 2011" xfId="21"/>
    <cellStyle name="Normal_5 Medicaid &amp; FAMIS 2011" xfId="22"/>
    <cellStyle name="Normal_6 SNAP LASER 2011" xfId="23"/>
    <cellStyle name="Normal_7 LIHEAP LASER 2011" xfId="24"/>
    <cellStyle name="Normal_CPS Referrals by Race 2010 (2)" xfId="25"/>
    <cellStyle name="Normal_Foster Care Children 2010" xfId="26"/>
    <cellStyle name="Normal_Sheet1" xfId="27"/>
    <cellStyle name="Normal_Sheet2" xfId="28"/>
    <cellStyle name="Normal_Sheet2_1" xfId="29"/>
    <cellStyle name="Normal_Sheet4" xfId="30"/>
    <cellStyle name="Normal_Sheet4_1" xfId="31"/>
    <cellStyle name="Normal_Sheet4_2" xfId="32"/>
    <cellStyle name="Normal_Sheet5" xfId="33"/>
    <cellStyle name="Normal_Sheet6" xfId="34"/>
    <cellStyle name="Normal_Sheet7" xfId="35"/>
    <cellStyle name="Normal_Sheet8" xfId="36"/>
    <cellStyle name="Percent" xfId="37" builtinId="5"/>
  </cellStyles>
  <dxfs count="6">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
      <font>
        <b/>
        <i val="0"/>
        <color rgb="FFFF0000"/>
      </font>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1000" b="1" i="0" u="none" strike="noStrike" baseline="0">
                <a:solidFill>
                  <a:srgbClr val="000000"/>
                </a:solidFill>
                <a:latin typeface="Cambria"/>
                <a:ea typeface="Cambria"/>
                <a:cs typeface="Cambria"/>
              </a:defRPr>
            </a:pPr>
            <a:r>
              <a:rPr lang="en-US"/>
              <a:t>Percent of Work Eligible Adults who are Unemployed, 2001-2011</a:t>
            </a:r>
          </a:p>
        </c:rich>
      </c:tx>
      <c:layout>
        <c:manualLayout>
          <c:xMode val="edge"/>
          <c:yMode val="edge"/>
          <c:x val="0.18965313546333032"/>
          <c:y val="1.2946322886109824E-2"/>
        </c:manualLayout>
      </c:layout>
    </c:title>
    <c:plotArea>
      <c:layout>
        <c:manualLayout>
          <c:layoutTarget val="inner"/>
          <c:xMode val="edge"/>
          <c:yMode val="edge"/>
          <c:x val="0.13897504893237489"/>
          <c:y val="0.1526807893783152"/>
          <c:w val="0.80175410152944593"/>
          <c:h val="0.48432633420822724"/>
        </c:manualLayout>
      </c:layout>
      <c:lineChart>
        <c:grouping val="standard"/>
        <c:ser>
          <c:idx val="0"/>
          <c:order val="0"/>
          <c:tx>
            <c:strRef>
              <c:f>Profile!$F$12</c:f>
              <c:strCache>
                <c:ptCount val="1"/>
                <c:pt idx="0">
                  <c:v>Accomack</c:v>
                </c:pt>
              </c:strCache>
            </c:strRef>
          </c:tx>
          <c:spPr>
            <a:ln>
              <a:solidFill>
                <a:schemeClr val="tx2"/>
              </a:solidFill>
            </a:ln>
          </c:spPr>
          <c:marker>
            <c:symbol val="none"/>
          </c:marker>
          <c:cat>
            <c:strRef>
              <c:f>Profile!$B$27:$E$37</c:f>
              <c:strCache>
                <c:ptCount val="11"/>
                <c:pt idx="0">
                  <c:v>2001</c:v>
                </c:pt>
                <c:pt idx="1">
                  <c:v>2002</c:v>
                </c:pt>
                <c:pt idx="2">
                  <c:v>2003</c:v>
                </c:pt>
                <c:pt idx="3">
                  <c:v>2004</c:v>
                </c:pt>
                <c:pt idx="4">
                  <c:v>2005</c:v>
                </c:pt>
                <c:pt idx="5">
                  <c:v>2006</c:v>
                </c:pt>
                <c:pt idx="6">
                  <c:v>2007</c:v>
                </c:pt>
                <c:pt idx="7">
                  <c:v>2008</c:v>
                </c:pt>
                <c:pt idx="8">
                  <c:v>2009</c:v>
                </c:pt>
                <c:pt idx="9">
                  <c:v>2010</c:v>
                </c:pt>
                <c:pt idx="10">
                  <c:v>2011</c:v>
                </c:pt>
              </c:strCache>
            </c:strRef>
          </c:cat>
          <c:val>
            <c:numRef>
              <c:f>Profile!$F$27:$F$37</c:f>
              <c:numCache>
                <c:formatCode>0.0%</c:formatCode>
                <c:ptCount val="11"/>
                <c:pt idx="0">
                  <c:v>3.3548598949211909E-2</c:v>
                </c:pt>
                <c:pt idx="1">
                  <c:v>4.1398440362170934E-2</c:v>
                </c:pt>
                <c:pt idx="2">
                  <c:v>4.3487190018996764E-2</c:v>
                </c:pt>
                <c:pt idx="3">
                  <c:v>4.57900986010015E-2</c:v>
                </c:pt>
                <c:pt idx="4">
                  <c:v>4.6037019458946372E-2</c:v>
                </c:pt>
                <c:pt idx="5">
                  <c:v>4.1579819357597136E-2</c:v>
                </c:pt>
                <c:pt idx="6">
                  <c:v>4.0461204844766487E-2</c:v>
                </c:pt>
                <c:pt idx="7">
                  <c:v>4.9591567852437415E-2</c:v>
                </c:pt>
                <c:pt idx="8">
                  <c:v>6.6257288817792456E-2</c:v>
                </c:pt>
                <c:pt idx="9">
                  <c:v>7.2078341701048862E-2</c:v>
                </c:pt>
                <c:pt idx="10">
                  <c:v>7.1893366918555829E-2</c:v>
                </c:pt>
              </c:numCache>
            </c:numRef>
          </c:val>
        </c:ser>
        <c:ser>
          <c:idx val="1"/>
          <c:order val="1"/>
          <c:tx>
            <c:strRef>
              <c:f>Profile!$H$12</c:f>
              <c:strCache>
                <c:ptCount val="1"/>
                <c:pt idx="0">
                  <c:v>Statewide</c:v>
                </c:pt>
              </c:strCache>
            </c:strRef>
          </c:tx>
          <c:spPr>
            <a:ln>
              <a:prstDash val="sysDash"/>
            </a:ln>
          </c:spPr>
          <c:marker>
            <c:symbol val="none"/>
          </c:marker>
          <c:cat>
            <c:strRef>
              <c:f>Profile!$B$27:$E$37</c:f>
              <c:strCache>
                <c:ptCount val="11"/>
                <c:pt idx="0">
                  <c:v>2001</c:v>
                </c:pt>
                <c:pt idx="1">
                  <c:v>2002</c:v>
                </c:pt>
                <c:pt idx="2">
                  <c:v>2003</c:v>
                </c:pt>
                <c:pt idx="3">
                  <c:v>2004</c:v>
                </c:pt>
                <c:pt idx="4">
                  <c:v>2005</c:v>
                </c:pt>
                <c:pt idx="5">
                  <c:v>2006</c:v>
                </c:pt>
                <c:pt idx="6">
                  <c:v>2007</c:v>
                </c:pt>
                <c:pt idx="7">
                  <c:v>2008</c:v>
                </c:pt>
                <c:pt idx="8">
                  <c:v>2009</c:v>
                </c:pt>
                <c:pt idx="9">
                  <c:v>2010</c:v>
                </c:pt>
                <c:pt idx="10">
                  <c:v>2011</c:v>
                </c:pt>
              </c:strCache>
            </c:strRef>
          </c:cat>
          <c:val>
            <c:numRef>
              <c:f>Profile!$H$27:$H$37</c:f>
              <c:numCache>
                <c:formatCode>0.0%</c:formatCode>
                <c:ptCount val="11"/>
                <c:pt idx="0">
                  <c:v>3.2187783912701044E-2</c:v>
                </c:pt>
                <c:pt idx="1">
                  <c:v>4.1810282554885593E-2</c:v>
                </c:pt>
                <c:pt idx="2">
                  <c:v>4.0951027325666245E-2</c:v>
                </c:pt>
                <c:pt idx="3">
                  <c:v>3.6983564098822252E-2</c:v>
                </c:pt>
                <c:pt idx="4">
                  <c:v>3.5006670478368591E-2</c:v>
                </c:pt>
                <c:pt idx="5">
                  <c:v>3.0047576742774661E-2</c:v>
                </c:pt>
                <c:pt idx="6">
                  <c:v>4.0461204844766487E-2</c:v>
                </c:pt>
                <c:pt idx="7">
                  <c:v>3.9293121325249841E-2</c:v>
                </c:pt>
                <c:pt idx="8">
                  <c:v>6.6504174435482052E-2</c:v>
                </c:pt>
                <c:pt idx="9">
                  <c:v>6.9088302581042094E-2</c:v>
                </c:pt>
                <c:pt idx="10">
                  <c:v>6.2429897166254779E-2</c:v>
                </c:pt>
              </c:numCache>
            </c:numRef>
          </c:val>
        </c:ser>
        <c:marker val="1"/>
        <c:axId val="98054144"/>
        <c:axId val="98055680"/>
      </c:lineChart>
      <c:catAx>
        <c:axId val="98054144"/>
        <c:scaling>
          <c:orientation val="minMax"/>
        </c:scaling>
        <c:axPos val="b"/>
        <c:numFmt formatCode="General" sourceLinked="1"/>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055680"/>
        <c:crosses val="autoZero"/>
        <c:auto val="1"/>
        <c:lblAlgn val="ctr"/>
        <c:lblOffset val="100"/>
        <c:tickLblSkip val="2"/>
        <c:tickMarkSkip val="1"/>
      </c:catAx>
      <c:valAx>
        <c:axId val="98055680"/>
        <c:scaling>
          <c:orientation val="minMax"/>
        </c:scaling>
        <c:axPos val="l"/>
        <c:majorGridlines>
          <c:spPr>
            <a:ln>
              <a:solidFill>
                <a:schemeClr val="bg1">
                  <a:lumMod val="85000"/>
                </a:schemeClr>
              </a:solidFill>
            </a:ln>
          </c:spPr>
        </c:majorGridlines>
        <c:title>
          <c:tx>
            <c:rich>
              <a:bodyPr/>
              <a:lstStyle/>
              <a:p>
                <a:pPr>
                  <a:defRPr sz="1000" b="1" i="0" u="none" strike="noStrike" baseline="0">
                    <a:solidFill>
                      <a:srgbClr val="000000"/>
                    </a:solidFill>
                    <a:latin typeface="Cambria"/>
                    <a:ea typeface="Cambria"/>
                    <a:cs typeface="Cambria"/>
                  </a:defRPr>
                </a:pPr>
                <a:r>
                  <a:rPr lang="en-US"/>
                  <a:t>Percentage (%)</a:t>
                </a:r>
              </a:p>
            </c:rich>
          </c:tx>
          <c:layout/>
        </c:title>
        <c:numFmt formatCode="0%" sourceLinked="0"/>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054144"/>
        <c:crosses val="autoZero"/>
        <c:crossBetween val="midCat"/>
      </c:valAx>
    </c:plotArea>
    <c:legend>
      <c:legendPos val="b"/>
      <c:layout>
        <c:manualLayout>
          <c:xMode val="edge"/>
          <c:yMode val="edge"/>
          <c:x val="9.0533420164584794E-3"/>
          <c:y val="0.77115989913025573"/>
          <c:w val="0.93553779461777797"/>
          <c:h val="9.4207812258761736E-2"/>
        </c:manualLayout>
      </c:layout>
      <c:txPr>
        <a:bodyPr/>
        <a:lstStyle/>
        <a:p>
          <a:pPr>
            <a:defRPr sz="920" b="0" i="0" u="none" strike="noStrike" baseline="0">
              <a:solidFill>
                <a:srgbClr val="000000"/>
              </a:solidFill>
              <a:latin typeface="Cambria"/>
              <a:ea typeface="Cambria"/>
              <a:cs typeface="Cambria"/>
            </a:defRPr>
          </a:pPr>
          <a:endParaRPr lang="en-US"/>
        </a:p>
      </c:txPr>
    </c:legend>
    <c:plotVisOnly val="1"/>
    <c:dispBlanksAs val="gap"/>
  </c:chart>
  <c:spPr>
    <a:ln w="15875">
      <a:solidFill>
        <a:schemeClr val="tx2"/>
      </a:solidFill>
    </a:ln>
  </c:spPr>
  <c:txPr>
    <a:bodyPr/>
    <a:lstStyle/>
    <a:p>
      <a:pPr>
        <a:defRPr sz="1000" b="0" i="0" u="none" strike="noStrike" baseline="0">
          <a:solidFill>
            <a:srgbClr val="000000"/>
          </a:solidFill>
          <a:latin typeface="Cambria"/>
          <a:ea typeface="Cambria"/>
          <a:cs typeface="Cambria"/>
        </a:defRPr>
      </a:pPr>
      <a:endParaRPr lang="en-US"/>
    </a:p>
  </c:txPr>
  <c:printSettings>
    <c:headerFooter/>
    <c:pageMargins b="0.75000000000000744" l="0.70000000000000062" r="0.70000000000000062" t="0.75000000000000744"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1"/>
  <c:chart>
    <c:title>
      <c:tx>
        <c:rich>
          <a:bodyPr/>
          <a:lstStyle/>
          <a:p>
            <a:pPr>
              <a:defRPr sz="1000" b="0" i="0" u="none" strike="noStrike" baseline="0">
                <a:solidFill>
                  <a:srgbClr val="000000"/>
                </a:solidFill>
                <a:latin typeface="Cambria"/>
                <a:ea typeface="Cambria"/>
                <a:cs typeface="Cambria"/>
              </a:defRPr>
            </a:pPr>
            <a:r>
              <a:rPr lang="en-US" sz="1000" b="1" i="0" u="none" strike="noStrike" baseline="0">
                <a:solidFill>
                  <a:srgbClr val="000000"/>
                </a:solidFill>
                <a:latin typeface="Cambria"/>
              </a:rPr>
              <a:t>Unduplicated Public Assistance Clients Served by </a:t>
            </a:r>
          </a:p>
          <a:p>
            <a:pPr>
              <a:defRPr sz="1000" b="0" i="0" u="none" strike="noStrike" baseline="0">
                <a:solidFill>
                  <a:srgbClr val="000000"/>
                </a:solidFill>
                <a:latin typeface="Cambria"/>
                <a:ea typeface="Cambria"/>
                <a:cs typeface="Cambria"/>
              </a:defRPr>
            </a:pPr>
            <a:r>
              <a:rPr lang="en-US" sz="1000" b="1" i="0" u="none" strike="noStrike" baseline="0">
                <a:solidFill>
                  <a:srgbClr val="000000"/>
                </a:solidFill>
                <a:latin typeface="Cambria"/>
              </a:rPr>
              <a:t>State Fiscal Year</a:t>
            </a:r>
          </a:p>
        </c:rich>
      </c:tx>
      <c:layout>
        <c:manualLayout>
          <c:xMode val="edge"/>
          <c:yMode val="edge"/>
          <c:x val="0.15003916082243729"/>
          <c:y val="1.6872227254779E-2"/>
        </c:manualLayout>
      </c:layout>
    </c:title>
    <c:plotArea>
      <c:layout>
        <c:manualLayout>
          <c:layoutTarget val="inner"/>
          <c:xMode val="edge"/>
          <c:yMode val="edge"/>
          <c:x val="0.13725536150392881"/>
          <c:y val="0.20221169036334921"/>
          <c:w val="0.79326534458167408"/>
          <c:h val="0.45734722553620194"/>
        </c:manualLayout>
      </c:layout>
      <c:lineChart>
        <c:grouping val="standard"/>
        <c:ser>
          <c:idx val="0"/>
          <c:order val="0"/>
          <c:tx>
            <c:strRef>
              <c:f>Profile!$G$59</c:f>
              <c:strCache>
                <c:ptCount val="1"/>
                <c:pt idx="0">
                  <c:v>SNAP</c:v>
                </c:pt>
              </c:strCache>
            </c:strRef>
          </c:tx>
          <c:spPr>
            <a:ln>
              <a:prstDash val="sysDash"/>
            </a:ln>
          </c:spPr>
          <c:marker>
            <c:symbol val="none"/>
          </c:marker>
          <c:cat>
            <c:strRef>
              <c:f>Profile!$B$60:$B$66</c:f>
              <c:strCache>
                <c:ptCount val="7"/>
                <c:pt idx="0">
                  <c:v>2005</c:v>
                </c:pt>
                <c:pt idx="1">
                  <c:v>2006</c:v>
                </c:pt>
                <c:pt idx="2">
                  <c:v>2007</c:v>
                </c:pt>
                <c:pt idx="3">
                  <c:v>2008</c:v>
                </c:pt>
                <c:pt idx="4">
                  <c:v>2009</c:v>
                </c:pt>
                <c:pt idx="5">
                  <c:v>2010</c:v>
                </c:pt>
                <c:pt idx="6">
                  <c:v>2011</c:v>
                </c:pt>
              </c:strCache>
            </c:strRef>
          </c:cat>
          <c:val>
            <c:numRef>
              <c:f>Profile!$G$60:$G$66</c:f>
              <c:numCache>
                <c:formatCode>#,##0</c:formatCode>
                <c:ptCount val="7"/>
                <c:pt idx="0">
                  <c:v>5982</c:v>
                </c:pt>
                <c:pt idx="1">
                  <c:v>6196</c:v>
                </c:pt>
                <c:pt idx="2">
                  <c:v>6487</c:v>
                </c:pt>
                <c:pt idx="3">
                  <c:v>6764</c:v>
                </c:pt>
                <c:pt idx="4">
                  <c:v>7393</c:v>
                </c:pt>
                <c:pt idx="5">
                  <c:v>8490</c:v>
                </c:pt>
                <c:pt idx="6">
                  <c:v>9362</c:v>
                </c:pt>
              </c:numCache>
            </c:numRef>
          </c:val>
        </c:ser>
        <c:ser>
          <c:idx val="1"/>
          <c:order val="1"/>
          <c:tx>
            <c:strRef>
              <c:f>Profile!$H$59</c:f>
              <c:strCache>
                <c:ptCount val="1"/>
                <c:pt idx="0">
                  <c:v>TANF</c:v>
                </c:pt>
              </c:strCache>
            </c:strRef>
          </c:tx>
          <c:spPr>
            <a:ln>
              <a:solidFill>
                <a:schemeClr val="tx2"/>
              </a:solidFill>
            </a:ln>
          </c:spPr>
          <c:marker>
            <c:symbol val="none"/>
          </c:marker>
          <c:cat>
            <c:strRef>
              <c:f>Profile!$B$60:$B$66</c:f>
              <c:strCache>
                <c:ptCount val="7"/>
                <c:pt idx="0">
                  <c:v>2005</c:v>
                </c:pt>
                <c:pt idx="1">
                  <c:v>2006</c:v>
                </c:pt>
                <c:pt idx="2">
                  <c:v>2007</c:v>
                </c:pt>
                <c:pt idx="3">
                  <c:v>2008</c:v>
                </c:pt>
                <c:pt idx="4">
                  <c:v>2009</c:v>
                </c:pt>
                <c:pt idx="5">
                  <c:v>2010</c:v>
                </c:pt>
                <c:pt idx="6">
                  <c:v>2011</c:v>
                </c:pt>
              </c:strCache>
            </c:strRef>
          </c:cat>
          <c:val>
            <c:numRef>
              <c:f>Profile!$H$60:$H$66</c:f>
              <c:numCache>
                <c:formatCode>#,##0</c:formatCode>
                <c:ptCount val="7"/>
                <c:pt idx="0">
                  <c:v>1056</c:v>
                </c:pt>
                <c:pt idx="1">
                  <c:v>1003</c:v>
                </c:pt>
                <c:pt idx="2">
                  <c:v>878</c:v>
                </c:pt>
                <c:pt idx="3">
                  <c:v>898</c:v>
                </c:pt>
                <c:pt idx="4">
                  <c:v>946</c:v>
                </c:pt>
                <c:pt idx="5">
                  <c:v>1098</c:v>
                </c:pt>
                <c:pt idx="6">
                  <c:v>1096</c:v>
                </c:pt>
              </c:numCache>
            </c:numRef>
          </c:val>
        </c:ser>
        <c:marker val="1"/>
        <c:axId val="98106368"/>
        <c:axId val="97981184"/>
      </c:lineChart>
      <c:catAx>
        <c:axId val="98106368"/>
        <c:scaling>
          <c:orientation val="minMax"/>
        </c:scaling>
        <c:axPos val="b"/>
        <c:numFmt formatCode="General" sourceLinked="1"/>
        <c:tickLblPos val="nextTo"/>
        <c:txPr>
          <a:bodyPr rot="0" vert="horz"/>
          <a:lstStyle/>
          <a:p>
            <a:pPr>
              <a:defRPr sz="800" b="0" i="0" u="none" strike="noStrike" baseline="0">
                <a:solidFill>
                  <a:srgbClr val="000000"/>
                </a:solidFill>
                <a:latin typeface="Cambria"/>
                <a:ea typeface="Cambria"/>
                <a:cs typeface="Cambria"/>
              </a:defRPr>
            </a:pPr>
            <a:endParaRPr lang="en-US"/>
          </a:p>
        </c:txPr>
        <c:crossAx val="97981184"/>
        <c:crosses val="autoZero"/>
        <c:auto val="1"/>
        <c:lblAlgn val="ctr"/>
        <c:lblOffset val="100"/>
      </c:catAx>
      <c:valAx>
        <c:axId val="97981184"/>
        <c:scaling>
          <c:orientation val="minMax"/>
        </c:scaling>
        <c:axPos val="l"/>
        <c:majorGridlines>
          <c:spPr>
            <a:ln>
              <a:solidFill>
                <a:schemeClr val="bg1">
                  <a:lumMod val="85000"/>
                </a:schemeClr>
              </a:solidFill>
            </a:ln>
          </c:spPr>
        </c:majorGridlines>
        <c:title>
          <c:tx>
            <c:rich>
              <a:bodyPr/>
              <a:lstStyle/>
              <a:p>
                <a:pPr>
                  <a:defRPr sz="1000" b="0" i="0" u="none" strike="noStrike" baseline="0">
                    <a:solidFill>
                      <a:srgbClr val="000000"/>
                    </a:solidFill>
                    <a:latin typeface="Cambria"/>
                    <a:ea typeface="Cambria"/>
                    <a:cs typeface="Cambria"/>
                  </a:defRPr>
                </a:pPr>
                <a:r>
                  <a:rPr lang="en-US"/>
                  <a:t>Number of Clients</a:t>
                </a:r>
              </a:p>
            </c:rich>
          </c:tx>
          <c:layout/>
        </c:title>
        <c:numFmt formatCode="#,##0" sourceLinked="1"/>
        <c:tickLblPos val="nextTo"/>
        <c:txPr>
          <a:bodyPr rot="0" vert="horz"/>
          <a:lstStyle/>
          <a:p>
            <a:pPr>
              <a:defRPr sz="800" b="0" i="0" u="none" strike="noStrike" baseline="0">
                <a:solidFill>
                  <a:srgbClr val="000000"/>
                </a:solidFill>
                <a:latin typeface="Cambria"/>
                <a:ea typeface="Cambria"/>
                <a:cs typeface="Cambria"/>
              </a:defRPr>
            </a:pPr>
            <a:endParaRPr lang="en-US"/>
          </a:p>
        </c:txPr>
        <c:crossAx val="98106368"/>
        <c:crosses val="autoZero"/>
        <c:crossBetween val="midCat"/>
      </c:valAx>
      <c:spPr>
        <a:ln>
          <a:solidFill>
            <a:schemeClr val="accent1"/>
          </a:solidFill>
        </a:ln>
      </c:spPr>
    </c:plotArea>
    <c:legend>
      <c:legendPos val="r"/>
      <c:layout>
        <c:manualLayout>
          <c:xMode val="edge"/>
          <c:yMode val="edge"/>
          <c:x val="0.26775360369247697"/>
          <c:y val="0.7917891900680557"/>
          <c:w val="0.49661064576495134"/>
          <c:h val="8.0196501985924873E-2"/>
        </c:manualLayout>
      </c:layout>
      <c:txPr>
        <a:bodyPr/>
        <a:lstStyle/>
        <a:p>
          <a:pPr>
            <a:defRPr sz="920" b="0" i="0" u="none" strike="noStrike" baseline="0">
              <a:solidFill>
                <a:srgbClr val="000000"/>
              </a:solidFill>
              <a:latin typeface="Cambria"/>
              <a:ea typeface="Cambria"/>
              <a:cs typeface="Cambria"/>
            </a:defRPr>
          </a:pPr>
          <a:endParaRPr lang="en-US"/>
        </a:p>
      </c:txPr>
    </c:legend>
    <c:plotVisOnly val="1"/>
    <c:dispBlanksAs val="gap"/>
  </c:chart>
  <c:spPr>
    <a:solidFill>
      <a:schemeClr val="bg1"/>
    </a:solidFill>
    <a:ln w="15875">
      <a:solidFill>
        <a:schemeClr val="tx2"/>
      </a:solidFill>
    </a:ln>
  </c:spPr>
  <c:txPr>
    <a:bodyPr/>
    <a:lstStyle/>
    <a:p>
      <a:pPr>
        <a:defRPr sz="1000" b="0" i="0" u="none" strike="noStrike" baseline="0">
          <a:solidFill>
            <a:srgbClr val="000000"/>
          </a:solidFill>
          <a:latin typeface="Cambria"/>
          <a:ea typeface="Cambria"/>
          <a:cs typeface="Cambria"/>
        </a:defRPr>
      </a:pPr>
      <a:endParaRPr lang="en-US"/>
    </a:p>
  </c:txPr>
  <c:printSettings>
    <c:headerFooter/>
    <c:pageMargins b="0.75000000000000744" l="0.25" r="0.25" t="0.75000000000000744"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1000" b="1" i="0" u="none" strike="noStrike" baseline="0">
                <a:solidFill>
                  <a:srgbClr val="000000"/>
                </a:solidFill>
                <a:latin typeface="Cambria"/>
                <a:ea typeface="Cambria"/>
                <a:cs typeface="Cambria"/>
              </a:defRPr>
            </a:pPr>
            <a:r>
              <a:rPr lang="en-US"/>
              <a:t>Percent of People Living Below the Poverty Level, 2000-2010</a:t>
            </a:r>
          </a:p>
        </c:rich>
      </c:tx>
      <c:layout/>
    </c:title>
    <c:plotArea>
      <c:layout>
        <c:manualLayout>
          <c:layoutTarget val="inner"/>
          <c:xMode val="edge"/>
          <c:yMode val="edge"/>
          <c:x val="0.16524358779065995"/>
          <c:y val="0.15778460746196643"/>
          <c:w val="0.77272166515406382"/>
          <c:h val="0.56355367686023217"/>
        </c:manualLayout>
      </c:layout>
      <c:lineChart>
        <c:grouping val="standard"/>
        <c:ser>
          <c:idx val="0"/>
          <c:order val="0"/>
          <c:tx>
            <c:strRef>
              <c:f>Profile!$F$24</c:f>
              <c:strCache>
                <c:ptCount val="1"/>
                <c:pt idx="0">
                  <c:v>Accomack</c:v>
                </c:pt>
              </c:strCache>
            </c:strRef>
          </c:tx>
          <c:spPr>
            <a:ln>
              <a:solidFill>
                <a:schemeClr val="tx2"/>
              </a:solidFill>
            </a:ln>
          </c:spPr>
          <c:marker>
            <c:symbol val="none"/>
          </c:marker>
          <c:cat>
            <c:strRef>
              <c:f>Profile!$B$26:$E$36</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Profile!$G$26:$G$36</c:f>
              <c:numCache>
                <c:formatCode>0.0%</c:formatCode>
                <c:ptCount val="11"/>
                <c:pt idx="0">
                  <c:v>0.17100000000000001</c:v>
                </c:pt>
                <c:pt idx="1">
                  <c:v>0.16300000000000001</c:v>
                </c:pt>
                <c:pt idx="2">
                  <c:v>0.17699999999999999</c:v>
                </c:pt>
                <c:pt idx="3">
                  <c:v>0.156</c:v>
                </c:pt>
                <c:pt idx="4">
                  <c:v>0.14899999999999999</c:v>
                </c:pt>
                <c:pt idx="5">
                  <c:v>0.183</c:v>
                </c:pt>
                <c:pt idx="6">
                  <c:v>0.154</c:v>
                </c:pt>
                <c:pt idx="7">
                  <c:v>0.16800000000000001</c:v>
                </c:pt>
                <c:pt idx="8">
                  <c:v>0.20600000000000002</c:v>
                </c:pt>
                <c:pt idx="9">
                  <c:v>0.183</c:v>
                </c:pt>
                <c:pt idx="10">
                  <c:v>0.20499999999999999</c:v>
                </c:pt>
              </c:numCache>
            </c:numRef>
          </c:val>
        </c:ser>
        <c:ser>
          <c:idx val="1"/>
          <c:order val="1"/>
          <c:tx>
            <c:strRef>
              <c:f>Profile!$H$24</c:f>
              <c:strCache>
                <c:ptCount val="1"/>
                <c:pt idx="0">
                  <c:v>Statewide</c:v>
                </c:pt>
              </c:strCache>
            </c:strRef>
          </c:tx>
          <c:spPr>
            <a:ln>
              <a:prstDash val="sysDash"/>
            </a:ln>
          </c:spPr>
          <c:marker>
            <c:symbol val="none"/>
          </c:marker>
          <c:cat>
            <c:strRef>
              <c:f>Profile!$B$26:$E$36</c:f>
              <c:strCache>
                <c:ptCount val="11"/>
                <c:pt idx="0">
                  <c:v>2000</c:v>
                </c:pt>
                <c:pt idx="1">
                  <c:v>2001</c:v>
                </c:pt>
                <c:pt idx="2">
                  <c:v>2002</c:v>
                </c:pt>
                <c:pt idx="3">
                  <c:v>2003</c:v>
                </c:pt>
                <c:pt idx="4">
                  <c:v>2004</c:v>
                </c:pt>
                <c:pt idx="5">
                  <c:v>2005</c:v>
                </c:pt>
                <c:pt idx="6">
                  <c:v>2006</c:v>
                </c:pt>
                <c:pt idx="7">
                  <c:v>2007</c:v>
                </c:pt>
                <c:pt idx="8">
                  <c:v>2008</c:v>
                </c:pt>
                <c:pt idx="9">
                  <c:v>2009</c:v>
                </c:pt>
                <c:pt idx="10">
                  <c:v>2010</c:v>
                </c:pt>
              </c:strCache>
            </c:strRef>
          </c:cat>
          <c:val>
            <c:numRef>
              <c:f>Profile!$I$26:$I$36</c:f>
              <c:numCache>
                <c:formatCode>0.0%</c:formatCode>
                <c:ptCount val="11"/>
                <c:pt idx="0">
                  <c:v>8.8499999999999995E-2</c:v>
                </c:pt>
                <c:pt idx="1">
                  <c:v>8.77E-2</c:v>
                </c:pt>
                <c:pt idx="2">
                  <c:v>9.5899999999999999E-2</c:v>
                </c:pt>
                <c:pt idx="3">
                  <c:v>9.9399999999999988E-2</c:v>
                </c:pt>
                <c:pt idx="4">
                  <c:v>9.5199999999999993E-2</c:v>
                </c:pt>
                <c:pt idx="5">
                  <c:v>9.9600000000000008E-2</c:v>
                </c:pt>
                <c:pt idx="6">
                  <c:v>9.6199999999999994E-2</c:v>
                </c:pt>
                <c:pt idx="7">
                  <c:v>9.9000000000000005E-2</c:v>
                </c:pt>
                <c:pt idx="8">
                  <c:v>0.10210000000000001</c:v>
                </c:pt>
                <c:pt idx="9">
                  <c:v>0.1057</c:v>
                </c:pt>
                <c:pt idx="10">
                  <c:v>0.11118840014389482</c:v>
                </c:pt>
              </c:numCache>
            </c:numRef>
          </c:val>
        </c:ser>
        <c:marker val="1"/>
        <c:axId val="98014720"/>
        <c:axId val="98016256"/>
      </c:lineChart>
      <c:catAx>
        <c:axId val="98014720"/>
        <c:scaling>
          <c:orientation val="minMax"/>
        </c:scaling>
        <c:axPos val="b"/>
        <c:numFmt formatCode="General" sourceLinked="1"/>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016256"/>
        <c:crosses val="autoZero"/>
        <c:auto val="1"/>
        <c:lblAlgn val="ctr"/>
        <c:lblOffset val="100"/>
      </c:catAx>
      <c:valAx>
        <c:axId val="98016256"/>
        <c:scaling>
          <c:orientation val="minMax"/>
        </c:scaling>
        <c:axPos val="l"/>
        <c:majorGridlines>
          <c:spPr>
            <a:ln>
              <a:solidFill>
                <a:schemeClr val="bg1">
                  <a:lumMod val="85000"/>
                </a:schemeClr>
              </a:solidFill>
            </a:ln>
          </c:spPr>
        </c:majorGridlines>
        <c:title>
          <c:tx>
            <c:rich>
              <a:bodyPr/>
              <a:lstStyle/>
              <a:p>
                <a:pPr>
                  <a:defRPr sz="1000" b="1" i="0" u="none" strike="noStrike" baseline="0">
                    <a:solidFill>
                      <a:srgbClr val="000000"/>
                    </a:solidFill>
                    <a:latin typeface="Cambria"/>
                    <a:ea typeface="Cambria"/>
                    <a:cs typeface="Cambria"/>
                  </a:defRPr>
                </a:pPr>
                <a:r>
                  <a:rPr lang="en-US"/>
                  <a:t>Percentage (%)</a:t>
                </a:r>
              </a:p>
            </c:rich>
          </c:tx>
          <c:layout/>
        </c:title>
        <c:numFmt formatCode="0%" sourceLinked="0"/>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014720"/>
        <c:crosses val="autoZero"/>
        <c:crossBetween val="midCat"/>
      </c:valAx>
    </c:plotArea>
    <c:legend>
      <c:legendPos val="r"/>
      <c:layout>
        <c:manualLayout>
          <c:xMode val="edge"/>
          <c:yMode val="edge"/>
          <c:x val="1.9695695932745248E-2"/>
          <c:y val="0.82947603771750744"/>
          <c:w val="0.95252567113321363"/>
          <c:h val="6.7190823369301073E-2"/>
        </c:manualLayout>
      </c:layout>
      <c:txPr>
        <a:bodyPr/>
        <a:lstStyle/>
        <a:p>
          <a:pPr>
            <a:defRPr sz="920" b="0" i="0" u="none" strike="noStrike" baseline="0">
              <a:solidFill>
                <a:srgbClr val="000000"/>
              </a:solidFill>
              <a:latin typeface="Cambria"/>
              <a:ea typeface="Cambria"/>
              <a:cs typeface="Cambria"/>
            </a:defRPr>
          </a:pPr>
          <a:endParaRPr lang="en-US"/>
        </a:p>
      </c:txPr>
    </c:legend>
    <c:plotVisOnly val="1"/>
    <c:dispBlanksAs val="gap"/>
  </c:chart>
  <c:spPr>
    <a:ln w="15875">
      <a:solidFill>
        <a:schemeClr val="tx2"/>
      </a:solidFill>
    </a:ln>
  </c:spPr>
  <c:txPr>
    <a:bodyPr/>
    <a:lstStyle/>
    <a:p>
      <a:pPr>
        <a:defRPr sz="1000" b="0" i="0" u="none" strike="noStrike" baseline="0">
          <a:solidFill>
            <a:srgbClr val="000000"/>
          </a:solidFill>
          <a:latin typeface="Cambria"/>
          <a:ea typeface="Cambria"/>
          <a:cs typeface="Cambria"/>
        </a:defRPr>
      </a:pPr>
      <a:endParaRPr lang="en-US"/>
    </a:p>
  </c:txPr>
  <c:printSettings>
    <c:headerFooter/>
    <c:pageMargins b="0.75000000000000766" l="0.70000000000000062" r="0.70000000000000062" t="0.75000000000000766"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1000" b="1" i="0" u="none" strike="noStrike" baseline="0">
                <a:solidFill>
                  <a:srgbClr val="000000"/>
                </a:solidFill>
                <a:latin typeface="Cambria"/>
                <a:ea typeface="Cambria"/>
                <a:cs typeface="Cambria"/>
              </a:defRPr>
            </a:pPr>
            <a:r>
              <a:rPr lang="en-US"/>
              <a:t>Percentage of Children Living in Single Parent Households, 2010 </a:t>
            </a:r>
          </a:p>
        </c:rich>
      </c:tx>
      <c:layout/>
    </c:title>
    <c:plotArea>
      <c:layout>
        <c:manualLayout>
          <c:layoutTarget val="inner"/>
          <c:xMode val="edge"/>
          <c:yMode val="edge"/>
          <c:x val="0.15184601924759444"/>
          <c:y val="0.22760384681644524"/>
          <c:w val="0.81517158946680968"/>
          <c:h val="0.43675036683407187"/>
        </c:manualLayout>
      </c:layout>
      <c:barChart>
        <c:barDir val="col"/>
        <c:grouping val="clustered"/>
        <c:ser>
          <c:idx val="1"/>
          <c:order val="0"/>
          <c:tx>
            <c:strRef>
              <c:f>Profile!$V$111</c:f>
              <c:strCache>
                <c:ptCount val="1"/>
                <c:pt idx="0">
                  <c:v>Accomack</c:v>
                </c:pt>
              </c:strCache>
            </c:strRef>
          </c:tx>
          <c:spPr>
            <a:solidFill>
              <a:schemeClr val="tx2"/>
            </a:solidFill>
          </c:spPr>
          <c:dLbls>
            <c:txPr>
              <a:bodyPr/>
              <a:lstStyle/>
              <a:p>
                <a:pPr>
                  <a:defRPr sz="800" b="0" i="0" u="none" strike="noStrike" baseline="0">
                    <a:solidFill>
                      <a:srgbClr val="000000"/>
                    </a:solidFill>
                    <a:latin typeface="Cambria"/>
                    <a:ea typeface="Cambria"/>
                    <a:cs typeface="Cambria"/>
                  </a:defRPr>
                </a:pPr>
                <a:endParaRPr lang="en-US"/>
              </a:p>
            </c:txPr>
            <c:dLblPos val="outEnd"/>
            <c:showVal val="1"/>
          </c:dLbls>
          <c:cat>
            <c:strRef>
              <c:f>Profile!$T$112:$T$115</c:f>
              <c:strCache>
                <c:ptCount val="4"/>
                <c:pt idx="0">
                  <c:v>All Children</c:v>
                </c:pt>
                <c:pt idx="1">
                  <c:v>White</c:v>
                </c:pt>
                <c:pt idx="2">
                  <c:v>Black</c:v>
                </c:pt>
                <c:pt idx="3">
                  <c:v>Hispanic</c:v>
                </c:pt>
              </c:strCache>
            </c:strRef>
          </c:cat>
          <c:val>
            <c:numRef>
              <c:f>Profile!$V$112:$V$115</c:f>
              <c:numCache>
                <c:formatCode>0.0</c:formatCode>
                <c:ptCount val="4"/>
                <c:pt idx="0">
                  <c:v>37.006200177147917</c:v>
                </c:pt>
                <c:pt idx="1">
                  <c:v>25.588928150765604</c:v>
                </c:pt>
                <c:pt idx="2">
                  <c:v>65.895953757225428</c:v>
                </c:pt>
                <c:pt idx="3">
                  <c:v>26.601520086862106</c:v>
                </c:pt>
              </c:numCache>
            </c:numRef>
          </c:val>
        </c:ser>
        <c:ser>
          <c:idx val="2"/>
          <c:order val="1"/>
          <c:tx>
            <c:strRef>
              <c:f>Profile!$W$111</c:f>
              <c:strCache>
                <c:ptCount val="1"/>
                <c:pt idx="0">
                  <c:v>Statewide</c:v>
                </c:pt>
              </c:strCache>
            </c:strRef>
          </c:tx>
          <c:dLbls>
            <c:txPr>
              <a:bodyPr/>
              <a:lstStyle/>
              <a:p>
                <a:pPr>
                  <a:defRPr sz="800" b="0" i="0" u="none" strike="noStrike" baseline="0">
                    <a:solidFill>
                      <a:srgbClr val="000000"/>
                    </a:solidFill>
                    <a:latin typeface="Cambria"/>
                    <a:ea typeface="Cambria"/>
                    <a:cs typeface="Cambria"/>
                  </a:defRPr>
                </a:pPr>
                <a:endParaRPr lang="en-US"/>
              </a:p>
            </c:txPr>
            <c:dLblPos val="outEnd"/>
            <c:showVal val="1"/>
          </c:dLbls>
          <c:cat>
            <c:strRef>
              <c:f>Profile!$T$112:$T$115</c:f>
              <c:strCache>
                <c:ptCount val="4"/>
                <c:pt idx="0">
                  <c:v>All Children</c:v>
                </c:pt>
                <c:pt idx="1">
                  <c:v>White</c:v>
                </c:pt>
                <c:pt idx="2">
                  <c:v>Black</c:v>
                </c:pt>
                <c:pt idx="3">
                  <c:v>Hispanic</c:v>
                </c:pt>
              </c:strCache>
            </c:strRef>
          </c:cat>
          <c:val>
            <c:numRef>
              <c:f>Profile!$W$112:$W$115</c:f>
              <c:numCache>
                <c:formatCode>0.0</c:formatCode>
                <c:ptCount val="4"/>
                <c:pt idx="0">
                  <c:v>27.167840720086094</c:v>
                </c:pt>
                <c:pt idx="1">
                  <c:v>19.473874653474446</c:v>
                </c:pt>
                <c:pt idx="2">
                  <c:v>55.455372473042161</c:v>
                </c:pt>
                <c:pt idx="3">
                  <c:v>28.389718171863294</c:v>
                </c:pt>
              </c:numCache>
            </c:numRef>
          </c:val>
        </c:ser>
        <c:dLbls>
          <c:showVal val="1"/>
        </c:dLbls>
        <c:axId val="98218752"/>
        <c:axId val="98220288"/>
      </c:barChart>
      <c:catAx>
        <c:axId val="98218752"/>
        <c:scaling>
          <c:orientation val="minMax"/>
        </c:scaling>
        <c:axPos val="b"/>
        <c:numFmt formatCode="General" sourceLinked="1"/>
        <c:majorTickMark val="none"/>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220288"/>
        <c:crosses val="autoZero"/>
        <c:auto val="1"/>
        <c:lblAlgn val="ctr"/>
        <c:lblOffset val="100"/>
      </c:catAx>
      <c:valAx>
        <c:axId val="98220288"/>
        <c:scaling>
          <c:orientation val="minMax"/>
        </c:scaling>
        <c:axPos val="l"/>
        <c:majorGridlines>
          <c:spPr>
            <a:ln>
              <a:solidFill>
                <a:schemeClr val="accent1">
                  <a:lumMod val="20000"/>
                  <a:lumOff val="80000"/>
                </a:schemeClr>
              </a:solidFill>
            </a:ln>
          </c:spPr>
        </c:majorGridlines>
        <c:title>
          <c:tx>
            <c:rich>
              <a:bodyPr/>
              <a:lstStyle/>
              <a:p>
                <a:pPr>
                  <a:defRPr sz="1000" b="1" i="0" u="none" strike="noStrike" baseline="0">
                    <a:solidFill>
                      <a:srgbClr val="000000"/>
                    </a:solidFill>
                    <a:latin typeface="Cambria"/>
                    <a:ea typeface="Cambria"/>
                    <a:cs typeface="Cambria"/>
                  </a:defRPr>
                </a:pPr>
                <a:r>
                  <a:rPr lang="en-US"/>
                  <a:t>Percentage (%)</a:t>
                </a:r>
              </a:p>
            </c:rich>
          </c:tx>
          <c:layout/>
        </c:title>
        <c:numFmt formatCode="0.0" sourceLinked="1"/>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218752"/>
        <c:crosses val="autoZero"/>
        <c:crossBetween val="between"/>
      </c:valAx>
    </c:plotArea>
    <c:legend>
      <c:legendPos val="r"/>
      <c:layout>
        <c:manualLayout>
          <c:xMode val="edge"/>
          <c:yMode val="edge"/>
          <c:x val="0.10335155703790301"/>
          <c:y val="0.79354211405392472"/>
          <c:w val="0.87413746862428254"/>
          <c:h val="9.5069195895967962E-2"/>
        </c:manualLayout>
      </c:layout>
      <c:txPr>
        <a:bodyPr/>
        <a:lstStyle/>
        <a:p>
          <a:pPr>
            <a:defRPr sz="920" b="0" i="0" u="none" strike="noStrike" baseline="0">
              <a:solidFill>
                <a:srgbClr val="000000"/>
              </a:solidFill>
              <a:latin typeface="Cambria"/>
              <a:ea typeface="Cambria"/>
              <a:cs typeface="Cambria"/>
            </a:defRPr>
          </a:pPr>
          <a:endParaRPr lang="en-US"/>
        </a:p>
      </c:txPr>
    </c:legend>
    <c:plotVisOnly val="1"/>
    <c:dispBlanksAs val="gap"/>
  </c:chart>
  <c:spPr>
    <a:ln w="15875">
      <a:solidFill>
        <a:schemeClr val="tx2"/>
      </a:solidFill>
    </a:ln>
  </c:spPr>
  <c:txPr>
    <a:bodyPr/>
    <a:lstStyle/>
    <a:p>
      <a:pPr>
        <a:defRPr sz="1000" b="0" i="0" u="none" strike="noStrike" baseline="0">
          <a:solidFill>
            <a:srgbClr val="000000"/>
          </a:solidFill>
          <a:latin typeface="Cambria"/>
          <a:ea typeface="Cambria"/>
          <a:cs typeface="Cambria"/>
        </a:defRPr>
      </a:pPr>
      <a:endParaRPr lang="en-US"/>
    </a:p>
  </c:txPr>
  <c:printSettings>
    <c:headerFooter/>
    <c:pageMargins b="0.75000000000000722" l="0.70000000000000062" r="0.70000000000000062" t="0.75000000000000722"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1000" b="1" i="0" u="none" strike="noStrike" baseline="0">
                <a:solidFill>
                  <a:srgbClr val="000000"/>
                </a:solidFill>
                <a:latin typeface="Cambria"/>
                <a:ea typeface="Cambria"/>
                <a:cs typeface="Cambria"/>
              </a:defRPr>
            </a:pPr>
            <a:r>
              <a:rPr lang="en-US"/>
              <a:t>Percentage (%) of Live Births that are Non-Marital, by Race of Mother, 2010</a:t>
            </a:r>
          </a:p>
        </c:rich>
      </c:tx>
      <c:layout/>
    </c:title>
    <c:plotArea>
      <c:layout>
        <c:manualLayout>
          <c:layoutTarget val="inner"/>
          <c:xMode val="edge"/>
          <c:yMode val="edge"/>
          <c:x val="0.16587747699420785"/>
          <c:y val="0.19489201410706194"/>
          <c:w val="0.77900977706254604"/>
          <c:h val="0.46818225397622781"/>
        </c:manualLayout>
      </c:layout>
      <c:barChart>
        <c:barDir val="col"/>
        <c:grouping val="clustered"/>
        <c:ser>
          <c:idx val="0"/>
          <c:order val="0"/>
          <c:tx>
            <c:strRef>
              <c:f>Profile!$E$102</c:f>
              <c:strCache>
                <c:ptCount val="1"/>
                <c:pt idx="0">
                  <c:v>Accomack</c:v>
                </c:pt>
              </c:strCache>
            </c:strRef>
          </c:tx>
          <c:spPr>
            <a:solidFill>
              <a:schemeClr val="tx2"/>
            </a:solidFill>
          </c:spPr>
          <c:dLbls>
            <c:txPr>
              <a:bodyPr/>
              <a:lstStyle/>
              <a:p>
                <a:pPr>
                  <a:defRPr sz="800" b="0" i="0" u="none" strike="noStrike" baseline="0">
                    <a:solidFill>
                      <a:srgbClr val="000000"/>
                    </a:solidFill>
                    <a:latin typeface="Cambria"/>
                    <a:ea typeface="Cambria"/>
                    <a:cs typeface="Cambria"/>
                  </a:defRPr>
                </a:pPr>
                <a:endParaRPr lang="en-US"/>
              </a:p>
            </c:txPr>
            <c:dLblPos val="outEnd"/>
            <c:showVal val="1"/>
          </c:dLbls>
          <c:cat>
            <c:strRef>
              <c:f>Profile!$B$104:$B$107</c:f>
              <c:strCache>
                <c:ptCount val="4"/>
                <c:pt idx="0">
                  <c:v>Total</c:v>
                </c:pt>
                <c:pt idx="1">
                  <c:v>White</c:v>
                </c:pt>
                <c:pt idx="2">
                  <c:v>Black</c:v>
                </c:pt>
                <c:pt idx="3">
                  <c:v>Other race</c:v>
                </c:pt>
              </c:strCache>
            </c:strRef>
          </c:cat>
          <c:val>
            <c:numRef>
              <c:f>Profile!$F$104:$F$107</c:f>
              <c:numCache>
                <c:formatCode>0.0</c:formatCode>
                <c:ptCount val="4"/>
                <c:pt idx="0">
                  <c:v>58.891454965357973</c:v>
                </c:pt>
                <c:pt idx="1">
                  <c:v>47.703180212014132</c:v>
                </c:pt>
                <c:pt idx="2">
                  <c:v>80.419580419580413</c:v>
                </c:pt>
                <c:pt idx="3">
                  <c:v>71.428571428571431</c:v>
                </c:pt>
              </c:numCache>
            </c:numRef>
          </c:val>
        </c:ser>
        <c:ser>
          <c:idx val="1"/>
          <c:order val="1"/>
          <c:tx>
            <c:strRef>
              <c:f>Profile!$G$102</c:f>
              <c:strCache>
                <c:ptCount val="1"/>
                <c:pt idx="0">
                  <c:v>Statewide</c:v>
                </c:pt>
              </c:strCache>
            </c:strRef>
          </c:tx>
          <c:dLbls>
            <c:txPr>
              <a:bodyPr/>
              <a:lstStyle/>
              <a:p>
                <a:pPr>
                  <a:defRPr sz="800" b="0" i="0" u="none" strike="noStrike" baseline="0">
                    <a:solidFill>
                      <a:srgbClr val="000000"/>
                    </a:solidFill>
                    <a:latin typeface="Cambria"/>
                    <a:ea typeface="Cambria"/>
                    <a:cs typeface="Cambria"/>
                  </a:defRPr>
                </a:pPr>
                <a:endParaRPr lang="en-US"/>
              </a:p>
            </c:txPr>
            <c:dLblPos val="outEnd"/>
            <c:showVal val="1"/>
          </c:dLbls>
          <c:cat>
            <c:strRef>
              <c:f>Profile!$B$104:$B$107</c:f>
              <c:strCache>
                <c:ptCount val="4"/>
                <c:pt idx="0">
                  <c:v>Total</c:v>
                </c:pt>
                <c:pt idx="1">
                  <c:v>White</c:v>
                </c:pt>
                <c:pt idx="2">
                  <c:v>Black</c:v>
                </c:pt>
                <c:pt idx="3">
                  <c:v>Other race</c:v>
                </c:pt>
              </c:strCache>
            </c:strRef>
          </c:cat>
          <c:val>
            <c:numRef>
              <c:f>Profile!$H$104:$H$107</c:f>
              <c:numCache>
                <c:formatCode>0.0</c:formatCode>
                <c:ptCount val="4"/>
                <c:pt idx="0">
                  <c:v>35.490702780422403</c:v>
                </c:pt>
                <c:pt idx="1">
                  <c:v>27.776019791726597</c:v>
                </c:pt>
                <c:pt idx="2">
                  <c:v>66.326530612244895</c:v>
                </c:pt>
                <c:pt idx="3">
                  <c:v>21.298322392414295</c:v>
                </c:pt>
              </c:numCache>
            </c:numRef>
          </c:val>
        </c:ser>
        <c:dLbls>
          <c:showVal val="1"/>
        </c:dLbls>
        <c:axId val="98140160"/>
        <c:axId val="98141696"/>
      </c:barChart>
      <c:catAx>
        <c:axId val="98140160"/>
        <c:scaling>
          <c:orientation val="minMax"/>
        </c:scaling>
        <c:axPos val="b"/>
        <c:numFmt formatCode="General" sourceLinked="1"/>
        <c:majorTickMark val="none"/>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141696"/>
        <c:crosses val="autoZero"/>
        <c:auto val="1"/>
        <c:lblAlgn val="ctr"/>
        <c:lblOffset val="100"/>
      </c:catAx>
      <c:valAx>
        <c:axId val="98141696"/>
        <c:scaling>
          <c:orientation val="minMax"/>
        </c:scaling>
        <c:axPos val="l"/>
        <c:majorGridlines>
          <c:spPr>
            <a:ln>
              <a:solidFill>
                <a:schemeClr val="bg1">
                  <a:lumMod val="85000"/>
                </a:schemeClr>
              </a:solidFill>
            </a:ln>
          </c:spPr>
        </c:majorGridlines>
        <c:title>
          <c:tx>
            <c:rich>
              <a:bodyPr/>
              <a:lstStyle/>
              <a:p>
                <a:pPr>
                  <a:defRPr sz="1000" b="1" i="0" u="none" strike="noStrike" baseline="0">
                    <a:solidFill>
                      <a:srgbClr val="000000"/>
                    </a:solidFill>
                    <a:latin typeface="Cambria"/>
                    <a:ea typeface="Cambria"/>
                    <a:cs typeface="Cambria"/>
                  </a:defRPr>
                </a:pPr>
                <a:r>
                  <a:rPr lang="en-US"/>
                  <a:t>Percentage (%)</a:t>
                </a:r>
              </a:p>
            </c:rich>
          </c:tx>
          <c:layout/>
        </c:title>
        <c:numFmt formatCode="0.0" sourceLinked="1"/>
        <c:tickLblPos val="nextTo"/>
        <c:txPr>
          <a:bodyPr rot="0" vert="horz"/>
          <a:lstStyle/>
          <a:p>
            <a:pPr>
              <a:defRPr sz="1000" b="0" i="0" u="none" strike="noStrike" baseline="0">
                <a:solidFill>
                  <a:srgbClr val="000000"/>
                </a:solidFill>
                <a:latin typeface="Cambria"/>
                <a:ea typeface="Cambria"/>
                <a:cs typeface="Cambria"/>
              </a:defRPr>
            </a:pPr>
            <a:endParaRPr lang="en-US"/>
          </a:p>
        </c:txPr>
        <c:crossAx val="98140160"/>
        <c:crosses val="autoZero"/>
        <c:crossBetween val="between"/>
      </c:valAx>
    </c:plotArea>
    <c:legend>
      <c:legendPos val="r"/>
      <c:layout>
        <c:manualLayout>
          <c:xMode val="edge"/>
          <c:yMode val="edge"/>
          <c:x val="9.4197973537060775E-2"/>
          <c:y val="0.75773822611796171"/>
          <c:w val="0.75274028961482831"/>
          <c:h val="8.8531273213489969E-2"/>
        </c:manualLayout>
      </c:layout>
      <c:txPr>
        <a:bodyPr/>
        <a:lstStyle/>
        <a:p>
          <a:pPr>
            <a:defRPr sz="920" b="0" i="0" u="none" strike="noStrike" baseline="0">
              <a:solidFill>
                <a:srgbClr val="000000"/>
              </a:solidFill>
              <a:latin typeface="Cambria"/>
              <a:ea typeface="Cambria"/>
              <a:cs typeface="Cambria"/>
            </a:defRPr>
          </a:pPr>
          <a:endParaRPr lang="en-US"/>
        </a:p>
      </c:txPr>
    </c:legend>
    <c:plotVisOnly val="1"/>
    <c:dispBlanksAs val="gap"/>
  </c:chart>
  <c:spPr>
    <a:ln w="15875">
      <a:solidFill>
        <a:schemeClr val="tx2"/>
      </a:solidFill>
    </a:ln>
  </c:spPr>
  <c:txPr>
    <a:bodyPr/>
    <a:lstStyle/>
    <a:p>
      <a:pPr>
        <a:defRPr sz="1000" b="0" i="0" u="none" strike="noStrike" baseline="0">
          <a:solidFill>
            <a:srgbClr val="000000"/>
          </a:solidFill>
          <a:latin typeface="Cambria"/>
          <a:ea typeface="Cambria"/>
          <a:cs typeface="Cambria"/>
        </a:defRPr>
      </a:pPr>
      <a:endParaRPr lang="en-US"/>
    </a:p>
  </c:txPr>
  <c:printSettings>
    <c:headerFooter/>
    <c:pageMargins b="0.75000000000000588" l="0.70000000000000062" r="0.70000000000000062" t="0.75000000000000588"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900" b="1" i="0" u="none" strike="noStrike" baseline="0">
                <a:solidFill>
                  <a:srgbClr val="000000"/>
                </a:solidFill>
                <a:latin typeface="Cambria"/>
                <a:ea typeface="Cambria"/>
                <a:cs typeface="Cambria"/>
              </a:defRPr>
            </a:pPr>
            <a:r>
              <a:rPr lang="en-US"/>
              <a:t>Social Services Spending in Locality by Funding Source, SFY 2011</a:t>
            </a:r>
          </a:p>
        </c:rich>
      </c:tx>
      <c:layout/>
    </c:title>
    <c:plotArea>
      <c:layout>
        <c:manualLayout>
          <c:layoutTarget val="inner"/>
          <c:xMode val="edge"/>
          <c:yMode val="edge"/>
          <c:x val="0.14091903745227485"/>
          <c:y val="0.32544150163048108"/>
          <c:w val="0.26573400887443044"/>
          <c:h val="0.58461465044142202"/>
        </c:manualLayout>
      </c:layout>
      <c:pieChart>
        <c:varyColors val="1"/>
        <c:ser>
          <c:idx val="0"/>
          <c:order val="0"/>
          <c:tx>
            <c:v>Pct of Total SS Spending by Source</c:v>
          </c:tx>
          <c:spPr>
            <a:solidFill>
              <a:schemeClr val="accent1">
                <a:lumMod val="60000"/>
                <a:lumOff val="40000"/>
              </a:schemeClr>
            </a:solidFill>
          </c:spPr>
          <c:dPt>
            <c:idx val="0"/>
            <c:spPr>
              <a:solidFill>
                <a:schemeClr val="accent1">
                  <a:lumMod val="50000"/>
                </a:schemeClr>
              </a:solidFill>
            </c:spPr>
          </c:dPt>
          <c:dPt>
            <c:idx val="1"/>
            <c:spPr>
              <a:solidFill>
                <a:schemeClr val="tx2">
                  <a:lumMod val="60000"/>
                  <a:lumOff val="40000"/>
                </a:schemeClr>
              </a:solidFill>
            </c:spPr>
          </c:dPt>
          <c:dPt>
            <c:idx val="2"/>
            <c:spPr>
              <a:solidFill>
                <a:schemeClr val="accent1">
                  <a:lumMod val="40000"/>
                  <a:lumOff val="60000"/>
                </a:schemeClr>
              </a:solidFill>
            </c:spPr>
          </c:dPt>
          <c:dLbls>
            <c:dLbl>
              <c:idx val="0"/>
              <c:spPr/>
              <c:txPr>
                <a:bodyPr/>
                <a:lstStyle/>
                <a:p>
                  <a:pPr>
                    <a:defRPr sz="900" b="0" i="0" u="none" strike="noStrike" baseline="0">
                      <a:solidFill>
                        <a:srgbClr val="000000"/>
                      </a:solidFill>
                      <a:latin typeface="Calibri"/>
                      <a:ea typeface="Calibri"/>
                      <a:cs typeface="Calibri"/>
                    </a:defRPr>
                  </a:pPr>
                  <a:endParaRPr lang="en-US"/>
                </a:p>
              </c:txPr>
            </c:dLbl>
            <c:dLbl>
              <c:idx val="1"/>
              <c:spPr/>
              <c:txPr>
                <a:bodyPr/>
                <a:lstStyle/>
                <a:p>
                  <a:pPr>
                    <a:defRPr sz="900" b="0" i="0" u="none" strike="noStrike" baseline="0">
                      <a:solidFill>
                        <a:srgbClr val="000000"/>
                      </a:solidFill>
                      <a:latin typeface="Calibri"/>
                      <a:ea typeface="Calibri"/>
                      <a:cs typeface="Calibri"/>
                    </a:defRPr>
                  </a:pPr>
                  <a:endParaRPr lang="en-US"/>
                </a:p>
              </c:txPr>
            </c:dLbl>
            <c:dLbl>
              <c:idx val="2"/>
              <c:spPr/>
              <c:txPr>
                <a:bodyPr/>
                <a:lstStyle/>
                <a:p>
                  <a:pPr>
                    <a:defRPr sz="1050" b="1" i="0" u="none" strike="noStrike" baseline="0">
                      <a:solidFill>
                        <a:srgbClr val="000000"/>
                      </a:solidFill>
                      <a:latin typeface="Calibri"/>
                      <a:ea typeface="Calibri"/>
                      <a:cs typeface="Calibri"/>
                    </a:defRPr>
                  </a:pPr>
                  <a:endParaRPr lang="en-US"/>
                </a:p>
              </c:txPr>
            </c:dLbl>
            <c:txPr>
              <a:bodyPr/>
              <a:lstStyle/>
              <a:p>
                <a:pPr>
                  <a:defRPr sz="1000" b="0" i="0" u="none" strike="noStrike" baseline="0">
                    <a:solidFill>
                      <a:srgbClr val="000000"/>
                    </a:solidFill>
                    <a:latin typeface="Calibri"/>
                    <a:ea typeface="Calibri"/>
                    <a:cs typeface="Calibri"/>
                  </a:defRPr>
                </a:pPr>
                <a:endParaRPr lang="en-US"/>
              </a:p>
            </c:txPr>
            <c:dLblPos val="outEnd"/>
            <c:showVal val="1"/>
            <c:showLeaderLines val="1"/>
          </c:dLbls>
          <c:cat>
            <c:strRef>
              <c:f>Profile!$F$69:$H$69</c:f>
              <c:strCache>
                <c:ptCount val="3"/>
                <c:pt idx="0">
                  <c:v>Federal</c:v>
                </c:pt>
                <c:pt idx="1">
                  <c:v>State</c:v>
                </c:pt>
                <c:pt idx="2">
                  <c:v>Local*</c:v>
                </c:pt>
              </c:strCache>
            </c:strRef>
          </c:cat>
          <c:val>
            <c:numRef>
              <c:f>Profile!$F$88:$H$88</c:f>
              <c:numCache>
                <c:formatCode>0%</c:formatCode>
                <c:ptCount val="3"/>
                <c:pt idx="0">
                  <c:v>0.66214151796636689</c:v>
                </c:pt>
                <c:pt idx="1">
                  <c:v>0.32612015016177054</c:v>
                </c:pt>
                <c:pt idx="2">
                  <c:v>1.1738331871862335E-2</c:v>
                </c:pt>
              </c:numCache>
            </c:numRef>
          </c:val>
        </c:ser>
        <c:dLbls>
          <c:showVal val="1"/>
        </c:dLbls>
        <c:firstSliceAng val="0"/>
      </c:pieChart>
      <c:spPr>
        <a:noFill/>
        <a:ln w="25400">
          <a:noFill/>
        </a:ln>
      </c:spPr>
    </c:plotArea>
    <c:legend>
      <c:legendPos val="r"/>
      <c:layout>
        <c:manualLayout>
          <c:xMode val="edge"/>
          <c:yMode val="edge"/>
          <c:x val="0.59341764097669547"/>
          <c:y val="0.30468351339803473"/>
          <c:w val="0.25619805788739336"/>
          <c:h val="0.41221876335225521"/>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zero"/>
  </c:chart>
  <c:spPr>
    <a:ln w="15875">
      <a:solidFill>
        <a:schemeClr val="accent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477" l="0.70000000000000062" r="0.70000000000000062" t="0.75000000000000477"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1"/>
  <c:style val="3"/>
  <c:chart>
    <c:title>
      <c:tx>
        <c:rich>
          <a:bodyPr/>
          <a:lstStyle/>
          <a:p>
            <a:pPr>
              <a:defRPr sz="900" b="1" i="0" u="none" strike="noStrike" baseline="0">
                <a:solidFill>
                  <a:srgbClr val="000000"/>
                </a:solidFill>
                <a:latin typeface="Cambria"/>
                <a:ea typeface="Cambria"/>
                <a:cs typeface="Cambria"/>
              </a:defRPr>
            </a:pPr>
            <a:r>
              <a:rPr lang="en-US"/>
              <a:t>Administrative Costs as a Percent of Total Spending in Locality, SFY 2011</a:t>
            </a:r>
          </a:p>
        </c:rich>
      </c:tx>
      <c:layout/>
    </c:title>
    <c:plotArea>
      <c:layout>
        <c:manualLayout>
          <c:layoutTarget val="inner"/>
          <c:xMode val="edge"/>
          <c:yMode val="edge"/>
          <c:x val="0.12497022589480858"/>
          <c:y val="0.32247143308793941"/>
          <c:w val="0.27403319737387438"/>
          <c:h val="0.56743597850142269"/>
        </c:manualLayout>
      </c:layout>
      <c:pieChart>
        <c:varyColors val="1"/>
        <c:ser>
          <c:idx val="0"/>
          <c:order val="0"/>
          <c:tx>
            <c:v>Pct of Total SS Spending in Locality: Administration vs. Benefits</c:v>
          </c:tx>
          <c:dPt>
            <c:idx val="0"/>
            <c:spPr>
              <a:solidFill>
                <a:schemeClr val="accent1">
                  <a:lumMod val="50000"/>
                </a:schemeClr>
              </a:solidFill>
            </c:spPr>
          </c:dPt>
          <c:dLbls>
            <c:dLbl>
              <c:idx val="0"/>
              <c:layout>
                <c:manualLayout>
                  <c:x val="-5.7803485747420877E-2"/>
                  <c:y val="-1.6064257028112521E-2"/>
                </c:manualLayout>
              </c:layout>
              <c:spPr/>
              <c:txPr>
                <a:bodyPr/>
                <a:lstStyle/>
                <a:p>
                  <a:pPr>
                    <a:defRPr sz="1050" b="1" i="0" u="none" strike="noStrike" baseline="0">
                      <a:solidFill>
                        <a:srgbClr val="000000"/>
                      </a:solidFill>
                      <a:latin typeface="Calibri"/>
                      <a:ea typeface="Calibri"/>
                      <a:cs typeface="Calibri"/>
                    </a:defRPr>
                  </a:pPr>
                  <a:endParaRPr lang="en-US"/>
                </a:p>
              </c:txPr>
              <c:dLblPos val="bestFit"/>
              <c:showVal val="1"/>
            </c:dLbl>
            <c:dLbl>
              <c:idx val="1"/>
              <c:layout>
                <c:manualLayout>
                  <c:x val="1.5414262865978738E-2"/>
                  <c:y val="0"/>
                </c:manualLayout>
              </c:layout>
              <c:spPr/>
              <c:txPr>
                <a:bodyPr/>
                <a:lstStyle/>
                <a:p>
                  <a:pPr>
                    <a:defRPr sz="900" b="0" i="0" u="none" strike="noStrike" baseline="0">
                      <a:solidFill>
                        <a:srgbClr val="000000"/>
                      </a:solidFill>
                      <a:latin typeface="Calibri"/>
                      <a:ea typeface="Calibri"/>
                      <a:cs typeface="Calibri"/>
                    </a:defRPr>
                  </a:pPr>
                  <a:endParaRPr lang="en-US"/>
                </a:p>
              </c:txPr>
              <c:dLblPos val="bestFit"/>
              <c:showVal val="1"/>
            </c:dLbl>
            <c:txPr>
              <a:bodyPr/>
              <a:lstStyle/>
              <a:p>
                <a:pPr>
                  <a:defRPr sz="1000" b="0" i="0" u="none" strike="noStrike" baseline="0">
                    <a:solidFill>
                      <a:srgbClr val="000000"/>
                    </a:solidFill>
                    <a:latin typeface="Calibri"/>
                    <a:ea typeface="Calibri"/>
                    <a:cs typeface="Calibri"/>
                  </a:defRPr>
                </a:pPr>
                <a:endParaRPr lang="en-US"/>
              </a:p>
            </c:txPr>
            <c:dLblPos val="outEnd"/>
            <c:showVal val="1"/>
            <c:showLeaderLines val="1"/>
          </c:dLbls>
          <c:cat>
            <c:strRef>
              <c:f>Profile!$V$76:$W$76</c:f>
              <c:strCache>
                <c:ptCount val="2"/>
                <c:pt idx="0">
                  <c:v>Administration</c:v>
                </c:pt>
                <c:pt idx="1">
                  <c:v>Benefits &amp; Services*</c:v>
                </c:pt>
              </c:strCache>
            </c:strRef>
          </c:cat>
          <c:val>
            <c:numRef>
              <c:f>Profile!$V$80:$W$80</c:f>
              <c:numCache>
                <c:formatCode>0%</c:formatCode>
                <c:ptCount val="2"/>
                <c:pt idx="0">
                  <c:v>5.161712770955558E-2</c:v>
                </c:pt>
                <c:pt idx="1">
                  <c:v>0.94838287229044449</c:v>
                </c:pt>
              </c:numCache>
            </c:numRef>
          </c:val>
        </c:ser>
        <c:dLbls>
          <c:showVal val="1"/>
        </c:dLbls>
        <c:firstSliceAng val="0"/>
      </c:pieChart>
      <c:spPr>
        <a:noFill/>
        <a:ln w="25400">
          <a:noFill/>
        </a:ln>
      </c:spPr>
    </c:plotArea>
    <c:legend>
      <c:legendPos val="r"/>
      <c:layout>
        <c:manualLayout>
          <c:xMode val="edge"/>
          <c:yMode val="edge"/>
          <c:x val="0.55699435077540549"/>
          <c:y val="0.39164006138576973"/>
          <c:w val="0.39442987909059801"/>
          <c:h val="0.30084591885030737"/>
        </c:manualLayout>
      </c:layout>
      <c:txPr>
        <a:bodyPr/>
        <a:lstStyle/>
        <a:p>
          <a:pPr>
            <a:defRPr sz="920" b="0" i="0" u="none" strike="noStrike" baseline="0">
              <a:solidFill>
                <a:srgbClr val="000000"/>
              </a:solidFill>
              <a:latin typeface="Calibri"/>
              <a:ea typeface="Calibri"/>
              <a:cs typeface="Calibri"/>
            </a:defRPr>
          </a:pPr>
          <a:endParaRPr lang="en-US"/>
        </a:p>
      </c:txPr>
    </c:legend>
    <c:plotVisOnly val="1"/>
    <c:dispBlanksAs val="zero"/>
  </c:chart>
  <c:spPr>
    <a:ln w="15875">
      <a:solidFill>
        <a:srgbClr val="4F81BD"/>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http://dssdw.vita.virginia.gov:80/crn/common/images/filter.gif" TargetMode="External"/></Relationships>
</file>

<file path=xl/drawings/drawing1.xml><?xml version="1.0" encoding="utf-8"?>
<xdr:wsDr xmlns:xdr="http://schemas.openxmlformats.org/drawingml/2006/spreadsheetDrawing" xmlns:a="http://schemas.openxmlformats.org/drawingml/2006/main">
  <xdr:twoCellAnchor>
    <xdr:from>
      <xdr:col>9</xdr:col>
      <xdr:colOff>76200</xdr:colOff>
      <xdr:row>11</xdr:row>
      <xdr:rowOff>0</xdr:rowOff>
    </xdr:from>
    <xdr:to>
      <xdr:col>13</xdr:col>
      <xdr:colOff>457200</xdr:colOff>
      <xdr:row>22</xdr:row>
      <xdr:rowOff>390525</xdr:rowOff>
    </xdr:to>
    <xdr:graphicFrame macro="">
      <xdr:nvGraphicFramePr>
        <xdr:cNvPr id="92980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133350</xdr:colOff>
      <xdr:row>56</xdr:row>
      <xdr:rowOff>85725</xdr:rowOff>
    </xdr:from>
    <xdr:to>
      <xdr:col>13</xdr:col>
      <xdr:colOff>123825</xdr:colOff>
      <xdr:row>67</xdr:row>
      <xdr:rowOff>66675</xdr:rowOff>
    </xdr:to>
    <xdr:graphicFrame macro="">
      <xdr:nvGraphicFramePr>
        <xdr:cNvPr id="92980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76200</xdr:colOff>
      <xdr:row>22</xdr:row>
      <xdr:rowOff>409575</xdr:rowOff>
    </xdr:from>
    <xdr:to>
      <xdr:col>13</xdr:col>
      <xdr:colOff>457200</xdr:colOff>
      <xdr:row>37</xdr:row>
      <xdr:rowOff>114300</xdr:rowOff>
    </xdr:to>
    <xdr:graphicFrame macro="">
      <xdr:nvGraphicFramePr>
        <xdr:cNvPr id="92980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342900</xdr:colOff>
      <xdr:row>108</xdr:row>
      <xdr:rowOff>57150</xdr:rowOff>
    </xdr:from>
    <xdr:to>
      <xdr:col>13</xdr:col>
      <xdr:colOff>514350</xdr:colOff>
      <xdr:row>121</xdr:row>
      <xdr:rowOff>95250</xdr:rowOff>
    </xdr:to>
    <xdr:graphicFrame macro="">
      <xdr:nvGraphicFramePr>
        <xdr:cNvPr id="92980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47625</xdr:colOff>
      <xdr:row>108</xdr:row>
      <xdr:rowOff>38100</xdr:rowOff>
    </xdr:from>
    <xdr:to>
      <xdr:col>8</xdr:col>
      <xdr:colOff>38100</xdr:colOff>
      <xdr:row>121</xdr:row>
      <xdr:rowOff>85725</xdr:rowOff>
    </xdr:to>
    <xdr:graphicFrame macro="">
      <xdr:nvGraphicFramePr>
        <xdr:cNvPr id="929804"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95250</xdr:colOff>
      <xdr:row>68</xdr:row>
      <xdr:rowOff>85725</xdr:rowOff>
    </xdr:from>
    <xdr:to>
      <xdr:col>13</xdr:col>
      <xdr:colOff>133350</xdr:colOff>
      <xdr:row>76</xdr:row>
      <xdr:rowOff>85725</xdr:rowOff>
    </xdr:to>
    <xdr:graphicFrame macro="">
      <xdr:nvGraphicFramePr>
        <xdr:cNvPr id="929805"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104775</xdr:colOff>
      <xdr:row>76</xdr:row>
      <xdr:rowOff>161925</xdr:rowOff>
    </xdr:from>
    <xdr:to>
      <xdr:col>13</xdr:col>
      <xdr:colOff>123825</xdr:colOff>
      <xdr:row>86</xdr:row>
      <xdr:rowOff>95250</xdr:rowOff>
    </xdr:to>
    <xdr:graphicFrame macro="">
      <xdr:nvGraphicFramePr>
        <xdr:cNvPr id="92980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0.02606</cdr:x>
      <cdr:y>0.8902</cdr:y>
    </cdr:from>
    <cdr:to>
      <cdr:x>0.98191</cdr:x>
      <cdr:y>0.9875</cdr:y>
    </cdr:to>
    <cdr:sp macro="" textlink="">
      <cdr:nvSpPr>
        <cdr:cNvPr id="3" name="TextBox 2"/>
        <cdr:cNvSpPr txBox="1"/>
      </cdr:nvSpPr>
      <cdr:spPr>
        <a:xfrm xmlns:a="http://schemas.openxmlformats.org/drawingml/2006/main">
          <a:off x="99040" y="2162174"/>
          <a:ext cx="3632684" cy="236339"/>
        </a:xfrm>
        <a:prstGeom xmlns:a="http://schemas.openxmlformats.org/drawingml/2006/main" prst="rect">
          <a:avLst/>
        </a:prstGeom>
      </cdr:spPr>
      <cdr:txBody>
        <a:bodyPr xmlns:a="http://schemas.openxmlformats.org/drawingml/2006/main" vertOverflow="clip" wrap="none" lIns="0" tIns="0" rIns="0" bIns="0" rtlCol="0" anchor="t" anchorCtr="0"/>
        <a:lstStyle xmlns:a="http://schemas.openxmlformats.org/drawingml/2006/main"/>
        <a:p xmlns:a="http://schemas.openxmlformats.org/drawingml/2006/main">
          <a:r>
            <a:rPr lang="en-US" sz="800">
              <a:latin typeface="+mj-lt"/>
              <a:cs typeface="Arial" pitchFamily="34" charset="0"/>
            </a:rPr>
            <a:t>Source: Virginia Employment Commission.</a:t>
          </a:r>
          <a:r>
            <a:rPr lang="en-US" sz="800" baseline="0">
              <a:latin typeface="+mj-lt"/>
              <a:cs typeface="Arial" pitchFamily="34" charset="0"/>
            </a:rPr>
            <a:t>  </a:t>
          </a:r>
          <a:endParaRPr lang="en-US" sz="800">
            <a:latin typeface="+mj-lt"/>
            <a:cs typeface="Arial"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0.00829</cdr:x>
      <cdr:y>0.891</cdr:y>
    </cdr:from>
    <cdr:to>
      <cdr:x>0.46409</cdr:x>
      <cdr:y>1</cdr:y>
    </cdr:to>
    <cdr:sp macro="" textlink="">
      <cdr:nvSpPr>
        <cdr:cNvPr id="2" name="TextBox 1"/>
        <cdr:cNvSpPr txBox="1"/>
      </cdr:nvSpPr>
      <cdr:spPr>
        <a:xfrm xmlns:a="http://schemas.openxmlformats.org/drawingml/2006/main">
          <a:off x="24873" y="1816170"/>
          <a:ext cx="1367571" cy="22218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800">
              <a:latin typeface="Arial" pitchFamily="34" charset="0"/>
              <a:cs typeface="Arial" pitchFamily="34" charset="0"/>
            </a:rPr>
            <a:t>Source: VDSS, Data Warehouse, ADAPT SFY Client Analysis</a:t>
          </a:r>
          <a:r>
            <a:rPr lang="en-US" sz="800" baseline="0">
              <a:latin typeface="Arial" pitchFamily="34" charset="0"/>
              <a:cs typeface="Arial" pitchFamily="34" charset="0"/>
            </a:rPr>
            <a:t>.</a:t>
          </a:r>
          <a:endParaRPr lang="en-US" sz="800">
            <a:latin typeface="Arial" pitchFamily="34" charset="0"/>
            <a:cs typeface="Arial"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0.06118</cdr:x>
      <cdr:y>0.88686</cdr:y>
    </cdr:from>
    <cdr:to>
      <cdr:x>0.99335</cdr:x>
      <cdr:y>1</cdr:y>
    </cdr:to>
    <cdr:sp macro="" textlink="">
      <cdr:nvSpPr>
        <cdr:cNvPr id="2" name="TextBox 1"/>
        <cdr:cNvSpPr txBox="1"/>
      </cdr:nvSpPr>
      <cdr:spPr>
        <a:xfrm xmlns:a="http://schemas.openxmlformats.org/drawingml/2006/main">
          <a:off x="262816" y="2314575"/>
          <a:ext cx="4004385" cy="2952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a:p>
      </cdr:txBody>
    </cdr:sp>
  </cdr:relSizeAnchor>
  <cdr:relSizeAnchor xmlns:cdr="http://schemas.openxmlformats.org/drawingml/2006/chartDrawing">
    <cdr:from>
      <cdr:x>0.02638</cdr:x>
      <cdr:y>0.91602</cdr:y>
    </cdr:from>
    <cdr:to>
      <cdr:x>0.94195</cdr:x>
      <cdr:y>0.98113</cdr:y>
    </cdr:to>
    <cdr:sp macro="" textlink="">
      <cdr:nvSpPr>
        <cdr:cNvPr id="3" name="TextBox 2"/>
        <cdr:cNvSpPr txBox="1"/>
      </cdr:nvSpPr>
      <cdr:spPr>
        <a:xfrm xmlns:a="http://schemas.openxmlformats.org/drawingml/2006/main">
          <a:off x="95249" y="2312145"/>
          <a:ext cx="3305175" cy="164356"/>
        </a:xfrm>
        <a:prstGeom xmlns:a="http://schemas.openxmlformats.org/drawingml/2006/main" prst="rect">
          <a:avLst/>
        </a:prstGeom>
      </cdr:spPr>
      <cdr:txBody>
        <a:bodyPr xmlns:a="http://schemas.openxmlformats.org/drawingml/2006/main" vertOverflow="clip" wrap="none" lIns="0" tIns="0" rIns="0" bIns="0" rtlCol="0"/>
        <a:lstStyle xmlns:a="http://schemas.openxmlformats.org/drawingml/2006/main"/>
        <a:p xmlns:a="http://schemas.openxmlformats.org/drawingml/2006/main">
          <a:r>
            <a:rPr lang="en-US" sz="700">
              <a:latin typeface="Arial" pitchFamily="34" charset="0"/>
              <a:cs typeface="Arial" pitchFamily="34" charset="0"/>
            </a:rPr>
            <a:t>Source:</a:t>
          </a:r>
          <a:r>
            <a:rPr lang="en-US" sz="700" baseline="0">
              <a:latin typeface="Arial" pitchFamily="34" charset="0"/>
              <a:cs typeface="Arial" pitchFamily="34" charset="0"/>
            </a:rPr>
            <a:t> Census Bureau, Small Area Income and </a:t>
          </a:r>
          <a:r>
            <a:rPr lang="en-US" sz="700" baseline="0">
              <a:latin typeface="+mj-lt"/>
              <a:cs typeface="Arial" pitchFamily="34" charset="0"/>
            </a:rPr>
            <a:t>Poverty</a:t>
          </a:r>
          <a:r>
            <a:rPr lang="en-US" sz="700" baseline="0">
              <a:latin typeface="Arial" pitchFamily="34" charset="0"/>
              <a:cs typeface="Arial" pitchFamily="34" charset="0"/>
            </a:rPr>
            <a:t> Estimates.</a:t>
          </a:r>
          <a:endParaRPr lang="en-US" sz="700">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0.02473</cdr:x>
      <cdr:y>0.89608</cdr:y>
    </cdr:from>
    <cdr:to>
      <cdr:x>0.95954</cdr:x>
      <cdr:y>1</cdr:y>
    </cdr:to>
    <cdr:sp macro="" textlink="">
      <cdr:nvSpPr>
        <cdr:cNvPr id="2" name="TextBox 1"/>
        <cdr:cNvSpPr txBox="1"/>
      </cdr:nvSpPr>
      <cdr:spPr>
        <a:xfrm xmlns:a="http://schemas.openxmlformats.org/drawingml/2006/main">
          <a:off x="85725" y="1924050"/>
          <a:ext cx="3241109" cy="2207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a:t>Source: U.S. Census Bureau, 2010 Census Summary File</a:t>
          </a:r>
          <a:r>
            <a:rPr lang="en-US" sz="800" baseline="0"/>
            <a:t> 1 (Table P31).</a:t>
          </a:r>
          <a:endParaRPr lang="en-US" sz="800"/>
        </a:p>
      </cdr:txBody>
    </cdr:sp>
  </cdr:relSizeAnchor>
</c:userShapes>
</file>

<file path=xl/drawings/drawing6.xml><?xml version="1.0" encoding="utf-8"?>
<c:userShapes xmlns:c="http://schemas.openxmlformats.org/drawingml/2006/chart">
  <cdr:relSizeAnchor xmlns:cdr="http://schemas.openxmlformats.org/drawingml/2006/chartDrawing">
    <cdr:from>
      <cdr:x>0.03473</cdr:x>
      <cdr:y>0.84706</cdr:y>
    </cdr:from>
    <cdr:to>
      <cdr:x>0.95973</cdr:x>
      <cdr:y>0.98824</cdr:y>
    </cdr:to>
    <cdr:sp macro="" textlink="">
      <cdr:nvSpPr>
        <cdr:cNvPr id="2" name="TextBox 1"/>
        <cdr:cNvSpPr txBox="1"/>
      </cdr:nvSpPr>
      <cdr:spPr>
        <a:xfrm xmlns:a="http://schemas.openxmlformats.org/drawingml/2006/main">
          <a:off x="135969" y="2057401"/>
          <a:ext cx="3621167" cy="3429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t>Source: Virginia Department of Health, Division of Health Statistics.</a:t>
          </a:r>
          <a:r>
            <a:rPr lang="en-US" sz="800" baseline="0"/>
            <a:t> Refers to live births among females aged 15-44 years.</a:t>
          </a:r>
          <a:endParaRPr lang="en-US" sz="800"/>
        </a:p>
      </cdr:txBody>
    </cdr:sp>
  </cdr:relSizeAnchor>
</c:userShapes>
</file>

<file path=xl/drawings/drawing7.xml><?xml version="1.0" encoding="utf-8"?>
<c:userShapes xmlns:c="http://schemas.openxmlformats.org/drawingml/2006/chart">
  <cdr:relSizeAnchor xmlns:cdr="http://schemas.openxmlformats.org/drawingml/2006/chartDrawing">
    <cdr:from>
      <cdr:x>0.5427</cdr:x>
      <cdr:y>0.74419</cdr:y>
    </cdr:from>
    <cdr:to>
      <cdr:x>0.97796</cdr:x>
      <cdr:y>0.96512</cdr:y>
    </cdr:to>
    <cdr:sp macro="" textlink="">
      <cdr:nvSpPr>
        <cdr:cNvPr id="2" name="TextBox 1"/>
        <cdr:cNvSpPr txBox="1"/>
      </cdr:nvSpPr>
      <cdr:spPr>
        <a:xfrm xmlns:a="http://schemas.openxmlformats.org/drawingml/2006/main">
          <a:off x="1876424" y="1219201"/>
          <a:ext cx="15049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800"/>
            <a:t>* Includes local spending that is not reimburseable.	</a:t>
          </a:r>
        </a:p>
      </cdr:txBody>
    </cdr:sp>
  </cdr:relSizeAnchor>
</c:userShapes>
</file>

<file path=xl/drawings/drawing8.xml><?xml version="1.0" encoding="utf-8"?>
<c:userShapes xmlns:c="http://schemas.openxmlformats.org/drawingml/2006/chart">
  <cdr:relSizeAnchor xmlns:cdr="http://schemas.openxmlformats.org/drawingml/2006/chartDrawing">
    <cdr:from>
      <cdr:x>0.41643</cdr:x>
      <cdr:y>0.74961</cdr:y>
    </cdr:from>
    <cdr:to>
      <cdr:x>0.97712</cdr:x>
      <cdr:y>0.91976</cdr:y>
    </cdr:to>
    <cdr:sp macro="" textlink="">
      <cdr:nvSpPr>
        <cdr:cNvPr id="2" name="TextBox 8"/>
        <cdr:cNvSpPr txBox="1"/>
      </cdr:nvSpPr>
      <cdr:spPr>
        <a:xfrm xmlns:a="http://schemas.openxmlformats.org/drawingml/2006/main">
          <a:off x="1431890" y="1378640"/>
          <a:ext cx="1927959" cy="307285"/>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r>
            <a:rPr lang="en-US" sz="800"/>
            <a:t>Source: LASER, annual financial</a:t>
          </a:r>
          <a:r>
            <a:rPr lang="en-US" sz="800" baseline="0"/>
            <a:t> reports.</a:t>
          </a:r>
        </a:p>
        <a:p xmlns:a="http://schemas.openxmlformats.org/drawingml/2006/main">
          <a:r>
            <a:rPr lang="en-US" sz="800" baseline="0"/>
            <a:t>* Includes services purchased for clients.	</a:t>
          </a:r>
          <a:endParaRPr lang="en-US" sz="800"/>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152400</xdr:colOff>
      <xdr:row>0</xdr:row>
      <xdr:rowOff>152400</xdr:rowOff>
    </xdr:to>
    <xdr:pic>
      <xdr:nvPicPr>
        <xdr:cNvPr id="941058" name="Picture 1" descr="http://dssdw.vita.virginia.gov:80/crn/common/images/filter.gif"/>
        <xdr:cNvPicPr>
          <a:picLocks noChangeAspect="1" noChangeArrowheads="1"/>
        </xdr:cNvPicPr>
      </xdr:nvPicPr>
      <xdr:blipFill>
        <a:blip xmlns:r="http://schemas.openxmlformats.org/officeDocument/2006/relationships" r:link="rId1" cstate="print"/>
        <a:srcRect/>
        <a:stretch>
          <a:fillRect/>
        </a:stretch>
      </xdr:blipFill>
      <xdr:spPr bwMode="auto">
        <a:xfrm>
          <a:off x="342900" y="0"/>
          <a:ext cx="152400" cy="152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trategy_Management/Gail/Shaping%20the%20Future%20Summit_April%202012/Data/Locality%20Data%20for%20Conference.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ofile"/>
      <sheetName val="Locality Name"/>
      <sheetName val="2010 Population"/>
      <sheetName val="Income to Poverty Ratio"/>
      <sheetName val="Poverty Rate"/>
      <sheetName val="Unemployment Rate"/>
      <sheetName val="Children in Single-Parent Homes"/>
      <sheetName val="Non-Marital Births"/>
      <sheetName val="Teen Births"/>
      <sheetName val="Teen Pregnancies"/>
      <sheetName val="2011 Health-Welfare Exp"/>
      <sheetName val="2010 Welfare Local Expenditures"/>
      <sheetName val="2005-2010 Expenditures"/>
      <sheetName val="2010 Demographic-Tax Data"/>
      <sheetName val="Revenue Capacity per capita"/>
      <sheetName val="Revenue Effort"/>
      <sheetName val="Sheet1"/>
      <sheetName val="Fiscal Stress Index"/>
      <sheetName val="Household Income"/>
      <sheetName val="2010 Poverty &amp; Median Income"/>
      <sheetName val="HR Policy Deviation Status"/>
      <sheetName val="Agency Level"/>
      <sheetName val="IT Support"/>
    </sheetNames>
    <sheetDataSet>
      <sheetData sheetId="0"/>
      <sheetData sheetId="1"/>
      <sheetData sheetId="2"/>
      <sheetData sheetId="3"/>
      <sheetData sheetId="4"/>
      <sheetData sheetId="5"/>
      <sheetData sheetId="6">
        <row r="6">
          <cell r="A6" t="str">
            <v>001</v>
          </cell>
          <cell r="B6" t="str">
            <v>Accomack County</v>
          </cell>
          <cell r="C6" t="str">
            <v>Eastern</v>
          </cell>
          <cell r="D6">
            <v>2089</v>
          </cell>
          <cell r="E6">
            <v>869</v>
          </cell>
          <cell r="F6">
            <v>1026</v>
          </cell>
          <cell r="G6">
            <v>245</v>
          </cell>
          <cell r="H6">
            <v>0.37006200177147919</v>
          </cell>
          <cell r="I6">
            <v>0.25588928150765605</v>
          </cell>
          <cell r="J6">
            <v>0.65895953757225434</v>
          </cell>
          <cell r="K6">
            <v>0.26601520086862107</v>
          </cell>
        </row>
        <row r="7">
          <cell r="A7" t="str">
            <v>003</v>
          </cell>
          <cell r="B7" t="str">
            <v>Albemarle County</v>
          </cell>
          <cell r="C7" t="str">
            <v>Piedmont</v>
          </cell>
          <cell r="D7">
            <v>4442</v>
          </cell>
          <cell r="E7">
            <v>2663</v>
          </cell>
          <cell r="F7">
            <v>1081</v>
          </cell>
          <cell r="G7">
            <v>461</v>
          </cell>
          <cell r="H7">
            <v>0.22686414708886618</v>
          </cell>
          <cell r="I7">
            <v>0.17462295081967213</v>
          </cell>
          <cell r="J7">
            <v>0.60458612975391501</v>
          </cell>
          <cell r="K7">
            <v>0.31532147742818056</v>
          </cell>
        </row>
        <row r="8">
          <cell r="A8" t="str">
            <v>005</v>
          </cell>
          <cell r="B8" t="str">
            <v>Alleghany County</v>
          </cell>
          <cell r="C8" t="str">
            <v>Piedmont</v>
          </cell>
          <cell r="D8">
            <v>850</v>
          </cell>
          <cell r="E8">
            <v>688</v>
          </cell>
          <cell r="F8">
            <v>92</v>
          </cell>
          <cell r="G8">
            <v>13</v>
          </cell>
          <cell r="H8">
            <v>0.27850589777195284</v>
          </cell>
          <cell r="I8">
            <v>0.24659498207885305</v>
          </cell>
          <cell r="J8">
            <v>0.71875</v>
          </cell>
          <cell r="K8">
            <v>0.27659574468085107</v>
          </cell>
        </row>
        <row r="9">
          <cell r="A9" t="str">
            <v>007</v>
          </cell>
          <cell r="B9" t="str">
            <v>Amelia County</v>
          </cell>
          <cell r="C9" t="str">
            <v>Central</v>
          </cell>
          <cell r="D9">
            <v>628</v>
          </cell>
          <cell r="E9">
            <v>381</v>
          </cell>
          <cell r="F9">
            <v>210</v>
          </cell>
          <cell r="G9">
            <v>19</v>
          </cell>
          <cell r="H9">
            <v>0.27057302886686774</v>
          </cell>
          <cell r="I9">
            <v>0.21428571428571427</v>
          </cell>
          <cell r="J9">
            <v>0.50847457627118642</v>
          </cell>
          <cell r="K9">
            <v>0.24050632911392406</v>
          </cell>
        </row>
        <row r="10">
          <cell r="A10" t="str">
            <v>009</v>
          </cell>
          <cell r="B10" t="str">
            <v>Amherst County</v>
          </cell>
          <cell r="C10" t="str">
            <v>Piedmont</v>
          </cell>
          <cell r="D10">
            <v>1922</v>
          </cell>
          <cell r="E10">
            <v>1150</v>
          </cell>
          <cell r="F10">
            <v>576</v>
          </cell>
          <cell r="G10">
            <v>54</v>
          </cell>
          <cell r="H10">
            <v>0.32156600301154425</v>
          </cell>
          <cell r="I10">
            <v>0.25601068566340163</v>
          </cell>
          <cell r="J10">
            <v>0.55491329479768781</v>
          </cell>
          <cell r="K10">
            <v>0.31952662721893493</v>
          </cell>
        </row>
        <row r="11">
          <cell r="A11" t="str">
            <v>011</v>
          </cell>
          <cell r="B11" t="str">
            <v>Appomattox County</v>
          </cell>
          <cell r="C11" t="str">
            <v>Piedmont</v>
          </cell>
          <cell r="D11">
            <v>845</v>
          </cell>
          <cell r="E11">
            <v>448</v>
          </cell>
          <cell r="F11">
            <v>342</v>
          </cell>
          <cell r="G11">
            <v>20</v>
          </cell>
          <cell r="H11">
            <v>0.29900920028308564</v>
          </cell>
          <cell r="I11">
            <v>0.21222169587873047</v>
          </cell>
          <cell r="J11">
            <v>0.58864027538726338</v>
          </cell>
          <cell r="K11">
            <v>0.41666666666666669</v>
          </cell>
        </row>
        <row r="12">
          <cell r="A12" t="str">
            <v>013</v>
          </cell>
          <cell r="B12" t="str">
            <v>Arlington County</v>
          </cell>
          <cell r="C12" t="str">
            <v>Northern</v>
          </cell>
          <cell r="D12">
            <v>5359</v>
          </cell>
          <cell r="E12">
            <v>2466</v>
          </cell>
          <cell r="F12">
            <v>1226</v>
          </cell>
          <cell r="G12">
            <v>1695</v>
          </cell>
          <cell r="H12">
            <v>0.17767389430409125</v>
          </cell>
          <cell r="I12">
            <v>0.12401307518229822</v>
          </cell>
          <cell r="J12">
            <v>0.46704761904761904</v>
          </cell>
          <cell r="K12">
            <v>0.2775049115913556</v>
          </cell>
        </row>
        <row r="13">
          <cell r="A13" t="str">
            <v>015</v>
          </cell>
          <cell r="B13" t="str">
            <v>Augusta County</v>
          </cell>
          <cell r="C13" t="str">
            <v>Piedmont</v>
          </cell>
          <cell r="D13">
            <v>3145</v>
          </cell>
          <cell r="E13">
            <v>2746</v>
          </cell>
          <cell r="F13">
            <v>146</v>
          </cell>
          <cell r="G13">
            <v>140</v>
          </cell>
          <cell r="H13">
            <v>0.22720705100419014</v>
          </cell>
          <cell r="I13">
            <v>0.21399625935162095</v>
          </cell>
          <cell r="J13">
            <v>0.44108761329305135</v>
          </cell>
          <cell r="K13">
            <v>0.25925925925925924</v>
          </cell>
        </row>
        <row r="14">
          <cell r="A14" t="str">
            <v>017</v>
          </cell>
          <cell r="B14" t="str">
            <v>Bath County</v>
          </cell>
          <cell r="C14" t="str">
            <v>Piedmont</v>
          </cell>
          <cell r="D14">
            <v>162</v>
          </cell>
          <cell r="E14">
            <v>142</v>
          </cell>
          <cell r="F14">
            <v>7</v>
          </cell>
          <cell r="G14">
            <v>8</v>
          </cell>
          <cell r="H14">
            <v>0.22816901408450704</v>
          </cell>
          <cell r="I14">
            <v>0.21385542168674698</v>
          </cell>
          <cell r="J14">
            <v>0.29166666666666669</v>
          </cell>
          <cell r="K14">
            <v>0.27586206896551724</v>
          </cell>
        </row>
        <row r="15">
          <cell r="A15" t="str">
            <v>019</v>
          </cell>
          <cell r="B15" t="str">
            <v>Bedford County</v>
          </cell>
          <cell r="C15" t="str">
            <v>Piedmont</v>
          </cell>
          <cell r="D15">
            <v>2553</v>
          </cell>
          <cell r="E15">
            <v>2164</v>
          </cell>
          <cell r="F15">
            <v>223</v>
          </cell>
          <cell r="G15">
            <v>97</v>
          </cell>
          <cell r="H15">
            <v>0.18526850507982584</v>
          </cell>
          <cell r="I15">
            <v>0.17346693386773548</v>
          </cell>
          <cell r="J15">
            <v>0.36738056013179571</v>
          </cell>
          <cell r="K15">
            <v>0.26145552560646901</v>
          </cell>
        </row>
        <row r="16">
          <cell r="A16" t="str">
            <v>021</v>
          </cell>
          <cell r="B16" t="str">
            <v>Bland County</v>
          </cell>
          <cell r="C16" t="str">
            <v>Western</v>
          </cell>
          <cell r="D16">
            <v>216</v>
          </cell>
          <cell r="E16">
            <v>211</v>
          </cell>
          <cell r="F16">
            <v>3</v>
          </cell>
          <cell r="G16">
            <v>2</v>
          </cell>
          <cell r="H16">
            <v>0.20512820512820512</v>
          </cell>
          <cell r="I16">
            <v>0.20625610948191594</v>
          </cell>
          <cell r="J16">
            <v>0.33333333333333331</v>
          </cell>
          <cell r="K16">
            <v>0.2857142857142857</v>
          </cell>
        </row>
        <row r="17">
          <cell r="A17" t="str">
            <v>023</v>
          </cell>
          <cell r="B17" t="str">
            <v>Botetourt County</v>
          </cell>
          <cell r="C17" t="str">
            <v>Piedmont</v>
          </cell>
          <cell r="D17">
            <v>1217</v>
          </cell>
          <cell r="E17">
            <v>1121</v>
          </cell>
          <cell r="F17">
            <v>39</v>
          </cell>
          <cell r="G17">
            <v>27</v>
          </cell>
          <cell r="H17">
            <v>0.1817231596237121</v>
          </cell>
          <cell r="I17">
            <v>0.17734535674735011</v>
          </cell>
          <cell r="J17">
            <v>0.26174496644295303</v>
          </cell>
          <cell r="K17">
            <v>0.23893805309734514</v>
          </cell>
        </row>
        <row r="18">
          <cell r="A18" t="str">
            <v>025</v>
          </cell>
          <cell r="B18" t="str">
            <v>Brunswick County</v>
          </cell>
          <cell r="C18" t="str">
            <v>Eastern</v>
          </cell>
          <cell r="D18">
            <v>1326</v>
          </cell>
          <cell r="E18">
            <v>310</v>
          </cell>
          <cell r="F18">
            <v>970</v>
          </cell>
          <cell r="G18">
            <v>28</v>
          </cell>
          <cell r="H18">
            <v>0.50151285930408473</v>
          </cell>
          <cell r="I18">
            <v>0.32124352331606215</v>
          </cell>
          <cell r="J18">
            <v>0.61822817080943271</v>
          </cell>
          <cell r="K18">
            <v>0.34146341463414637</v>
          </cell>
        </row>
        <row r="19">
          <cell r="A19" t="str">
            <v>027</v>
          </cell>
          <cell r="B19" t="str">
            <v>Buchanan County</v>
          </cell>
          <cell r="C19" t="str">
            <v>Western</v>
          </cell>
          <cell r="D19">
            <v>990</v>
          </cell>
          <cell r="E19">
            <v>972</v>
          </cell>
          <cell r="F19">
            <v>5</v>
          </cell>
          <cell r="G19">
            <v>9</v>
          </cell>
          <cell r="H19">
            <v>0.26894865525672373</v>
          </cell>
          <cell r="I19">
            <v>0.26681306615426847</v>
          </cell>
          <cell r="J19">
            <v>0.83333333333333337</v>
          </cell>
          <cell r="K19">
            <v>0.6428571428571429</v>
          </cell>
        </row>
        <row r="20">
          <cell r="A20" t="str">
            <v>029</v>
          </cell>
          <cell r="B20" t="str">
            <v>Buckingham County</v>
          </cell>
          <cell r="C20" t="str">
            <v>Central</v>
          </cell>
          <cell r="D20">
            <v>1017</v>
          </cell>
          <cell r="E20">
            <v>480</v>
          </cell>
          <cell r="F20">
            <v>454</v>
          </cell>
          <cell r="G20">
            <v>29</v>
          </cell>
          <cell r="H20">
            <v>0.37555391432791729</v>
          </cell>
          <cell r="I20">
            <v>0.27397260273972601</v>
          </cell>
          <cell r="J20">
            <v>0.57760814249363868</v>
          </cell>
          <cell r="K20">
            <v>0.4264705882352941</v>
          </cell>
        </row>
        <row r="21">
          <cell r="A21" t="str">
            <v>031</v>
          </cell>
          <cell r="B21" t="str">
            <v>Campbell County</v>
          </cell>
          <cell r="C21" t="str">
            <v>Piedmont</v>
          </cell>
          <cell r="D21">
            <v>2981</v>
          </cell>
          <cell r="E21">
            <v>1998</v>
          </cell>
          <cell r="F21">
            <v>714</v>
          </cell>
          <cell r="G21">
            <v>93</v>
          </cell>
          <cell r="H21">
            <v>0.28231840136376551</v>
          </cell>
          <cell r="I21">
            <v>0.23401264933239635</v>
          </cell>
          <cell r="J21">
            <v>0.54009077155824503</v>
          </cell>
          <cell r="K21">
            <v>0.375</v>
          </cell>
        </row>
        <row r="22">
          <cell r="A22" t="str">
            <v>033</v>
          </cell>
          <cell r="B22" t="str">
            <v>Caroline County</v>
          </cell>
          <cell r="C22" t="str">
            <v>Central</v>
          </cell>
          <cell r="D22">
            <v>1585</v>
          </cell>
          <cell r="E22">
            <v>825</v>
          </cell>
          <cell r="F22">
            <v>590</v>
          </cell>
          <cell r="G22">
            <v>81</v>
          </cell>
          <cell r="H22">
            <v>0.2868259138617445</v>
          </cell>
          <cell r="I22">
            <v>0.22479564032697547</v>
          </cell>
          <cell r="J22">
            <v>0.43736100815418827</v>
          </cell>
          <cell r="K22">
            <v>0.26045016077170419</v>
          </cell>
        </row>
        <row r="23">
          <cell r="A23" t="str">
            <v>035</v>
          </cell>
          <cell r="B23" t="str">
            <v>Carroll County</v>
          </cell>
          <cell r="C23" t="str">
            <v>Western</v>
          </cell>
          <cell r="D23">
            <v>1519</v>
          </cell>
          <cell r="E23">
            <v>1414</v>
          </cell>
          <cell r="F23">
            <v>22</v>
          </cell>
          <cell r="G23">
            <v>94</v>
          </cell>
          <cell r="H23">
            <v>0.28000000000000003</v>
          </cell>
          <cell r="I23">
            <v>0.2741904207872794</v>
          </cell>
          <cell r="J23">
            <v>0.59459459459459463</v>
          </cell>
          <cell r="K23">
            <v>0.35877862595419846</v>
          </cell>
        </row>
        <row r="24">
          <cell r="A24" t="str">
            <v>036</v>
          </cell>
          <cell r="B24" t="str">
            <v>Charles City County</v>
          </cell>
          <cell r="C24" t="str">
            <v>Central</v>
          </cell>
          <cell r="D24">
            <v>299</v>
          </cell>
          <cell r="E24">
            <v>85</v>
          </cell>
          <cell r="F24">
            <v>184</v>
          </cell>
          <cell r="G24">
            <v>5</v>
          </cell>
          <cell r="H24">
            <v>0.31540084388185652</v>
          </cell>
          <cell r="I24">
            <v>0.19953051643192488</v>
          </cell>
          <cell r="J24">
            <v>0.48293963254593175</v>
          </cell>
          <cell r="K24">
            <v>0.29411764705882354</v>
          </cell>
        </row>
        <row r="25">
          <cell r="A25" t="str">
            <v>037</v>
          </cell>
          <cell r="B25" t="str">
            <v>Charlotte County</v>
          </cell>
          <cell r="C25" t="str">
            <v>Piedmont</v>
          </cell>
          <cell r="D25">
            <v>821</v>
          </cell>
          <cell r="E25">
            <v>398</v>
          </cell>
          <cell r="F25">
            <v>375</v>
          </cell>
          <cell r="G25">
            <v>34</v>
          </cell>
          <cell r="H25">
            <v>0.33953680727874275</v>
          </cell>
          <cell r="I25">
            <v>0.24643962848297213</v>
          </cell>
          <cell r="J25">
            <v>0.54585152838427953</v>
          </cell>
          <cell r="K25">
            <v>0.51515151515151514</v>
          </cell>
        </row>
        <row r="26">
          <cell r="A26" t="str">
            <v>041</v>
          </cell>
          <cell r="B26" t="str">
            <v>Chesterfield County</v>
          </cell>
          <cell r="C26" t="str">
            <v>Central</v>
          </cell>
          <cell r="D26">
            <v>18918</v>
          </cell>
          <cell r="E26">
            <v>8544</v>
          </cell>
          <cell r="F26">
            <v>7763</v>
          </cell>
          <cell r="G26">
            <v>2097</v>
          </cell>
          <cell r="H26">
            <v>0.25576270499006315</v>
          </cell>
          <cell r="I26">
            <v>0.18001390556854813</v>
          </cell>
          <cell r="J26">
            <v>0.46889345252476444</v>
          </cell>
          <cell r="K26">
            <v>0.2944397641112047</v>
          </cell>
        </row>
        <row r="27">
          <cell r="A27" t="str">
            <v>043</v>
          </cell>
          <cell r="B27" t="str">
            <v>Clarke County</v>
          </cell>
          <cell r="C27" t="str">
            <v>Northern</v>
          </cell>
          <cell r="D27">
            <v>537</v>
          </cell>
          <cell r="E27">
            <v>447</v>
          </cell>
          <cell r="F27">
            <v>40</v>
          </cell>
          <cell r="G27">
            <v>32</v>
          </cell>
          <cell r="H27">
            <v>0.1854281767955801</v>
          </cell>
          <cell r="I27">
            <v>0.17305458768873402</v>
          </cell>
          <cell r="J27">
            <v>0.449438202247191</v>
          </cell>
          <cell r="K27">
            <v>0.19047619047619047</v>
          </cell>
        </row>
        <row r="28">
          <cell r="A28" t="str">
            <v>045</v>
          </cell>
          <cell r="B28" t="str">
            <v>Craig County</v>
          </cell>
          <cell r="C28" t="str">
            <v>Piedmont</v>
          </cell>
          <cell r="D28">
            <v>220</v>
          </cell>
          <cell r="E28">
            <v>217</v>
          </cell>
          <cell r="F28">
            <v>0</v>
          </cell>
          <cell r="G28">
            <v>2</v>
          </cell>
          <cell r="H28">
            <v>0.2277432712215321</v>
          </cell>
          <cell r="I28">
            <v>0.22938689217758984</v>
          </cell>
          <cell r="J28">
            <v>0</v>
          </cell>
          <cell r="K28">
            <v>0.18181818181818182</v>
          </cell>
        </row>
        <row r="29">
          <cell r="A29" t="str">
            <v>047</v>
          </cell>
          <cell r="B29" t="str">
            <v>Culpeper County</v>
          </cell>
          <cell r="C29" t="str">
            <v>Northern</v>
          </cell>
          <cell r="D29">
            <v>2536</v>
          </cell>
          <cell r="E29">
            <v>1365</v>
          </cell>
          <cell r="F29">
            <v>679</v>
          </cell>
          <cell r="G29">
            <v>341</v>
          </cell>
          <cell r="H29">
            <v>0.24580788989047203</v>
          </cell>
          <cell r="I29">
            <v>0.18304948370658441</v>
          </cell>
          <cell r="J29">
            <v>0.51832061068702295</v>
          </cell>
          <cell r="K29">
            <v>0.27106518282988873</v>
          </cell>
        </row>
        <row r="30">
          <cell r="A30" t="str">
            <v>049</v>
          </cell>
          <cell r="B30" t="str">
            <v>Cumberland County</v>
          </cell>
          <cell r="C30" t="str">
            <v>Central</v>
          </cell>
          <cell r="D30">
            <v>595</v>
          </cell>
          <cell r="E30">
            <v>275</v>
          </cell>
          <cell r="F30">
            <v>287</v>
          </cell>
          <cell r="G30">
            <v>16</v>
          </cell>
          <cell r="H30">
            <v>0.32110091743119268</v>
          </cell>
          <cell r="I30">
            <v>0.22708505367464904</v>
          </cell>
          <cell r="J30">
            <v>0.5425330812854442</v>
          </cell>
          <cell r="K30">
            <v>0.23880597014925373</v>
          </cell>
        </row>
        <row r="31">
          <cell r="A31" t="str">
            <v>051</v>
          </cell>
          <cell r="B31" t="str">
            <v>Dickenson County</v>
          </cell>
          <cell r="C31" t="str">
            <v>Western</v>
          </cell>
          <cell r="D31">
            <v>713</v>
          </cell>
          <cell r="E31">
            <v>695</v>
          </cell>
          <cell r="F31">
            <v>8</v>
          </cell>
          <cell r="G31">
            <v>9</v>
          </cell>
          <cell r="H31">
            <v>0.24662746454514009</v>
          </cell>
          <cell r="I31">
            <v>0.24428822495606328</v>
          </cell>
          <cell r="J31">
            <v>0.5714285714285714</v>
          </cell>
          <cell r="K31">
            <v>0.33333333333333331</v>
          </cell>
        </row>
        <row r="32">
          <cell r="A32" t="str">
            <v>053</v>
          </cell>
          <cell r="B32" t="str">
            <v>Dinwiddie County</v>
          </cell>
          <cell r="C32" t="str">
            <v>Eastern</v>
          </cell>
          <cell r="D32">
            <v>1785</v>
          </cell>
          <cell r="E32">
            <v>834</v>
          </cell>
          <cell r="F32">
            <v>859</v>
          </cell>
          <cell r="G32">
            <v>50</v>
          </cell>
          <cell r="H32">
            <v>0.33660192343956252</v>
          </cell>
          <cell r="I32">
            <v>0.24616292798110981</v>
          </cell>
          <cell r="J32">
            <v>0.52764127764127766</v>
          </cell>
          <cell r="K32">
            <v>0.20920502092050208</v>
          </cell>
        </row>
        <row r="33">
          <cell r="A33" t="str">
            <v>057</v>
          </cell>
          <cell r="B33" t="str">
            <v>Essex County</v>
          </cell>
          <cell r="C33" t="str">
            <v>Central</v>
          </cell>
          <cell r="D33">
            <v>825</v>
          </cell>
          <cell r="E33">
            <v>245</v>
          </cell>
          <cell r="F33">
            <v>511</v>
          </cell>
          <cell r="G33">
            <v>32</v>
          </cell>
          <cell r="H33">
            <v>0.42591636551368095</v>
          </cell>
          <cell r="I33">
            <v>0.2505112474437628</v>
          </cell>
          <cell r="J33">
            <v>0.63242574257425743</v>
          </cell>
          <cell r="K33">
            <v>0.37209302325581395</v>
          </cell>
        </row>
        <row r="34">
          <cell r="A34" t="str">
            <v>059</v>
          </cell>
          <cell r="B34" t="str">
            <v>Fairfax County</v>
          </cell>
          <cell r="C34" t="str">
            <v>Northern</v>
          </cell>
          <cell r="D34">
            <v>39537</v>
          </cell>
          <cell r="E34">
            <v>18811</v>
          </cell>
          <cell r="F34">
            <v>9004</v>
          </cell>
          <cell r="G34">
            <v>10707</v>
          </cell>
          <cell r="H34">
            <v>0.16382146497501471</v>
          </cell>
          <cell r="I34">
            <v>0.13294368745406229</v>
          </cell>
          <cell r="J34">
            <v>0.38830429532516819</v>
          </cell>
          <cell r="K34">
            <v>0.26161213868595301</v>
          </cell>
        </row>
        <row r="35">
          <cell r="A35" t="str">
            <v>061</v>
          </cell>
          <cell r="B35" t="str">
            <v>Fauquier County</v>
          </cell>
          <cell r="C35" t="str">
            <v>Northern</v>
          </cell>
          <cell r="D35">
            <v>2535</v>
          </cell>
          <cell r="E35">
            <v>1880</v>
          </cell>
          <cell r="F35">
            <v>352</v>
          </cell>
          <cell r="G35">
            <v>201</v>
          </cell>
          <cell r="H35">
            <v>0.17446662078458361</v>
          </cell>
          <cell r="I35">
            <v>0.15408573067781328</v>
          </cell>
          <cell r="J35">
            <v>0.39198218262806234</v>
          </cell>
          <cell r="K35">
            <v>0.14768552534900808</v>
          </cell>
        </row>
        <row r="36">
          <cell r="A36" t="str">
            <v>063</v>
          </cell>
          <cell r="B36" t="str">
            <v>Floyd County</v>
          </cell>
          <cell r="C36" t="str">
            <v>Western</v>
          </cell>
          <cell r="D36">
            <v>695</v>
          </cell>
          <cell r="E36">
            <v>644</v>
          </cell>
          <cell r="F36">
            <v>18</v>
          </cell>
          <cell r="G36">
            <v>36</v>
          </cell>
          <cell r="H36">
            <v>0.23197596795727637</v>
          </cell>
          <cell r="I36">
            <v>0.22525358516963973</v>
          </cell>
          <cell r="J36">
            <v>0.6428571428571429</v>
          </cell>
          <cell r="K36">
            <v>0.30252100840336132</v>
          </cell>
        </row>
        <row r="37">
          <cell r="A37" t="str">
            <v>065</v>
          </cell>
          <cell r="B37" t="str">
            <v>Fluvanna County</v>
          </cell>
          <cell r="C37" t="str">
            <v>Central</v>
          </cell>
          <cell r="D37">
            <v>1133</v>
          </cell>
          <cell r="E37">
            <v>741</v>
          </cell>
          <cell r="F37">
            <v>270</v>
          </cell>
          <cell r="G37">
            <v>53</v>
          </cell>
          <cell r="H37">
            <v>0.21560418648905805</v>
          </cell>
          <cell r="I37">
            <v>0.17451719265190768</v>
          </cell>
          <cell r="J37">
            <v>0.44481054365733114</v>
          </cell>
          <cell r="K37">
            <v>0.20463320463320464</v>
          </cell>
        </row>
        <row r="38">
          <cell r="A38" t="str">
            <v>067</v>
          </cell>
          <cell r="B38" t="str">
            <v>Franklin County</v>
          </cell>
          <cell r="C38" t="str">
            <v>Piedmont</v>
          </cell>
          <cell r="D38">
            <v>2881</v>
          </cell>
          <cell r="E38">
            <v>2240</v>
          </cell>
          <cell r="F38">
            <v>401</v>
          </cell>
          <cell r="G38">
            <v>131</v>
          </cell>
          <cell r="H38">
            <v>0.28609731876861966</v>
          </cell>
          <cell r="I38">
            <v>0.25500910746812389</v>
          </cell>
          <cell r="J38">
            <v>0.60665658093797281</v>
          </cell>
          <cell r="K38">
            <v>0.2841648590021692</v>
          </cell>
        </row>
        <row r="39">
          <cell r="A39" t="str">
            <v>069</v>
          </cell>
          <cell r="B39" t="str">
            <v>Frederick County</v>
          </cell>
          <cell r="C39" t="str">
            <v>Northern</v>
          </cell>
          <cell r="D39">
            <v>3866</v>
          </cell>
          <cell r="E39">
            <v>3103</v>
          </cell>
          <cell r="F39">
            <v>311</v>
          </cell>
          <cell r="G39">
            <v>412</v>
          </cell>
          <cell r="H39">
            <v>0.22203078336779233</v>
          </cell>
          <cell r="I39">
            <v>0.20990326726645472</v>
          </cell>
          <cell r="J39">
            <v>0.39218158890290039</v>
          </cell>
          <cell r="K39">
            <v>0.2332955832389581</v>
          </cell>
        </row>
        <row r="40">
          <cell r="A40" t="str">
            <v>071</v>
          </cell>
          <cell r="B40" t="str">
            <v>Giles County</v>
          </cell>
          <cell r="C40" t="str">
            <v>Western</v>
          </cell>
          <cell r="D40">
            <v>847</v>
          </cell>
          <cell r="E40">
            <v>781</v>
          </cell>
          <cell r="F40">
            <v>22</v>
          </cell>
          <cell r="G40">
            <v>27</v>
          </cell>
          <cell r="H40">
            <v>0.26093653727664817</v>
          </cell>
          <cell r="I40">
            <v>0.25096401028277637</v>
          </cell>
          <cell r="J40">
            <v>0.61111111111111116</v>
          </cell>
          <cell r="K40">
            <v>0.38571428571428573</v>
          </cell>
        </row>
        <row r="41">
          <cell r="A41" t="str">
            <v>073</v>
          </cell>
          <cell r="B41" t="str">
            <v>Gloucester County</v>
          </cell>
          <cell r="C41" t="str">
            <v>Eastern</v>
          </cell>
          <cell r="D41">
            <v>1686</v>
          </cell>
          <cell r="E41">
            <v>1328</v>
          </cell>
          <cell r="F41">
            <v>196</v>
          </cell>
          <cell r="G41">
            <v>58</v>
          </cell>
          <cell r="H41">
            <v>0.24</v>
          </cell>
          <cell r="I41">
            <v>0.21834922722788555</v>
          </cell>
          <cell r="J41">
            <v>0.42794759825327511</v>
          </cell>
          <cell r="K41">
            <v>0.20863309352517986</v>
          </cell>
        </row>
        <row r="42">
          <cell r="A42" t="str">
            <v>075</v>
          </cell>
          <cell r="B42" t="str">
            <v>Goochland County</v>
          </cell>
          <cell r="C42" t="str">
            <v>Central</v>
          </cell>
          <cell r="D42">
            <v>632</v>
          </cell>
          <cell r="E42">
            <v>424</v>
          </cell>
          <cell r="F42">
            <v>179</v>
          </cell>
          <cell r="G42">
            <v>17</v>
          </cell>
          <cell r="H42">
            <v>0.16106014271151886</v>
          </cell>
          <cell r="I42">
            <v>0.13066255778120184</v>
          </cell>
          <cell r="J42">
            <v>0.38247863247863245</v>
          </cell>
          <cell r="K42">
            <v>0.12781954887218044</v>
          </cell>
        </row>
        <row r="43">
          <cell r="A43" t="str">
            <v>077</v>
          </cell>
          <cell r="B43" t="str">
            <v>Grayson County</v>
          </cell>
          <cell r="C43" t="str">
            <v>Western</v>
          </cell>
          <cell r="D43">
            <v>750</v>
          </cell>
          <cell r="E43">
            <v>663</v>
          </cell>
          <cell r="F43">
            <v>40</v>
          </cell>
          <cell r="G43">
            <v>46</v>
          </cell>
          <cell r="H43">
            <v>0.29446407538280328</v>
          </cell>
          <cell r="I43">
            <v>0.28093220338983049</v>
          </cell>
          <cell r="J43">
            <v>0.64516129032258063</v>
          </cell>
          <cell r="K43">
            <v>0.34328358208955223</v>
          </cell>
        </row>
        <row r="44">
          <cell r="A44" t="str">
            <v>079</v>
          </cell>
          <cell r="B44" t="str">
            <v>Greene County</v>
          </cell>
          <cell r="C44" t="str">
            <v>Northern</v>
          </cell>
          <cell r="D44">
            <v>910</v>
          </cell>
          <cell r="E44">
            <v>665</v>
          </cell>
          <cell r="F44">
            <v>135</v>
          </cell>
          <cell r="G44">
            <v>52</v>
          </cell>
          <cell r="H44">
            <v>0.22710257050162216</v>
          </cell>
          <cell r="I44">
            <v>0.1990422029332535</v>
          </cell>
          <cell r="J44">
            <v>0.56016597510373445</v>
          </cell>
          <cell r="K44">
            <v>0.18909090909090909</v>
          </cell>
        </row>
        <row r="45">
          <cell r="A45" t="str">
            <v>081</v>
          </cell>
          <cell r="B45" t="str">
            <v>Greensville County</v>
          </cell>
          <cell r="C45" t="str">
            <v>Eastern</v>
          </cell>
          <cell r="D45">
            <v>750</v>
          </cell>
          <cell r="E45">
            <v>132</v>
          </cell>
          <cell r="F45">
            <v>593</v>
          </cell>
          <cell r="G45">
            <v>11</v>
          </cell>
          <cell r="H45">
            <v>0.48764629388816644</v>
          </cell>
          <cell r="I45">
            <v>0.23487544483985764</v>
          </cell>
          <cell r="J45">
            <v>0.64950711938663741</v>
          </cell>
          <cell r="K45">
            <v>0.29729729729729731</v>
          </cell>
        </row>
        <row r="46">
          <cell r="A46" t="str">
            <v>083</v>
          </cell>
          <cell r="B46" t="str">
            <v>Halifax County</v>
          </cell>
          <cell r="C46" t="str">
            <v>Piedmont</v>
          </cell>
          <cell r="D46">
            <v>2563</v>
          </cell>
          <cell r="E46">
            <v>994</v>
          </cell>
          <cell r="F46">
            <v>1411</v>
          </cell>
          <cell r="G46">
            <v>62</v>
          </cell>
          <cell r="H46">
            <v>0.38651787060775145</v>
          </cell>
          <cell r="I46">
            <v>0.25493716337522443</v>
          </cell>
          <cell r="J46">
            <v>0.58988294314381273</v>
          </cell>
          <cell r="K46">
            <v>0.30097087378640774</v>
          </cell>
        </row>
        <row r="47">
          <cell r="A47" t="str">
            <v>085</v>
          </cell>
          <cell r="B47" t="str">
            <v>Hanover County</v>
          </cell>
          <cell r="C47" t="str">
            <v>Central</v>
          </cell>
          <cell r="D47">
            <v>4332</v>
          </cell>
          <cell r="E47">
            <v>3249</v>
          </cell>
          <cell r="F47">
            <v>789</v>
          </cell>
          <cell r="G47">
            <v>140</v>
          </cell>
          <cell r="H47">
            <v>0.18974201743243835</v>
          </cell>
          <cell r="I47">
            <v>0.16414064868141862</v>
          </cell>
          <cell r="J47">
            <v>0.47302158273381295</v>
          </cell>
          <cell r="K47">
            <v>0.21148036253776434</v>
          </cell>
        </row>
        <row r="48">
          <cell r="A48" t="str">
            <v>087</v>
          </cell>
          <cell r="B48" t="str">
            <v>Henrico County</v>
          </cell>
          <cell r="C48" t="str">
            <v>Central</v>
          </cell>
          <cell r="D48">
            <v>21007</v>
          </cell>
          <cell r="E48">
            <v>6461</v>
          </cell>
          <cell r="F48">
            <v>12349</v>
          </cell>
          <cell r="G48">
            <v>1505</v>
          </cell>
          <cell r="H48">
            <v>0.31419383787017646</v>
          </cell>
          <cell r="I48">
            <v>0.18159588521318756</v>
          </cell>
          <cell r="J48">
            <v>0.58768381478132581</v>
          </cell>
          <cell r="K48">
            <v>0.34565916398713825</v>
          </cell>
        </row>
        <row r="49">
          <cell r="A49" t="str">
            <v>089</v>
          </cell>
          <cell r="B49" t="str">
            <v>Henry County</v>
          </cell>
          <cell r="C49" t="str">
            <v>Piedmont</v>
          </cell>
          <cell r="D49">
            <v>3297</v>
          </cell>
          <cell r="E49">
            <v>1810</v>
          </cell>
          <cell r="F49">
            <v>1043</v>
          </cell>
          <cell r="G49">
            <v>325</v>
          </cell>
          <cell r="H49">
            <v>0.35805821025195483</v>
          </cell>
          <cell r="I49">
            <v>0.2871192893401015</v>
          </cell>
          <cell r="J49">
            <v>0.56963407973784819</v>
          </cell>
          <cell r="K49">
            <v>0.34067085953878407</v>
          </cell>
        </row>
        <row r="50">
          <cell r="A50" t="str">
            <v>091</v>
          </cell>
          <cell r="B50" t="str">
            <v>Highland County</v>
          </cell>
          <cell r="C50" t="str">
            <v>Piedmont</v>
          </cell>
          <cell r="D50">
            <v>57</v>
          </cell>
          <cell r="E50">
            <v>55</v>
          </cell>
          <cell r="F50">
            <v>2</v>
          </cell>
          <cell r="G50">
            <v>0</v>
          </cell>
          <cell r="H50">
            <v>0.18327974276527331</v>
          </cell>
          <cell r="I50">
            <v>0.17799352750809061</v>
          </cell>
          <cell r="J50">
            <v>1</v>
          </cell>
          <cell r="K50">
            <v>0</v>
          </cell>
        </row>
        <row r="51">
          <cell r="A51" t="str">
            <v>093</v>
          </cell>
          <cell r="B51" t="str">
            <v>Isle of Wight County</v>
          </cell>
          <cell r="C51" t="str">
            <v>Eastern</v>
          </cell>
          <cell r="D51">
            <v>1834</v>
          </cell>
          <cell r="E51">
            <v>879</v>
          </cell>
          <cell r="F51">
            <v>846</v>
          </cell>
          <cell r="G51">
            <v>61</v>
          </cell>
          <cell r="H51">
            <v>0.26233729080246032</v>
          </cell>
          <cell r="I51">
            <v>0.17757575757575758</v>
          </cell>
          <cell r="J51">
            <v>0.52481389578163773</v>
          </cell>
          <cell r="K51">
            <v>0.27601809954751133</v>
          </cell>
        </row>
        <row r="52">
          <cell r="A52" t="str">
            <v>095</v>
          </cell>
          <cell r="B52" t="str">
            <v>James City County</v>
          </cell>
          <cell r="C52" t="str">
            <v>Eastern</v>
          </cell>
          <cell r="D52">
            <v>3017</v>
          </cell>
          <cell r="E52">
            <v>1657</v>
          </cell>
          <cell r="F52">
            <v>936</v>
          </cell>
          <cell r="G52">
            <v>291</v>
          </cell>
          <cell r="H52">
            <v>0.2317560301121524</v>
          </cell>
          <cell r="I52">
            <v>0.1670699737850373</v>
          </cell>
          <cell r="J52">
            <v>0.55847255369928406</v>
          </cell>
          <cell r="K52">
            <v>0.31733914940021812</v>
          </cell>
        </row>
        <row r="53">
          <cell r="A53" t="str">
            <v>097</v>
          </cell>
          <cell r="B53" t="str">
            <v>King and Queen County</v>
          </cell>
          <cell r="C53" t="str">
            <v>Central</v>
          </cell>
          <cell r="D53">
            <v>341</v>
          </cell>
          <cell r="E53">
            <v>185</v>
          </cell>
          <cell r="F53">
            <v>123</v>
          </cell>
          <cell r="G53">
            <v>11</v>
          </cell>
          <cell r="H53">
            <v>0.28369384359401001</v>
          </cell>
          <cell r="I53">
            <v>0.21764705882352942</v>
          </cell>
          <cell r="J53">
            <v>0.4749034749034749</v>
          </cell>
          <cell r="K53">
            <v>0.15277777777777779</v>
          </cell>
        </row>
        <row r="54">
          <cell r="A54" t="str">
            <v>099</v>
          </cell>
          <cell r="B54" t="str">
            <v>King George County</v>
          </cell>
          <cell r="C54" t="str">
            <v>Northern</v>
          </cell>
          <cell r="D54">
            <v>1214</v>
          </cell>
          <cell r="E54">
            <v>732</v>
          </cell>
          <cell r="F54">
            <v>375</v>
          </cell>
          <cell r="G54">
            <v>56</v>
          </cell>
          <cell r="H54">
            <v>0.21036215560561428</v>
          </cell>
          <cell r="I54">
            <v>0.16839199447895101</v>
          </cell>
          <cell r="J54">
            <v>0.40279269602577872</v>
          </cell>
          <cell r="K54">
            <v>0.19178082191780821</v>
          </cell>
        </row>
        <row r="55">
          <cell r="A55" t="str">
            <v>101</v>
          </cell>
          <cell r="B55" t="str">
            <v>King William County</v>
          </cell>
          <cell r="C55" t="str">
            <v>Central</v>
          </cell>
          <cell r="D55">
            <v>814</v>
          </cell>
          <cell r="E55">
            <v>571</v>
          </cell>
          <cell r="F55">
            <v>169</v>
          </cell>
          <cell r="G55">
            <v>27</v>
          </cell>
          <cell r="H55">
            <v>0.2353281295172015</v>
          </cell>
          <cell r="I55">
            <v>0.20414730067929926</v>
          </cell>
          <cell r="J55">
            <v>0.42249999999999999</v>
          </cell>
          <cell r="K55">
            <v>0.27272727272727271</v>
          </cell>
        </row>
        <row r="56">
          <cell r="A56" t="str">
            <v>103</v>
          </cell>
          <cell r="B56" t="str">
            <v>Lancaster County</v>
          </cell>
          <cell r="C56" t="str">
            <v>Central</v>
          </cell>
          <cell r="D56">
            <v>634</v>
          </cell>
          <cell r="E56">
            <v>197</v>
          </cell>
          <cell r="F56">
            <v>405</v>
          </cell>
          <cell r="G56">
            <v>12</v>
          </cell>
          <cell r="H56">
            <v>0.41168831168831171</v>
          </cell>
          <cell r="I56">
            <v>0.2304093567251462</v>
          </cell>
          <cell r="J56">
            <v>0.66721581548599673</v>
          </cell>
          <cell r="K56">
            <v>0.35294117647058826</v>
          </cell>
        </row>
        <row r="57">
          <cell r="A57" t="str">
            <v>105</v>
          </cell>
          <cell r="B57" t="str">
            <v>Lee County</v>
          </cell>
          <cell r="C57" t="str">
            <v>Western</v>
          </cell>
          <cell r="D57">
            <v>1233</v>
          </cell>
          <cell r="E57">
            <v>1193</v>
          </cell>
          <cell r="F57">
            <v>7</v>
          </cell>
          <cell r="G57">
            <v>25</v>
          </cell>
          <cell r="H57">
            <v>0.27877006556635769</v>
          </cell>
          <cell r="I57">
            <v>0.27558327558327561</v>
          </cell>
          <cell r="J57">
            <v>0.33333333333333331</v>
          </cell>
          <cell r="K57">
            <v>0.52083333333333337</v>
          </cell>
        </row>
        <row r="58">
          <cell r="A58" t="str">
            <v>107</v>
          </cell>
          <cell r="B58" t="str">
            <v>Loudoun County</v>
          </cell>
          <cell r="C58" t="str">
            <v>Northern</v>
          </cell>
          <cell r="D58">
            <v>11869</v>
          </cell>
          <cell r="E58">
            <v>7177</v>
          </cell>
          <cell r="F58">
            <v>1805</v>
          </cell>
          <cell r="G58">
            <v>2403</v>
          </cell>
          <cell r="H58">
            <v>0.13160141480668375</v>
          </cell>
          <cell r="I58">
            <v>0.11976237755936389</v>
          </cell>
          <cell r="J58">
            <v>0.31467921896792189</v>
          </cell>
          <cell r="K58">
            <v>0.21224165341812401</v>
          </cell>
        </row>
        <row r="59">
          <cell r="A59" t="str">
            <v>109</v>
          </cell>
          <cell r="B59" t="str">
            <v>Louisa County</v>
          </cell>
          <cell r="C59" t="str">
            <v>Northern</v>
          </cell>
          <cell r="D59">
            <v>1576</v>
          </cell>
          <cell r="E59">
            <v>969</v>
          </cell>
          <cell r="F59">
            <v>447</v>
          </cell>
          <cell r="G59">
            <v>49</v>
          </cell>
          <cell r="H59">
            <v>0.25382509260750524</v>
          </cell>
          <cell r="I59">
            <v>0.20120431893687707</v>
          </cell>
          <cell r="J59">
            <v>0.4885245901639344</v>
          </cell>
          <cell r="K59">
            <v>0.20588235294117646</v>
          </cell>
        </row>
        <row r="60">
          <cell r="A60" t="str">
            <v>111</v>
          </cell>
          <cell r="B60" t="str">
            <v>Lunenburg County</v>
          </cell>
          <cell r="C60" t="str">
            <v>Central</v>
          </cell>
          <cell r="D60">
            <v>702</v>
          </cell>
          <cell r="E60">
            <v>310</v>
          </cell>
          <cell r="F60">
            <v>310</v>
          </cell>
          <cell r="G60">
            <v>51</v>
          </cell>
          <cell r="H60">
            <v>0.34547244094488189</v>
          </cell>
          <cell r="I60">
            <v>0.23700305810397554</v>
          </cell>
          <cell r="J60">
            <v>0.56985294117647056</v>
          </cell>
          <cell r="K60">
            <v>0.40799999999999997</v>
          </cell>
        </row>
        <row r="61">
          <cell r="A61" t="str">
            <v>113</v>
          </cell>
          <cell r="B61" t="str">
            <v>Madison County</v>
          </cell>
          <cell r="C61" t="str">
            <v>Northern</v>
          </cell>
          <cell r="D61">
            <v>551</v>
          </cell>
          <cell r="E61">
            <v>442</v>
          </cell>
          <cell r="F61">
            <v>60</v>
          </cell>
          <cell r="G61">
            <v>17</v>
          </cell>
          <cell r="H61">
            <v>0.21804511278195488</v>
          </cell>
          <cell r="I61">
            <v>0.20265933058230171</v>
          </cell>
          <cell r="J61">
            <v>0.33333333333333331</v>
          </cell>
          <cell r="K61">
            <v>0.21794871794871795</v>
          </cell>
        </row>
        <row r="62">
          <cell r="A62" t="str">
            <v>115</v>
          </cell>
          <cell r="B62" t="str">
            <v>Mathews County</v>
          </cell>
          <cell r="C62" t="str">
            <v>Eastern</v>
          </cell>
          <cell r="D62">
            <v>306</v>
          </cell>
          <cell r="E62">
            <v>236</v>
          </cell>
          <cell r="F62">
            <v>51</v>
          </cell>
          <cell r="G62">
            <v>5</v>
          </cell>
          <cell r="H62">
            <v>0.21872766261615439</v>
          </cell>
          <cell r="I62">
            <v>0.19376026272577998</v>
          </cell>
          <cell r="J62">
            <v>0.42857142857142855</v>
          </cell>
          <cell r="K62">
            <v>0.15151515151515152</v>
          </cell>
        </row>
        <row r="63">
          <cell r="A63" t="str">
            <v>117</v>
          </cell>
          <cell r="B63" t="str">
            <v>Mecklenburg County</v>
          </cell>
          <cell r="C63" t="str">
            <v>Piedmont</v>
          </cell>
          <cell r="D63">
            <v>2155</v>
          </cell>
          <cell r="E63">
            <v>756</v>
          </cell>
          <cell r="F63">
            <v>1255</v>
          </cell>
          <cell r="G63">
            <v>52</v>
          </cell>
          <cell r="H63">
            <v>0.41315184049079756</v>
          </cell>
          <cell r="I63">
            <v>0.25583756345177666</v>
          </cell>
          <cell r="J63">
            <v>0.65948502364687334</v>
          </cell>
          <cell r="K63">
            <v>0.2613065326633166</v>
          </cell>
        </row>
        <row r="64">
          <cell r="A64" t="str">
            <v>119</v>
          </cell>
          <cell r="B64" t="str">
            <v>Middlesex County</v>
          </cell>
          <cell r="C64" t="str">
            <v>Central</v>
          </cell>
          <cell r="D64">
            <v>430</v>
          </cell>
          <cell r="E64">
            <v>300</v>
          </cell>
          <cell r="F64">
            <v>108</v>
          </cell>
          <cell r="G64">
            <v>6</v>
          </cell>
          <cell r="H64">
            <v>0.29331514324693042</v>
          </cell>
          <cell r="I64">
            <v>0.26041666666666669</v>
          </cell>
          <cell r="J64">
            <v>0.46551724137931033</v>
          </cell>
          <cell r="K64">
            <v>0.14285714285714285</v>
          </cell>
        </row>
        <row r="65">
          <cell r="A65" t="str">
            <v>121</v>
          </cell>
          <cell r="B65" t="str">
            <v>Montgomery County</v>
          </cell>
          <cell r="C65" t="str">
            <v>Western</v>
          </cell>
          <cell r="D65">
            <v>3395</v>
          </cell>
          <cell r="E65">
            <v>2763</v>
          </cell>
          <cell r="F65">
            <v>331</v>
          </cell>
          <cell r="G65">
            <v>146</v>
          </cell>
          <cell r="H65">
            <v>0.248390400936494</v>
          </cell>
          <cell r="I65">
            <v>0.23338119773629529</v>
          </cell>
          <cell r="J65">
            <v>0.5766550522648084</v>
          </cell>
          <cell r="K65">
            <v>0.30543933054393307</v>
          </cell>
        </row>
        <row r="66">
          <cell r="A66" t="str">
            <v>125</v>
          </cell>
          <cell r="B66" t="str">
            <v>Nelson County</v>
          </cell>
          <cell r="C66" t="str">
            <v>Piedmont</v>
          </cell>
          <cell r="D66">
            <v>697</v>
          </cell>
          <cell r="E66">
            <v>477</v>
          </cell>
          <cell r="F66">
            <v>149</v>
          </cell>
          <cell r="G66">
            <v>33</v>
          </cell>
          <cell r="H66">
            <v>0.28589007383100901</v>
          </cell>
          <cell r="I66">
            <v>0.23945783132530121</v>
          </cell>
          <cell r="J66">
            <v>0.56653992395437258</v>
          </cell>
          <cell r="K66">
            <v>0.23404255319148937</v>
          </cell>
        </row>
        <row r="67">
          <cell r="A67" t="str">
            <v>127</v>
          </cell>
          <cell r="B67" t="str">
            <v>New Kent County</v>
          </cell>
          <cell r="C67" t="str">
            <v>Central</v>
          </cell>
          <cell r="D67">
            <v>700</v>
          </cell>
          <cell r="E67">
            <v>550</v>
          </cell>
          <cell r="F67">
            <v>102</v>
          </cell>
          <cell r="G67">
            <v>19</v>
          </cell>
          <cell r="H67">
            <v>0.19635343618513323</v>
          </cell>
          <cell r="I67">
            <v>0.18437814280925244</v>
          </cell>
          <cell r="J67">
            <v>0.32176656151419558</v>
          </cell>
          <cell r="K67">
            <v>0.13970588235294118</v>
          </cell>
        </row>
        <row r="68">
          <cell r="A68" t="str">
            <v>131</v>
          </cell>
          <cell r="B68" t="str">
            <v>Northampton County</v>
          </cell>
          <cell r="C68" t="str">
            <v>Eastern</v>
          </cell>
          <cell r="D68">
            <v>887</v>
          </cell>
          <cell r="E68">
            <v>283</v>
          </cell>
          <cell r="F68">
            <v>508</v>
          </cell>
          <cell r="G68">
            <v>113</v>
          </cell>
          <cell r="H68">
            <v>0.44129353233830848</v>
          </cell>
          <cell r="I68">
            <v>0.26252319109461969</v>
          </cell>
          <cell r="J68">
            <v>0.71549295774647892</v>
          </cell>
          <cell r="K68">
            <v>0.39929328621908128</v>
          </cell>
        </row>
        <row r="69">
          <cell r="A69" t="str">
            <v>133</v>
          </cell>
          <cell r="B69" t="str">
            <v>Northumberland County</v>
          </cell>
          <cell r="C69" t="str">
            <v>Central</v>
          </cell>
          <cell r="D69">
            <v>579</v>
          </cell>
          <cell r="E69">
            <v>237</v>
          </cell>
          <cell r="F69">
            <v>297</v>
          </cell>
          <cell r="G69">
            <v>34</v>
          </cell>
          <cell r="H69">
            <v>0.35565110565110564</v>
          </cell>
          <cell r="I69">
            <v>0.23723723723723725</v>
          </cell>
          <cell r="J69">
            <v>0.5700575815738963</v>
          </cell>
          <cell r="K69">
            <v>0.30357142857142855</v>
          </cell>
        </row>
        <row r="70">
          <cell r="A70" t="str">
            <v>135</v>
          </cell>
          <cell r="B70" t="str">
            <v>Nottoway County</v>
          </cell>
          <cell r="C70" t="str">
            <v>Central</v>
          </cell>
          <cell r="D70">
            <v>997</v>
          </cell>
          <cell r="E70">
            <v>421</v>
          </cell>
          <cell r="F70">
            <v>506</v>
          </cell>
          <cell r="G70">
            <v>33</v>
          </cell>
          <cell r="H70">
            <v>0.37229275578790144</v>
          </cell>
          <cell r="I70">
            <v>0.26561514195583596</v>
          </cell>
          <cell r="J70">
            <v>0.55726872246696035</v>
          </cell>
          <cell r="K70">
            <v>0.20886075949367089</v>
          </cell>
        </row>
        <row r="71">
          <cell r="A71" t="str">
            <v>137</v>
          </cell>
          <cell r="B71" t="str">
            <v>Orange County</v>
          </cell>
          <cell r="C71" t="str">
            <v>Northern</v>
          </cell>
          <cell r="D71">
            <v>1664</v>
          </cell>
          <cell r="E71">
            <v>1104</v>
          </cell>
          <cell r="F71">
            <v>363</v>
          </cell>
          <cell r="G71">
            <v>99</v>
          </cell>
          <cell r="H71">
            <v>0.25132155263555356</v>
          </cell>
          <cell r="I71">
            <v>0.2098460368751188</v>
          </cell>
          <cell r="J71">
            <v>0.46718146718146719</v>
          </cell>
          <cell r="K71">
            <v>0.27049180327868855</v>
          </cell>
        </row>
        <row r="72">
          <cell r="A72" t="str">
            <v>139</v>
          </cell>
          <cell r="B72" t="str">
            <v>Page County</v>
          </cell>
          <cell r="C72" t="str">
            <v>Northern</v>
          </cell>
          <cell r="D72">
            <v>1301</v>
          </cell>
          <cell r="E72">
            <v>1205</v>
          </cell>
          <cell r="F72">
            <v>40</v>
          </cell>
          <cell r="G72">
            <v>54</v>
          </cell>
          <cell r="H72">
            <v>0.29157328552218736</v>
          </cell>
          <cell r="I72">
            <v>0.28466808410111033</v>
          </cell>
          <cell r="J72">
            <v>0.57971014492753625</v>
          </cell>
          <cell r="K72">
            <v>0.421875</v>
          </cell>
        </row>
        <row r="73">
          <cell r="A73" t="str">
            <v>141</v>
          </cell>
          <cell r="B73" t="str">
            <v>Patrick County</v>
          </cell>
          <cell r="C73" t="str">
            <v>Western</v>
          </cell>
          <cell r="D73">
            <v>892</v>
          </cell>
          <cell r="E73">
            <v>738</v>
          </cell>
          <cell r="F73">
            <v>97</v>
          </cell>
          <cell r="G73">
            <v>48</v>
          </cell>
          <cell r="H73">
            <v>0.28281547241597971</v>
          </cell>
          <cell r="I73">
            <v>0.26328933285765249</v>
          </cell>
          <cell r="J73">
            <v>0.61006289308176098</v>
          </cell>
          <cell r="K73">
            <v>0.30188679245283018</v>
          </cell>
        </row>
        <row r="74">
          <cell r="A74" t="str">
            <v>143</v>
          </cell>
          <cell r="B74" t="str">
            <v>Pittsylvania County</v>
          </cell>
          <cell r="C74" t="str">
            <v>Piedmont</v>
          </cell>
          <cell r="D74">
            <v>3561</v>
          </cell>
          <cell r="E74">
            <v>2288</v>
          </cell>
          <cell r="F74">
            <v>1066</v>
          </cell>
          <cell r="G74">
            <v>164</v>
          </cell>
          <cell r="H74">
            <v>0.31171218487394958</v>
          </cell>
          <cell r="I74">
            <v>0.2593810225598005</v>
          </cell>
          <cell r="J74">
            <v>0.52152641878669281</v>
          </cell>
          <cell r="K74">
            <v>0.39140811455847258</v>
          </cell>
        </row>
        <row r="75">
          <cell r="A75" t="str">
            <v>145</v>
          </cell>
          <cell r="B75" t="str">
            <v>Powhatan County</v>
          </cell>
          <cell r="C75" t="str">
            <v>Central</v>
          </cell>
          <cell r="D75">
            <v>894</v>
          </cell>
          <cell r="E75">
            <v>705</v>
          </cell>
          <cell r="F75">
            <v>126</v>
          </cell>
          <cell r="G75">
            <v>31</v>
          </cell>
          <cell r="H75">
            <v>0.15750528541226216</v>
          </cell>
          <cell r="I75">
            <v>0.13828952530404079</v>
          </cell>
          <cell r="J75">
            <v>0.38066465256797583</v>
          </cell>
          <cell r="K75">
            <v>0.20666666666666667</v>
          </cell>
        </row>
        <row r="76">
          <cell r="A76" t="str">
            <v>147</v>
          </cell>
          <cell r="B76" t="str">
            <v>Prince Edward County</v>
          </cell>
          <cell r="C76" t="str">
            <v>Central</v>
          </cell>
          <cell r="D76">
            <v>1369</v>
          </cell>
          <cell r="E76">
            <v>434</v>
          </cell>
          <cell r="F76">
            <v>840</v>
          </cell>
          <cell r="G76">
            <v>27</v>
          </cell>
          <cell r="H76">
            <v>0.40562962962962962</v>
          </cell>
          <cell r="I76">
            <v>0.24450704225352113</v>
          </cell>
          <cell r="J76">
            <v>0.61583577712609971</v>
          </cell>
          <cell r="K76">
            <v>0.27272727272727271</v>
          </cell>
        </row>
        <row r="77">
          <cell r="A77" t="str">
            <v>149</v>
          </cell>
          <cell r="B77" t="str">
            <v>Prince George County</v>
          </cell>
          <cell r="C77" t="str">
            <v>Eastern</v>
          </cell>
          <cell r="D77">
            <v>1977</v>
          </cell>
          <cell r="E77">
            <v>897</v>
          </cell>
          <cell r="F77">
            <v>877</v>
          </cell>
          <cell r="G77">
            <v>144</v>
          </cell>
          <cell r="H77">
            <v>0.27935565917761762</v>
          </cell>
          <cell r="I77">
            <v>0.21619667389732466</v>
          </cell>
          <cell r="J77">
            <v>0.40962167211583372</v>
          </cell>
          <cell r="K77">
            <v>0.23960066555740434</v>
          </cell>
        </row>
        <row r="78">
          <cell r="A78" t="str">
            <v>153</v>
          </cell>
          <cell r="B78" t="str">
            <v>Prince William County</v>
          </cell>
          <cell r="C78" t="str">
            <v>Northern</v>
          </cell>
          <cell r="D78">
            <v>21749</v>
          </cell>
          <cell r="E78">
            <v>8234</v>
          </cell>
          <cell r="F78">
            <v>8089</v>
          </cell>
          <cell r="G78">
            <v>5636</v>
          </cell>
          <cell r="H78">
            <v>0.21091371050641014</v>
          </cell>
          <cell r="I78">
            <v>0.14965739108308038</v>
          </cell>
          <cell r="J78">
            <v>0.38818504654957292</v>
          </cell>
          <cell r="K78">
            <v>0.23151495234965494</v>
          </cell>
        </row>
        <row r="79">
          <cell r="A79" t="str">
            <v>155</v>
          </cell>
          <cell r="B79" t="str">
            <v>Pulaski County</v>
          </cell>
          <cell r="C79" t="str">
            <v>Western</v>
          </cell>
          <cell r="D79">
            <v>1787</v>
          </cell>
          <cell r="E79">
            <v>1480</v>
          </cell>
          <cell r="F79">
            <v>152</v>
          </cell>
          <cell r="G79">
            <v>43</v>
          </cell>
          <cell r="H79">
            <v>0.31235797937423526</v>
          </cell>
          <cell r="I79">
            <v>0.28472489419007313</v>
          </cell>
          <cell r="J79">
            <v>0.62040816326530612</v>
          </cell>
          <cell r="K79">
            <v>0.33858267716535434</v>
          </cell>
        </row>
        <row r="80">
          <cell r="A80" t="str">
            <v>157</v>
          </cell>
          <cell r="B80" t="str">
            <v>Rappahannock County</v>
          </cell>
          <cell r="C80" t="str">
            <v>Northern</v>
          </cell>
          <cell r="D80">
            <v>320</v>
          </cell>
          <cell r="E80">
            <v>269</v>
          </cell>
          <cell r="F80">
            <v>23</v>
          </cell>
          <cell r="G80">
            <v>22</v>
          </cell>
          <cell r="H80">
            <v>0.25296442687747034</v>
          </cell>
          <cell r="I80">
            <v>0.23249783923941228</v>
          </cell>
          <cell r="J80">
            <v>0.54761904761904767</v>
          </cell>
          <cell r="K80">
            <v>0.30985915492957744</v>
          </cell>
        </row>
        <row r="81">
          <cell r="A81" t="str">
            <v>159</v>
          </cell>
          <cell r="B81" t="str">
            <v>Richmond County</v>
          </cell>
          <cell r="C81" t="str">
            <v>Central</v>
          </cell>
          <cell r="D81">
            <v>416</v>
          </cell>
          <cell r="E81">
            <v>202</v>
          </cell>
          <cell r="F81">
            <v>175</v>
          </cell>
          <cell r="G81">
            <v>24</v>
          </cell>
          <cell r="H81">
            <v>0.31950844854070659</v>
          </cell>
          <cell r="I81">
            <v>0.23085714285714284</v>
          </cell>
          <cell r="J81">
            <v>0.63405797101449279</v>
          </cell>
          <cell r="K81">
            <v>0.192</v>
          </cell>
        </row>
        <row r="82">
          <cell r="A82" t="str">
            <v>161</v>
          </cell>
          <cell r="B82" t="str">
            <v>Roanoke County</v>
          </cell>
          <cell r="C82" t="str">
            <v>Piedmont</v>
          </cell>
          <cell r="D82">
            <v>3991</v>
          </cell>
          <cell r="E82">
            <v>3140</v>
          </cell>
          <cell r="F82">
            <v>463</v>
          </cell>
          <cell r="G82">
            <v>178</v>
          </cell>
          <cell r="H82">
            <v>0.21903298391965315</v>
          </cell>
          <cell r="I82">
            <v>0.19963125437090723</v>
          </cell>
          <cell r="J82">
            <v>0.48532494758909855</v>
          </cell>
          <cell r="K82">
            <v>0.27175572519083968</v>
          </cell>
        </row>
        <row r="83">
          <cell r="A83" t="str">
            <v>163</v>
          </cell>
          <cell r="B83" t="str">
            <v>Rockbridge County</v>
          </cell>
          <cell r="C83" t="str">
            <v>Piedmont</v>
          </cell>
          <cell r="D83">
            <v>1013</v>
          </cell>
          <cell r="E83">
            <v>883</v>
          </cell>
          <cell r="F83">
            <v>57</v>
          </cell>
          <cell r="G83">
            <v>42</v>
          </cell>
          <cell r="H83">
            <v>0.2713635145995178</v>
          </cell>
          <cell r="I83">
            <v>0.25594202898550722</v>
          </cell>
          <cell r="J83">
            <v>0.61956521739130432</v>
          </cell>
          <cell r="K83">
            <v>0.4375</v>
          </cell>
        </row>
        <row r="84">
          <cell r="A84" t="str">
            <v>165</v>
          </cell>
          <cell r="B84" t="str">
            <v>Rockingham County</v>
          </cell>
          <cell r="C84" t="str">
            <v>Northern</v>
          </cell>
          <cell r="D84">
            <v>3417</v>
          </cell>
          <cell r="E84">
            <v>2887</v>
          </cell>
          <cell r="F84">
            <v>107</v>
          </cell>
          <cell r="G84">
            <v>444</v>
          </cell>
          <cell r="H84">
            <v>0.21092592592592593</v>
          </cell>
          <cell r="I84">
            <v>0.1992546069431983</v>
          </cell>
          <cell r="J84">
            <v>0.41472868217054265</v>
          </cell>
          <cell r="K84">
            <v>0.29423459244532801</v>
          </cell>
        </row>
        <row r="85">
          <cell r="A85" t="str">
            <v>167</v>
          </cell>
          <cell r="B85" t="str">
            <v>Russell County</v>
          </cell>
          <cell r="C85" t="str">
            <v>Western</v>
          </cell>
          <cell r="D85">
            <v>1191</v>
          </cell>
          <cell r="E85">
            <v>1138</v>
          </cell>
          <cell r="F85">
            <v>6</v>
          </cell>
          <cell r="G85">
            <v>34</v>
          </cell>
          <cell r="H85">
            <v>0.23753490227363383</v>
          </cell>
          <cell r="I85">
            <v>0.23286269695109474</v>
          </cell>
          <cell r="J85">
            <v>0.25</v>
          </cell>
          <cell r="K85">
            <v>0.40963855421686746</v>
          </cell>
        </row>
        <row r="86">
          <cell r="A86" t="str">
            <v>169</v>
          </cell>
          <cell r="B86" t="str">
            <v>Scott County</v>
          </cell>
          <cell r="C86" t="str">
            <v>Western</v>
          </cell>
          <cell r="D86">
            <v>959</v>
          </cell>
          <cell r="E86">
            <v>910</v>
          </cell>
          <cell r="F86">
            <v>6</v>
          </cell>
          <cell r="G86">
            <v>36</v>
          </cell>
          <cell r="H86">
            <v>0.24954462659380691</v>
          </cell>
          <cell r="I86">
            <v>0.24364123159303883</v>
          </cell>
          <cell r="J86">
            <v>0.375</v>
          </cell>
          <cell r="K86">
            <v>0.47368421052631576</v>
          </cell>
        </row>
        <row r="87">
          <cell r="A87" t="str">
            <v>171</v>
          </cell>
          <cell r="B87" t="str">
            <v>Shenandoah County</v>
          </cell>
          <cell r="C87" t="str">
            <v>Northern</v>
          </cell>
          <cell r="D87">
            <v>2330</v>
          </cell>
          <cell r="E87">
            <v>2035</v>
          </cell>
          <cell r="F87">
            <v>66</v>
          </cell>
          <cell r="G87">
            <v>300</v>
          </cell>
          <cell r="H87">
            <v>0.28620562584449083</v>
          </cell>
          <cell r="I87">
            <v>0.28026442638754995</v>
          </cell>
          <cell r="J87">
            <v>0.49624060150375937</v>
          </cell>
          <cell r="K87">
            <v>0.34522439585730724</v>
          </cell>
        </row>
        <row r="88">
          <cell r="A88" t="str">
            <v>173</v>
          </cell>
          <cell r="B88" t="str">
            <v>Smyth County</v>
          </cell>
          <cell r="C88" t="str">
            <v>Western</v>
          </cell>
          <cell r="D88">
            <v>1901</v>
          </cell>
          <cell r="E88">
            <v>1714</v>
          </cell>
          <cell r="F88">
            <v>65</v>
          </cell>
          <cell r="G88">
            <v>83</v>
          </cell>
          <cell r="H88">
            <v>0.3344475721323012</v>
          </cell>
          <cell r="I88">
            <v>0.31971647080768512</v>
          </cell>
          <cell r="J88">
            <v>0.70652173913043481</v>
          </cell>
          <cell r="K88">
            <v>0.5</v>
          </cell>
        </row>
        <row r="89">
          <cell r="A89" t="str">
            <v>175</v>
          </cell>
          <cell r="B89" t="str">
            <v>Southampton County</v>
          </cell>
          <cell r="C89" t="str">
            <v>Eastern</v>
          </cell>
          <cell r="D89">
            <v>1022</v>
          </cell>
          <cell r="E89">
            <v>421</v>
          </cell>
          <cell r="F89">
            <v>534</v>
          </cell>
          <cell r="G89">
            <v>29</v>
          </cell>
          <cell r="H89">
            <v>0.31660470879801733</v>
          </cell>
          <cell r="I89">
            <v>0.19783834586466165</v>
          </cell>
          <cell r="J89">
            <v>0.5699039487726788</v>
          </cell>
          <cell r="K89">
            <v>0.38666666666666666</v>
          </cell>
        </row>
        <row r="90">
          <cell r="A90" t="str">
            <v>177</v>
          </cell>
          <cell r="B90" t="str">
            <v>Spotsylvania County</v>
          </cell>
          <cell r="C90" t="str">
            <v>Northern</v>
          </cell>
          <cell r="D90">
            <v>6530</v>
          </cell>
          <cell r="E90">
            <v>3861</v>
          </cell>
          <cell r="F90">
            <v>1756</v>
          </cell>
          <cell r="G90">
            <v>686</v>
          </cell>
          <cell r="H90">
            <v>0.2195991390906645</v>
          </cell>
          <cell r="I90">
            <v>0.18094479332645982</v>
          </cell>
          <cell r="J90">
            <v>0.38996224739062846</v>
          </cell>
          <cell r="K90">
            <v>0.23461012311901505</v>
          </cell>
        </row>
        <row r="91">
          <cell r="A91" t="str">
            <v>179</v>
          </cell>
          <cell r="B91" t="str">
            <v>Stafford County</v>
          </cell>
          <cell r="C91" t="str">
            <v>Northern</v>
          </cell>
          <cell r="D91">
            <v>6789</v>
          </cell>
          <cell r="E91">
            <v>3655</v>
          </cell>
          <cell r="F91">
            <v>2028</v>
          </cell>
          <cell r="G91">
            <v>841</v>
          </cell>
          <cell r="H91">
            <v>0.20352549689720298</v>
          </cell>
          <cell r="I91">
            <v>0.16056758775205376</v>
          </cell>
          <cell r="J91">
            <v>0.35485564304461942</v>
          </cell>
          <cell r="K91">
            <v>0.20868486352357321</v>
          </cell>
        </row>
        <row r="92">
          <cell r="A92" t="str">
            <v>181</v>
          </cell>
          <cell r="B92" t="str">
            <v>Surry County</v>
          </cell>
          <cell r="C92" t="str">
            <v>Eastern</v>
          </cell>
          <cell r="D92">
            <v>346</v>
          </cell>
          <cell r="E92">
            <v>122</v>
          </cell>
          <cell r="F92">
            <v>194</v>
          </cell>
          <cell r="G92">
            <v>12</v>
          </cell>
          <cell r="H92">
            <v>0.30113141862489123</v>
          </cell>
          <cell r="I92">
            <v>0.19902120717781402</v>
          </cell>
          <cell r="J92">
            <v>0.40082644628099173</v>
          </cell>
          <cell r="K92">
            <v>0.63157894736842102</v>
          </cell>
        </row>
        <row r="93">
          <cell r="A93" t="str">
            <v>183</v>
          </cell>
          <cell r="B93" t="str">
            <v>Sussex County</v>
          </cell>
          <cell r="C93" t="str">
            <v>Eastern</v>
          </cell>
          <cell r="D93">
            <v>725</v>
          </cell>
          <cell r="E93">
            <v>174</v>
          </cell>
          <cell r="F93">
            <v>530</v>
          </cell>
          <cell r="G93">
            <v>18</v>
          </cell>
          <cell r="H93">
            <v>0.44369645042839656</v>
          </cell>
          <cell r="I93">
            <v>0.25144508670520233</v>
          </cell>
          <cell r="J93">
            <v>0.601589103291714</v>
          </cell>
          <cell r="K93">
            <v>0.32142857142857145</v>
          </cell>
        </row>
        <row r="94">
          <cell r="A94" t="str">
            <v>185</v>
          </cell>
          <cell r="B94" t="str">
            <v>Tazewell County</v>
          </cell>
          <cell r="C94" t="str">
            <v>Western</v>
          </cell>
          <cell r="D94">
            <v>2116</v>
          </cell>
          <cell r="E94">
            <v>1916</v>
          </cell>
          <cell r="F94">
            <v>88</v>
          </cell>
          <cell r="G94">
            <v>19</v>
          </cell>
          <cell r="H94">
            <v>0.27000127599846879</v>
          </cell>
          <cell r="I94">
            <v>0.25919913419913421</v>
          </cell>
          <cell r="J94">
            <v>0.55000000000000004</v>
          </cell>
          <cell r="K94">
            <v>0.25333333333333335</v>
          </cell>
        </row>
        <row r="95">
          <cell r="A95" t="str">
            <v>187</v>
          </cell>
          <cell r="B95" t="str">
            <v>Warren County</v>
          </cell>
          <cell r="C95" t="str">
            <v>Northern</v>
          </cell>
          <cell r="D95">
            <v>2070</v>
          </cell>
          <cell r="E95">
            <v>1704</v>
          </cell>
          <cell r="F95">
            <v>144</v>
          </cell>
          <cell r="G95">
            <v>143</v>
          </cell>
          <cell r="H95">
            <v>0.261198738170347</v>
          </cell>
          <cell r="I95">
            <v>0.24280421772584782</v>
          </cell>
          <cell r="J95">
            <v>0.49484536082474229</v>
          </cell>
          <cell r="K95">
            <v>0.32426303854875282</v>
          </cell>
        </row>
        <row r="96">
          <cell r="A96" t="str">
            <v>191</v>
          </cell>
          <cell r="B96" t="str">
            <v>Washington County</v>
          </cell>
          <cell r="C96" t="str">
            <v>Western</v>
          </cell>
          <cell r="D96">
            <v>2248</v>
          </cell>
          <cell r="E96">
            <v>2095</v>
          </cell>
          <cell r="F96">
            <v>53</v>
          </cell>
          <cell r="G96">
            <v>79</v>
          </cell>
          <cell r="H96">
            <v>0.24179842960094655</v>
          </cell>
          <cell r="I96">
            <v>0.23376478464628431</v>
          </cell>
          <cell r="J96">
            <v>0.63095238095238093</v>
          </cell>
          <cell r="K96">
            <v>0.39303482587064675</v>
          </cell>
        </row>
        <row r="97">
          <cell r="A97" t="str">
            <v>193</v>
          </cell>
          <cell r="B97" t="str">
            <v>Westmoreland County</v>
          </cell>
          <cell r="C97" t="str">
            <v>Central</v>
          </cell>
          <cell r="D97">
            <v>1006</v>
          </cell>
          <cell r="E97">
            <v>433</v>
          </cell>
          <cell r="F97">
            <v>458</v>
          </cell>
          <cell r="G97">
            <v>68</v>
          </cell>
          <cell r="H97">
            <v>0.3672873311427528</v>
          </cell>
          <cell r="I97">
            <v>0.27011852776044915</v>
          </cell>
          <cell r="J97">
            <v>0.57755359394703654</v>
          </cell>
          <cell r="K97">
            <v>0.2251655629139073</v>
          </cell>
        </row>
        <row r="98">
          <cell r="A98" t="str">
            <v>195</v>
          </cell>
          <cell r="B98" t="str">
            <v>Wise County</v>
          </cell>
          <cell r="C98" t="str">
            <v>Western</v>
          </cell>
          <cell r="D98">
            <v>2271</v>
          </cell>
          <cell r="E98">
            <v>2128</v>
          </cell>
          <cell r="F98">
            <v>47</v>
          </cell>
          <cell r="G98">
            <v>41</v>
          </cell>
          <cell r="H98">
            <v>0.31220786362386582</v>
          </cell>
          <cell r="I98">
            <v>0.30504587155963303</v>
          </cell>
          <cell r="J98">
            <v>0.5280898876404494</v>
          </cell>
          <cell r="K98">
            <v>0.33884297520661155</v>
          </cell>
        </row>
        <row r="99">
          <cell r="A99" t="str">
            <v>197</v>
          </cell>
          <cell r="B99" t="str">
            <v>Wythe County</v>
          </cell>
          <cell r="C99" t="str">
            <v>Western</v>
          </cell>
          <cell r="D99">
            <v>1508</v>
          </cell>
          <cell r="E99">
            <v>1326</v>
          </cell>
          <cell r="F99">
            <v>94</v>
          </cell>
          <cell r="G99">
            <v>22</v>
          </cell>
          <cell r="H99">
            <v>0.28319248826291082</v>
          </cell>
          <cell r="I99">
            <v>0.26717711061857746</v>
          </cell>
          <cell r="J99">
            <v>0.63087248322147649</v>
          </cell>
          <cell r="K99">
            <v>0.26506024096385544</v>
          </cell>
        </row>
        <row r="100">
          <cell r="A100" t="str">
            <v>199</v>
          </cell>
          <cell r="B100" t="str">
            <v>York County</v>
          </cell>
          <cell r="C100" t="str">
            <v>Eastern</v>
          </cell>
          <cell r="D100">
            <v>3154</v>
          </cell>
          <cell r="E100">
            <v>1954</v>
          </cell>
          <cell r="F100">
            <v>758</v>
          </cell>
          <cell r="G100">
            <v>252</v>
          </cell>
          <cell r="H100">
            <v>0.19684203956812082</v>
          </cell>
          <cell r="I100">
            <v>0.16788383881776786</v>
          </cell>
          <cell r="J100">
            <v>0.38360323886639675</v>
          </cell>
          <cell r="K100">
            <v>0.22826086956521738</v>
          </cell>
        </row>
        <row r="101">
          <cell r="A101" t="str">
            <v>510</v>
          </cell>
          <cell r="B101" t="str">
            <v>Alexandria City</v>
          </cell>
          <cell r="C101" t="str">
            <v>Northern</v>
          </cell>
          <cell r="D101">
            <v>6099</v>
          </cell>
          <cell r="E101">
            <v>1819</v>
          </cell>
          <cell r="F101">
            <v>2819</v>
          </cell>
          <cell r="G101">
            <v>1768</v>
          </cell>
          <cell r="H101">
            <v>0.28689025824356745</v>
          </cell>
          <cell r="I101">
            <v>0.16372637263726372</v>
          </cell>
          <cell r="J101">
            <v>0.53339640491958373</v>
          </cell>
          <cell r="K101">
            <v>0.38111661996119855</v>
          </cell>
        </row>
        <row r="102">
          <cell r="A102" t="str">
            <v>515</v>
          </cell>
          <cell r="B102" t="str">
            <v>Bedford City</v>
          </cell>
          <cell r="C102" t="str">
            <v>Piedmont</v>
          </cell>
          <cell r="D102">
            <v>483</v>
          </cell>
          <cell r="E102">
            <v>252</v>
          </cell>
          <cell r="F102">
            <v>169</v>
          </cell>
          <cell r="G102">
            <v>20</v>
          </cell>
          <cell r="H102">
            <v>0.43240823634735898</v>
          </cell>
          <cell r="I102">
            <v>0.3165829145728643</v>
          </cell>
          <cell r="J102">
            <v>0.71610169491525422</v>
          </cell>
          <cell r="K102">
            <v>0.54054054054054057</v>
          </cell>
        </row>
        <row r="103">
          <cell r="A103" t="str">
            <v>520</v>
          </cell>
          <cell r="B103" t="str">
            <v>Bristol City</v>
          </cell>
          <cell r="C103" t="str">
            <v>Western</v>
          </cell>
          <cell r="D103">
            <v>1324</v>
          </cell>
          <cell r="E103">
            <v>1051</v>
          </cell>
          <cell r="F103">
            <v>138</v>
          </cell>
          <cell r="G103">
            <v>44</v>
          </cell>
          <cell r="H103">
            <v>0.41898734177215191</v>
          </cell>
          <cell r="I103">
            <v>0.38639705882352943</v>
          </cell>
          <cell r="J103">
            <v>0.65094339622641506</v>
          </cell>
          <cell r="K103">
            <v>0.65671641791044777</v>
          </cell>
        </row>
        <row r="104">
          <cell r="A104" t="str">
            <v>530</v>
          </cell>
          <cell r="B104" t="str">
            <v>Buena Vista City</v>
          </cell>
          <cell r="C104" t="str">
            <v>Piedmont</v>
          </cell>
          <cell r="D104">
            <v>408</v>
          </cell>
          <cell r="E104">
            <v>346</v>
          </cell>
          <cell r="F104">
            <v>41</v>
          </cell>
          <cell r="G104">
            <v>6</v>
          </cell>
          <cell r="H104">
            <v>0.32692307692307693</v>
          </cell>
          <cell r="I104">
            <v>0.30975828111011638</v>
          </cell>
          <cell r="J104">
            <v>0.61194029850746268</v>
          </cell>
          <cell r="K104">
            <v>0.4</v>
          </cell>
        </row>
        <row r="105">
          <cell r="A105" t="str">
            <v>540</v>
          </cell>
          <cell r="B105" t="str">
            <v>Charlottesville City</v>
          </cell>
          <cell r="C105" t="str">
            <v>Piedmont</v>
          </cell>
          <cell r="D105">
            <v>2163</v>
          </cell>
          <cell r="E105">
            <v>660</v>
          </cell>
          <cell r="F105">
            <v>1258</v>
          </cell>
          <cell r="G105">
            <v>160</v>
          </cell>
          <cell r="H105">
            <v>0.38721804511278196</v>
          </cell>
          <cell r="I105">
            <v>0.20774315391879131</v>
          </cell>
          <cell r="J105">
            <v>0.77225291589932477</v>
          </cell>
          <cell r="K105">
            <v>0.37296037296037299</v>
          </cell>
        </row>
        <row r="106">
          <cell r="A106" t="str">
            <v>550</v>
          </cell>
          <cell r="B106" t="str">
            <v>Chesapeake City</v>
          </cell>
          <cell r="C106" t="str">
            <v>Eastern</v>
          </cell>
          <cell r="D106">
            <v>14601</v>
          </cell>
          <cell r="E106">
            <v>5508</v>
          </cell>
          <cell r="F106">
            <v>7658</v>
          </cell>
          <cell r="G106">
            <v>917</v>
          </cell>
          <cell r="H106">
            <v>0.29169330350007994</v>
          </cell>
          <cell r="I106">
            <v>0.18424485699949825</v>
          </cell>
          <cell r="J106">
            <v>0.5249520153550864</v>
          </cell>
          <cell r="K106">
            <v>0.28611544461778471</v>
          </cell>
        </row>
        <row r="107">
          <cell r="A107" t="str">
            <v>570</v>
          </cell>
          <cell r="B107" t="str">
            <v>Colonial Heights City</v>
          </cell>
          <cell r="C107" t="str">
            <v>Piedmont</v>
          </cell>
          <cell r="D107">
            <v>1287</v>
          </cell>
          <cell r="E107">
            <v>780</v>
          </cell>
          <cell r="F107">
            <v>357</v>
          </cell>
          <cell r="G107">
            <v>102</v>
          </cell>
          <cell r="H107">
            <v>0.37819570966794003</v>
          </cell>
          <cell r="I107">
            <v>0.31212484993997597</v>
          </cell>
          <cell r="J107">
            <v>0.69455252918287935</v>
          </cell>
          <cell r="K107">
            <v>0.44541484716157204</v>
          </cell>
        </row>
        <row r="108">
          <cell r="A108" t="str">
            <v>580</v>
          </cell>
          <cell r="B108" t="str">
            <v>Covington City</v>
          </cell>
          <cell r="C108" t="str">
            <v>Piedmont</v>
          </cell>
          <cell r="D108">
            <v>396</v>
          </cell>
          <cell r="E108">
            <v>282</v>
          </cell>
          <cell r="F108">
            <v>75</v>
          </cell>
          <cell r="G108">
            <v>11</v>
          </cell>
          <cell r="H108">
            <v>0.37113402061855671</v>
          </cell>
          <cell r="I108">
            <v>0.32339449541284404</v>
          </cell>
          <cell r="J108">
            <v>0.64655172413793105</v>
          </cell>
          <cell r="K108">
            <v>0.45833333333333331</v>
          </cell>
        </row>
        <row r="109">
          <cell r="A109" t="str">
            <v>590</v>
          </cell>
          <cell r="B109" t="str">
            <v>Danville City</v>
          </cell>
          <cell r="C109" t="str">
            <v>Piedmont</v>
          </cell>
          <cell r="D109">
            <v>4439</v>
          </cell>
          <cell r="E109">
            <v>870</v>
          </cell>
          <cell r="F109">
            <v>3318</v>
          </cell>
          <cell r="G109">
            <v>139</v>
          </cell>
          <cell r="H109">
            <v>0.58538836871950417</v>
          </cell>
          <cell r="I109">
            <v>0.35251215559157212</v>
          </cell>
          <cell r="J109">
            <v>0.73423323744191193</v>
          </cell>
          <cell r="K109">
            <v>0.33016627078384797</v>
          </cell>
        </row>
        <row r="110">
          <cell r="A110" t="str">
            <v>595</v>
          </cell>
          <cell r="B110" t="str">
            <v>Emporia City</v>
          </cell>
          <cell r="C110" t="str">
            <v>Eastern</v>
          </cell>
          <cell r="D110">
            <v>760</v>
          </cell>
          <cell r="E110">
            <v>103</v>
          </cell>
          <cell r="F110">
            <v>613</v>
          </cell>
          <cell r="G110">
            <v>25</v>
          </cell>
          <cell r="H110">
            <v>0.60702875399361023</v>
          </cell>
          <cell r="I110">
            <v>0.35034013605442177</v>
          </cell>
          <cell r="J110">
            <v>0.7013729977116705</v>
          </cell>
          <cell r="K110">
            <v>0.38461538461538464</v>
          </cell>
        </row>
        <row r="111">
          <cell r="A111" t="str">
            <v>600</v>
          </cell>
          <cell r="B111" t="str">
            <v>Fairfax City</v>
          </cell>
          <cell r="C111" t="str">
            <v>Northern</v>
          </cell>
          <cell r="D111">
            <v>713</v>
          </cell>
          <cell r="E111">
            <v>401</v>
          </cell>
          <cell r="F111">
            <v>86</v>
          </cell>
          <cell r="G111">
            <v>185</v>
          </cell>
          <cell r="H111">
            <v>0.17155919153031762</v>
          </cell>
          <cell r="I111">
            <v>0.14996260284218399</v>
          </cell>
          <cell r="J111">
            <v>0.40186915887850466</v>
          </cell>
          <cell r="K111">
            <v>0.2356687898089172</v>
          </cell>
        </row>
        <row r="112">
          <cell r="A112" t="str">
            <v>610</v>
          </cell>
          <cell r="B112" t="str">
            <v>Falls Church City</v>
          </cell>
          <cell r="C112" t="str">
            <v>Northern</v>
          </cell>
          <cell r="D112">
            <v>472</v>
          </cell>
          <cell r="E112">
            <v>307</v>
          </cell>
          <cell r="F112">
            <v>61</v>
          </cell>
          <cell r="G112">
            <v>75</v>
          </cell>
          <cell r="H112">
            <v>0.16054421768707483</v>
          </cell>
          <cell r="I112">
            <v>0.13699241410084784</v>
          </cell>
          <cell r="J112">
            <v>0.49193548387096775</v>
          </cell>
          <cell r="K112">
            <v>0.24752475247524752</v>
          </cell>
        </row>
        <row r="113">
          <cell r="A113" t="str">
            <v>620</v>
          </cell>
          <cell r="B113" t="str">
            <v>Franklin City</v>
          </cell>
          <cell r="C113" t="str">
            <v>Eastern</v>
          </cell>
          <cell r="D113">
            <v>919</v>
          </cell>
          <cell r="E113">
            <v>104</v>
          </cell>
          <cell r="F113">
            <v>767</v>
          </cell>
          <cell r="G113">
            <v>17</v>
          </cell>
          <cell r="H113">
            <v>0.52664756446991401</v>
          </cell>
          <cell r="I113">
            <v>0.19439252336448598</v>
          </cell>
          <cell r="J113">
            <v>0.70691244239631335</v>
          </cell>
          <cell r="K113">
            <v>0.33333333333333331</v>
          </cell>
        </row>
        <row r="114">
          <cell r="A114" t="str">
            <v>630</v>
          </cell>
          <cell r="B114" t="str">
            <v>Fredericksburg City</v>
          </cell>
          <cell r="C114" t="str">
            <v>Northern</v>
          </cell>
          <cell r="D114">
            <v>1818</v>
          </cell>
          <cell r="E114">
            <v>613</v>
          </cell>
          <cell r="F114">
            <v>857</v>
          </cell>
          <cell r="G114">
            <v>282</v>
          </cell>
          <cell r="H114">
            <v>0.44030031484620974</v>
          </cell>
          <cell r="I114">
            <v>0.31053698074974673</v>
          </cell>
          <cell r="J114">
            <v>0.66228748068006182</v>
          </cell>
          <cell r="K114">
            <v>0.409288824383164</v>
          </cell>
        </row>
        <row r="115">
          <cell r="A115" t="str">
            <v>640</v>
          </cell>
          <cell r="B115" t="str">
            <v>Galax City</v>
          </cell>
          <cell r="C115" t="str">
            <v>Western</v>
          </cell>
          <cell r="D115">
            <v>524</v>
          </cell>
          <cell r="E115">
            <v>356</v>
          </cell>
          <cell r="F115">
            <v>67</v>
          </cell>
          <cell r="G115">
            <v>156</v>
          </cell>
          <cell r="H115">
            <v>0.39133681852128455</v>
          </cell>
          <cell r="I115">
            <v>0.35247524752475246</v>
          </cell>
          <cell r="J115">
            <v>0.64423076923076927</v>
          </cell>
          <cell r="K115">
            <v>0.40519480519480522</v>
          </cell>
        </row>
        <row r="116">
          <cell r="A116" t="str">
            <v>650</v>
          </cell>
          <cell r="B116" t="str">
            <v>Hampton City</v>
          </cell>
          <cell r="C116" t="str">
            <v>Eastern</v>
          </cell>
          <cell r="D116">
            <v>11547</v>
          </cell>
          <cell r="E116">
            <v>2332</v>
          </cell>
          <cell r="F116">
            <v>8024</v>
          </cell>
          <cell r="G116">
            <v>695</v>
          </cell>
          <cell r="H116">
            <v>0.43935012556122061</v>
          </cell>
          <cell r="I116">
            <v>0.24986606664523733</v>
          </cell>
          <cell r="J116">
            <v>0.58081795150199056</v>
          </cell>
          <cell r="K116">
            <v>0.37425955842757136</v>
          </cell>
        </row>
        <row r="117">
          <cell r="A117" t="str">
            <v>660</v>
          </cell>
          <cell r="B117" t="str">
            <v>Harrisonburg City</v>
          </cell>
          <cell r="C117" t="str">
            <v>Northern</v>
          </cell>
          <cell r="D117">
            <v>2329</v>
          </cell>
          <cell r="E117">
            <v>1187</v>
          </cell>
          <cell r="F117">
            <v>406</v>
          </cell>
          <cell r="G117">
            <v>922</v>
          </cell>
          <cell r="H117">
            <v>0.35996908809891809</v>
          </cell>
          <cell r="I117">
            <v>0.29734468937875752</v>
          </cell>
          <cell r="J117">
            <v>0.65589660743134093</v>
          </cell>
          <cell r="K117">
            <v>0.42138939670932357</v>
          </cell>
        </row>
        <row r="118">
          <cell r="A118" t="str">
            <v>670</v>
          </cell>
          <cell r="B118" t="str">
            <v>Hopewell City</v>
          </cell>
          <cell r="C118" t="str">
            <v>Central</v>
          </cell>
          <cell r="D118">
            <v>2546</v>
          </cell>
          <cell r="E118">
            <v>722</v>
          </cell>
          <cell r="F118">
            <v>1574</v>
          </cell>
          <cell r="G118">
            <v>162</v>
          </cell>
          <cell r="H118">
            <v>0.55335796565963924</v>
          </cell>
          <cell r="I118">
            <v>0.37254901960784315</v>
          </cell>
          <cell r="J118">
            <v>0.73517048108360583</v>
          </cell>
          <cell r="K118">
            <v>0.38848920863309355</v>
          </cell>
        </row>
        <row r="119">
          <cell r="A119" t="str">
            <v>678</v>
          </cell>
          <cell r="B119" t="str">
            <v>Lexington City</v>
          </cell>
          <cell r="C119" t="str">
            <v>Piedmont</v>
          </cell>
          <cell r="D119">
            <v>181</v>
          </cell>
          <cell r="E119">
            <v>128</v>
          </cell>
          <cell r="F119">
            <v>39</v>
          </cell>
          <cell r="G119">
            <v>5</v>
          </cell>
          <cell r="H119">
            <v>0.27549467275494671</v>
          </cell>
          <cell r="I119">
            <v>0.2318840579710145</v>
          </cell>
          <cell r="J119">
            <v>0.57352941176470584</v>
          </cell>
          <cell r="K119">
            <v>0.10204081632653061</v>
          </cell>
        </row>
        <row r="120">
          <cell r="A120" t="str">
            <v>680</v>
          </cell>
          <cell r="B120" t="str">
            <v>Lynchburg City</v>
          </cell>
          <cell r="C120" t="str">
            <v>Piedmont</v>
          </cell>
          <cell r="D120">
            <v>5474</v>
          </cell>
          <cell r="E120">
            <v>1492</v>
          </cell>
          <cell r="F120">
            <v>3493</v>
          </cell>
          <cell r="G120">
            <v>194</v>
          </cell>
          <cell r="H120">
            <v>0.42762284196547146</v>
          </cell>
          <cell r="I120">
            <v>0.22806481198410272</v>
          </cell>
          <cell r="J120">
            <v>0.71563204261421842</v>
          </cell>
          <cell r="K120">
            <v>0.37451737451737449</v>
          </cell>
        </row>
        <row r="121">
          <cell r="A121" t="str">
            <v>683</v>
          </cell>
          <cell r="B121" t="str">
            <v>Manassas City</v>
          </cell>
          <cell r="C121" t="str">
            <v>Northern</v>
          </cell>
          <cell r="D121">
            <v>2509</v>
          </cell>
          <cell r="E121">
            <v>1103</v>
          </cell>
          <cell r="F121">
            <v>606</v>
          </cell>
          <cell r="G121">
            <v>956</v>
          </cell>
          <cell r="H121">
            <v>0.27550236082134621</v>
          </cell>
          <cell r="I121">
            <v>0.21729708431836092</v>
          </cell>
          <cell r="J121">
            <v>0.50415973377703827</v>
          </cell>
          <cell r="K121">
            <v>0.2617027101012866</v>
          </cell>
        </row>
        <row r="122">
          <cell r="A122" t="str">
            <v>685</v>
          </cell>
          <cell r="B122" t="str">
            <v>Manassas Park City</v>
          </cell>
          <cell r="C122" t="str">
            <v>Northern</v>
          </cell>
          <cell r="D122">
            <v>818</v>
          </cell>
          <cell r="E122">
            <v>394</v>
          </cell>
          <cell r="F122">
            <v>165</v>
          </cell>
          <cell r="G122">
            <v>319</v>
          </cell>
          <cell r="H122">
            <v>0.23869273416982784</v>
          </cell>
          <cell r="I122">
            <v>0.22578796561604583</v>
          </cell>
          <cell r="J122">
            <v>0.37757437070938216</v>
          </cell>
          <cell r="K122">
            <v>0.24075471698113207</v>
          </cell>
        </row>
        <row r="123">
          <cell r="A123" t="str">
            <v>690</v>
          </cell>
          <cell r="B123" t="str">
            <v>Martinsville City</v>
          </cell>
          <cell r="C123" t="str">
            <v>Piedmont</v>
          </cell>
          <cell r="D123">
            <v>1339</v>
          </cell>
          <cell r="E123">
            <v>339</v>
          </cell>
          <cell r="F123">
            <v>864</v>
          </cell>
          <cell r="G123">
            <v>90</v>
          </cell>
          <cell r="H123">
            <v>0.56641285956006771</v>
          </cell>
          <cell r="I123">
            <v>0.38004484304932734</v>
          </cell>
          <cell r="J123">
            <v>0.71404958677685948</v>
          </cell>
          <cell r="K123">
            <v>0.42857142857142855</v>
          </cell>
        </row>
        <row r="124">
          <cell r="A124" t="str">
            <v>700</v>
          </cell>
          <cell r="B124" t="str">
            <v>Newport News City</v>
          </cell>
          <cell r="C124" t="str">
            <v>Eastern</v>
          </cell>
          <cell r="D124">
            <v>16909</v>
          </cell>
          <cell r="E124">
            <v>3558</v>
          </cell>
          <cell r="F124">
            <v>11205</v>
          </cell>
          <cell r="G124">
            <v>1543</v>
          </cell>
          <cell r="H124">
            <v>0.44359620126974131</v>
          </cell>
          <cell r="I124">
            <v>0.2424201131021326</v>
          </cell>
          <cell r="J124">
            <v>0.62921159029649598</v>
          </cell>
          <cell r="K124">
            <v>0.37680097680097679</v>
          </cell>
        </row>
        <row r="125">
          <cell r="A125" t="str">
            <v>710</v>
          </cell>
          <cell r="B125" t="str">
            <v>Norfolk City</v>
          </cell>
          <cell r="C125" t="str">
            <v>Eastern</v>
          </cell>
          <cell r="D125">
            <v>20474</v>
          </cell>
          <cell r="E125">
            <v>4007</v>
          </cell>
          <cell r="F125">
            <v>14354</v>
          </cell>
          <cell r="G125">
            <v>1485</v>
          </cell>
          <cell r="H125">
            <v>0.4843280580985499</v>
          </cell>
          <cell r="I125">
            <v>0.25915146811537965</v>
          </cell>
          <cell r="J125">
            <v>0.67745893902208798</v>
          </cell>
          <cell r="K125">
            <v>0.39600000000000002</v>
          </cell>
        </row>
        <row r="126">
          <cell r="A126" t="str">
            <v>720</v>
          </cell>
          <cell r="B126" t="str">
            <v>Norton City</v>
          </cell>
          <cell r="C126" t="str">
            <v>Western</v>
          </cell>
          <cell r="D126">
            <v>345</v>
          </cell>
          <cell r="E126">
            <v>258</v>
          </cell>
          <cell r="F126">
            <v>39</v>
          </cell>
          <cell r="G126">
            <v>14</v>
          </cell>
          <cell r="H126">
            <v>0.47066848567530695</v>
          </cell>
          <cell r="I126">
            <v>0.43143812709030099</v>
          </cell>
          <cell r="J126">
            <v>0.68421052631578949</v>
          </cell>
          <cell r="K126">
            <v>0.77777777777777779</v>
          </cell>
        </row>
        <row r="127">
          <cell r="A127" t="str">
            <v>730</v>
          </cell>
          <cell r="B127" t="str">
            <v>Petersburg City</v>
          </cell>
          <cell r="C127" t="str">
            <v>Central</v>
          </cell>
          <cell r="D127">
            <v>3407</v>
          </cell>
          <cell r="E127">
            <v>162</v>
          </cell>
          <cell r="F127">
            <v>3058</v>
          </cell>
          <cell r="G127">
            <v>125</v>
          </cell>
          <cell r="H127">
            <v>0.68413654618473896</v>
          </cell>
          <cell r="I127">
            <v>0.40198511166253104</v>
          </cell>
          <cell r="J127">
            <v>0.73280613467529354</v>
          </cell>
          <cell r="K127">
            <v>0.39184952978056425</v>
          </cell>
        </row>
        <row r="128">
          <cell r="A128" t="str">
            <v>735</v>
          </cell>
          <cell r="B128" t="str">
            <v>Poquoson City</v>
          </cell>
          <cell r="C128" t="str">
            <v>Eastern</v>
          </cell>
          <cell r="D128">
            <v>489</v>
          </cell>
          <cell r="E128">
            <v>461</v>
          </cell>
          <cell r="F128">
            <v>4</v>
          </cell>
          <cell r="G128">
            <v>16</v>
          </cell>
          <cell r="H128">
            <v>0.17958134410576571</v>
          </cell>
          <cell r="I128">
            <v>0.18021892103205631</v>
          </cell>
          <cell r="J128">
            <v>0.33333333333333331</v>
          </cell>
          <cell r="K128">
            <v>0.24242424242424243</v>
          </cell>
        </row>
        <row r="129">
          <cell r="A129" t="str">
            <v>740</v>
          </cell>
          <cell r="B129" t="str">
            <v>Portsmouth City</v>
          </cell>
          <cell r="C129" t="str">
            <v>Eastern</v>
          </cell>
          <cell r="D129">
            <v>9017</v>
          </cell>
          <cell r="E129">
            <v>1561</v>
          </cell>
          <cell r="F129">
            <v>6830</v>
          </cell>
          <cell r="G129">
            <v>330</v>
          </cell>
          <cell r="H129">
            <v>0.49732502344051627</v>
          </cell>
          <cell r="I129">
            <v>0.257166392092257</v>
          </cell>
          <cell r="J129">
            <v>0.6416760616309658</v>
          </cell>
          <cell r="K129">
            <v>0.41614123581336698</v>
          </cell>
        </row>
        <row r="130">
          <cell r="A130" t="str">
            <v>750</v>
          </cell>
          <cell r="B130" t="str">
            <v>Radford City</v>
          </cell>
          <cell r="C130" t="str">
            <v>Western</v>
          </cell>
          <cell r="D130">
            <v>721</v>
          </cell>
          <cell r="E130">
            <v>509</v>
          </cell>
          <cell r="F130">
            <v>123</v>
          </cell>
          <cell r="G130">
            <v>26</v>
          </cell>
          <cell r="H130">
            <v>0.37338166752977731</v>
          </cell>
          <cell r="I130">
            <v>0.32256020278833969</v>
          </cell>
          <cell r="J130">
            <v>0.70285714285714285</v>
          </cell>
          <cell r="K130">
            <v>0.57777777777777772</v>
          </cell>
        </row>
        <row r="131">
          <cell r="A131" t="str">
            <v>760</v>
          </cell>
          <cell r="B131" t="str">
            <v>Richmond City</v>
          </cell>
          <cell r="C131" t="str">
            <v>Central</v>
          </cell>
          <cell r="D131">
            <v>18322</v>
          </cell>
          <cell r="E131">
            <v>1555</v>
          </cell>
          <cell r="F131">
            <v>15392</v>
          </cell>
          <cell r="G131">
            <v>1145</v>
          </cell>
          <cell r="H131">
            <v>0.58527391790448813</v>
          </cell>
          <cell r="I131">
            <v>0.18719152521969423</v>
          </cell>
          <cell r="J131">
            <v>0.77292357135683443</v>
          </cell>
          <cell r="K131">
            <v>0.42235337513832533</v>
          </cell>
        </row>
        <row r="132">
          <cell r="A132" t="str">
            <v>770</v>
          </cell>
          <cell r="B132" t="str">
            <v>Roanoke City</v>
          </cell>
          <cell r="C132" t="str">
            <v>Piedmont</v>
          </cell>
          <cell r="D132">
            <v>8836</v>
          </cell>
          <cell r="E132">
            <v>3165</v>
          </cell>
          <cell r="F132">
            <v>4457</v>
          </cell>
          <cell r="G132">
            <v>699</v>
          </cell>
          <cell r="H132">
            <v>0.49504173903299903</v>
          </cell>
          <cell r="I132">
            <v>0.3431266261925412</v>
          </cell>
          <cell r="J132">
            <v>0.71050534034752111</v>
          </cell>
          <cell r="K132">
            <v>0.45537459283387621</v>
          </cell>
        </row>
        <row r="133">
          <cell r="A133" t="str">
            <v>775</v>
          </cell>
          <cell r="B133" t="str">
            <v>Salem City</v>
          </cell>
          <cell r="C133" t="str">
            <v>Piedmont</v>
          </cell>
          <cell r="D133">
            <v>1430</v>
          </cell>
          <cell r="E133">
            <v>961</v>
          </cell>
          <cell r="F133">
            <v>321</v>
          </cell>
          <cell r="G133">
            <v>60</v>
          </cell>
          <cell r="H133">
            <v>0.32700663160301852</v>
          </cell>
          <cell r="I133">
            <v>0.26933856502242154</v>
          </cell>
          <cell r="J133">
            <v>0.74651162790697678</v>
          </cell>
          <cell r="K133">
            <v>0.33707865168539325</v>
          </cell>
        </row>
        <row r="134">
          <cell r="A134" t="str">
            <v>790</v>
          </cell>
          <cell r="B134" t="str">
            <v>Staunton City</v>
          </cell>
          <cell r="C134" t="str">
            <v>Piedmont</v>
          </cell>
          <cell r="D134">
            <v>1550</v>
          </cell>
          <cell r="E134">
            <v>959</v>
          </cell>
          <cell r="F134">
            <v>400</v>
          </cell>
          <cell r="G134">
            <v>40</v>
          </cell>
          <cell r="H134">
            <v>0.3929024081115336</v>
          </cell>
          <cell r="I134">
            <v>0.31998665331998666</v>
          </cell>
          <cell r="J134">
            <v>0.73126142595978061</v>
          </cell>
          <cell r="K134">
            <v>0.28776978417266186</v>
          </cell>
        </row>
        <row r="135">
          <cell r="A135" t="str">
            <v>800</v>
          </cell>
          <cell r="B135" t="str">
            <v>Suffolk City</v>
          </cell>
          <cell r="C135" t="str">
            <v>Eastern</v>
          </cell>
          <cell r="D135">
            <v>5891</v>
          </cell>
          <cell r="E135">
            <v>1476</v>
          </cell>
          <cell r="F135">
            <v>4058</v>
          </cell>
          <cell r="G135">
            <v>217</v>
          </cell>
          <cell r="H135">
            <v>0.309661480235492</v>
          </cell>
          <cell r="I135">
            <v>0.16302186878727634</v>
          </cell>
          <cell r="J135">
            <v>0.48286530223703</v>
          </cell>
          <cell r="K135">
            <v>0.26207729468599034</v>
          </cell>
        </row>
        <row r="136">
          <cell r="A136" t="str">
            <v>810</v>
          </cell>
          <cell r="B136" t="str">
            <v>Virginia Beach City</v>
          </cell>
          <cell r="C136" t="str">
            <v>Eastern</v>
          </cell>
          <cell r="D136">
            <v>27662</v>
          </cell>
          <cell r="E136">
            <v>12802</v>
          </cell>
          <cell r="F136">
            <v>10389</v>
          </cell>
          <cell r="G136">
            <v>3040</v>
          </cell>
          <cell r="H136">
            <v>0.29646221612526391</v>
          </cell>
          <cell r="I136">
            <v>0.22237276359214869</v>
          </cell>
          <cell r="J136">
            <v>0.52135293822451945</v>
          </cell>
          <cell r="K136">
            <v>0.33285886346217014</v>
          </cell>
        </row>
        <row r="137">
          <cell r="A137" t="str">
            <v>820</v>
          </cell>
          <cell r="B137" t="str">
            <v>Waynesboro City</v>
          </cell>
          <cell r="C137" t="str">
            <v>Piedmont</v>
          </cell>
          <cell r="D137">
            <v>1738</v>
          </cell>
          <cell r="E137">
            <v>1119</v>
          </cell>
          <cell r="F137">
            <v>330</v>
          </cell>
          <cell r="G137">
            <v>179</v>
          </cell>
          <cell r="H137">
            <v>0.40635959784895953</v>
          </cell>
          <cell r="I137">
            <v>0.35188679245283017</v>
          </cell>
          <cell r="J137">
            <v>0.68322981366459623</v>
          </cell>
          <cell r="K137">
            <v>0.37291666666666667</v>
          </cell>
        </row>
        <row r="138">
          <cell r="A138" t="str">
            <v>830</v>
          </cell>
          <cell r="B138" t="str">
            <v>Williamsburg City</v>
          </cell>
          <cell r="C138" t="str">
            <v>Eastern</v>
          </cell>
          <cell r="D138">
            <v>464</v>
          </cell>
          <cell r="E138">
            <v>179</v>
          </cell>
          <cell r="F138">
            <v>200</v>
          </cell>
          <cell r="G138">
            <v>57</v>
          </cell>
          <cell r="H138">
            <v>0.37692932575142163</v>
          </cell>
          <cell r="I138">
            <v>0.24792243767313019</v>
          </cell>
          <cell r="J138">
            <v>0.67796610169491522</v>
          </cell>
          <cell r="K138">
            <v>0.3904109589041096</v>
          </cell>
        </row>
        <row r="139">
          <cell r="A139" t="str">
            <v>840</v>
          </cell>
          <cell r="B139" t="str">
            <v>Winchester City</v>
          </cell>
          <cell r="C139" t="str">
            <v>Northern</v>
          </cell>
          <cell r="D139">
            <v>1867</v>
          </cell>
          <cell r="E139">
            <v>1033</v>
          </cell>
          <cell r="F139">
            <v>355</v>
          </cell>
          <cell r="G139">
            <v>454</v>
          </cell>
          <cell r="H139">
            <v>0.3726546906187625</v>
          </cell>
          <cell r="I139">
            <v>0.32700221589110479</v>
          </cell>
          <cell r="J139">
            <v>0.60580204778156999</v>
          </cell>
          <cell r="K139">
            <v>0.35607843137254902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Research@dss.virginia.gov"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Research@dss.virginia.gov"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Research@dss.virginia.gov"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Research@dss.virginia.gov"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Research@dss.virginia.gov"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esearch@dss.virginia.gov"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Research@dss.virginia.gov"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Research@dss.virginia.gov"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Research@dss.virginia.gov"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Research@dss.virginia.gov"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Research@dss.virginia.gov"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Research@dss.virginia.gov"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mailto:Research@dss.virginia.gov" TargetMode="External"/></Relationships>
</file>

<file path=xl/worksheets/_rels/sheet31.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mailto:Research@dss.virginia.gov"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mailto:Research@dss.virginia.gov"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esearch@dss.virginia.gov"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7.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8.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ailto:Research@dss.virginia.gov"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Research@dss.virginia.gov"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mailto:Research@dss.virginia.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mailto:Research@dss.virginia.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Research@dss.virginia.gov"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mailto:Research@dss.virginia.gov"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Research@dss.virginia.gov"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mailto:Research@dss.virginia.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Research@dss.virginia.gov"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mailto:Research@dss.virginia.gov" TargetMode="External"/></Relationships>
</file>

<file path=xl/worksheets/sheet1.xml><?xml version="1.0" encoding="utf-8"?>
<worksheet xmlns="http://schemas.openxmlformats.org/spreadsheetml/2006/main" xmlns:r="http://schemas.openxmlformats.org/officeDocument/2006/relationships">
  <dimension ref="A1:AF179"/>
  <sheetViews>
    <sheetView tabSelected="1" zoomScaleNormal="100" workbookViewId="0">
      <pane ySplit="4" topLeftCell="A5" activePane="bottomLeft" state="frozen"/>
      <selection pane="bottomLeft" activeCell="P7" sqref="P7"/>
    </sheetView>
  </sheetViews>
  <sheetFormatPr defaultRowHeight="12"/>
  <cols>
    <col min="1" max="1" width="1.625" style="112" customWidth="1"/>
    <col min="2" max="2" width="2.25" style="112" customWidth="1"/>
    <col min="3" max="3" width="2" style="112" customWidth="1"/>
    <col min="4" max="4" width="7.25" style="112" customWidth="1"/>
    <col min="5" max="5" width="11.875" style="112" customWidth="1"/>
    <col min="6" max="6" width="10.375" style="112" customWidth="1"/>
    <col min="7" max="7" width="11" style="112" customWidth="1"/>
    <col min="8" max="8" width="10" style="112" customWidth="1"/>
    <col min="9" max="9" width="10.125" style="112" customWidth="1"/>
    <col min="10" max="10" width="10.375" style="112" customWidth="1"/>
    <col min="11" max="11" width="10.75" style="112" customWidth="1"/>
    <col min="12" max="12" width="10.625" style="112" customWidth="1"/>
    <col min="13" max="13" width="13.125" style="112" customWidth="1"/>
    <col min="14" max="14" width="7.5" style="112" customWidth="1"/>
    <col min="15" max="15" width="10" style="112" customWidth="1"/>
    <col min="16" max="16" width="7.375" style="112" customWidth="1"/>
    <col min="17" max="17" width="9.125" style="112" bestFit="1" customWidth="1"/>
    <col min="18" max="18" width="6.5" style="112" bestFit="1" customWidth="1"/>
    <col min="19" max="19" width="9.125" style="112" bestFit="1" customWidth="1"/>
    <col min="20" max="20" width="12" style="112" customWidth="1"/>
    <col min="21" max="21" width="12.75" style="112" customWidth="1"/>
    <col min="22" max="22" width="11" style="112" bestFit="1" customWidth="1"/>
    <col min="23" max="23" width="12" style="112" customWidth="1"/>
    <col min="24" max="24" width="10.875" style="112" bestFit="1" customWidth="1"/>
    <col min="25" max="16384" width="9" style="112"/>
  </cols>
  <sheetData>
    <row r="1" spans="2:32" ht="15.75">
      <c r="B1" s="1238" t="s">
        <v>1175</v>
      </c>
      <c r="C1" s="1238"/>
      <c r="D1" s="1238"/>
      <c r="E1" s="1238"/>
      <c r="F1" s="1238"/>
      <c r="G1" s="1238"/>
      <c r="H1" s="1238"/>
      <c r="I1" s="1238"/>
      <c r="J1" s="1238"/>
      <c r="K1" s="1238"/>
      <c r="L1" s="1238"/>
      <c r="M1" s="1238"/>
      <c r="N1" s="1238"/>
      <c r="O1" s="414"/>
      <c r="P1" s="113"/>
      <c r="Q1" s="113"/>
      <c r="R1" s="113"/>
      <c r="AF1" s="114" t="s">
        <v>8</v>
      </c>
    </row>
    <row r="3" spans="2:32" ht="12.75">
      <c r="C3" s="308"/>
      <c r="D3" s="308" t="s">
        <v>1</v>
      </c>
      <c r="E3" s="1239" t="s">
        <v>11</v>
      </c>
      <c r="F3" s="1240"/>
      <c r="G3" s="1241"/>
      <c r="H3" s="308" t="s">
        <v>0</v>
      </c>
      <c r="I3" s="326" t="str">
        <f>VLOOKUP(E3,Loc_Name,2,FALSE)</f>
        <v>001</v>
      </c>
      <c r="J3" s="307" t="s">
        <v>893</v>
      </c>
      <c r="K3" s="317" t="str">
        <f>VLOOKUP(+I3,Agency_Level,3,FALSE)</f>
        <v>Eastern</v>
      </c>
      <c r="L3" s="309"/>
      <c r="M3" s="309"/>
      <c r="N3" s="309"/>
      <c r="O3" s="309"/>
      <c r="R3" s="117"/>
      <c r="S3" s="117"/>
      <c r="T3" s="117"/>
    </row>
    <row r="4" spans="2:32" ht="9" customHeight="1">
      <c r="J4" s="118"/>
      <c r="Q4" s="117"/>
      <c r="R4" s="117"/>
      <c r="S4" s="117"/>
      <c r="T4" s="117"/>
    </row>
    <row r="5" spans="2:32" ht="14.25" customHeight="1">
      <c r="B5" s="410" t="s">
        <v>896</v>
      </c>
      <c r="E5" s="501" t="str">
        <f>VLOOKUP(I3,Agency_Level,5,FALSE)</f>
        <v>II (Two)</v>
      </c>
      <c r="F5" s="116" t="s">
        <v>897</v>
      </c>
      <c r="G5" s="1256" t="str">
        <f>VLOOKUP(+I3,HR_Deviate,5,FALSE)</f>
        <v>Non-Deviating</v>
      </c>
      <c r="H5" s="1256"/>
      <c r="I5" s="410" t="s">
        <v>898</v>
      </c>
      <c r="J5" s="502" t="str">
        <f>VLOOKUP(+I3,IT_Support,4,)</f>
        <v>Shared</v>
      </c>
      <c r="K5" s="116" t="s">
        <v>967</v>
      </c>
      <c r="L5" s="503" t="str">
        <f>VLOOKUP(I3,BoardType,4,FALSE)</f>
        <v>Administrative</v>
      </c>
      <c r="M5" s="1260" t="str">
        <f>IF((VLOOKUP(I3,BoardType,4,FALSE))="Administrative"," ",VLOOKUP(I3,BoardType,5,FALSE))</f>
        <v xml:space="preserve"> </v>
      </c>
      <c r="N5" s="1260"/>
      <c r="R5" s="120"/>
      <c r="S5" s="120"/>
      <c r="T5" s="120"/>
    </row>
    <row r="6" spans="2:32" ht="9" customHeight="1">
      <c r="J6" s="119"/>
      <c r="L6" s="415"/>
      <c r="M6" s="500"/>
      <c r="N6" s="500"/>
      <c r="O6" s="415"/>
      <c r="Q6" s="120"/>
      <c r="R6" s="120"/>
      <c r="S6" s="120"/>
      <c r="T6" s="120"/>
    </row>
    <row r="7" spans="2:32" ht="12.75">
      <c r="B7" s="143" t="s">
        <v>1168</v>
      </c>
      <c r="C7" s="403"/>
      <c r="D7" s="403"/>
      <c r="E7" s="403"/>
      <c r="F7" s="403"/>
      <c r="G7" s="403"/>
      <c r="H7" s="403"/>
      <c r="I7" s="403"/>
      <c r="M7" s="437"/>
      <c r="Q7" s="120"/>
      <c r="R7" s="120"/>
      <c r="S7" s="120"/>
      <c r="T7" s="120"/>
    </row>
    <row r="8" spans="2:32" ht="12.75">
      <c r="B8" s="409" t="s">
        <v>1131</v>
      </c>
      <c r="C8" s="408"/>
      <c r="D8" s="408"/>
      <c r="E8" s="408"/>
      <c r="F8" s="408"/>
      <c r="G8" s="408"/>
      <c r="H8" s="403"/>
      <c r="I8" s="403"/>
      <c r="J8" s="403"/>
      <c r="K8" s="403"/>
      <c r="L8" s="403"/>
      <c r="M8" s="438"/>
      <c r="N8" s="403"/>
      <c r="O8" s="403"/>
      <c r="Q8" s="120"/>
      <c r="R8" s="120"/>
      <c r="S8" s="120"/>
      <c r="T8" s="120"/>
    </row>
    <row r="9" spans="2:32" ht="12.75">
      <c r="B9" s="141" t="s">
        <v>1169</v>
      </c>
      <c r="C9" s="141"/>
      <c r="D9" s="141"/>
    </row>
    <row r="10" spans="2:32" ht="12.75">
      <c r="B10" s="141" t="s">
        <v>1107</v>
      </c>
      <c r="C10" s="141"/>
      <c r="D10" s="141"/>
      <c r="E10" s="141"/>
      <c r="F10" s="141"/>
      <c r="G10" s="141"/>
      <c r="H10" s="141"/>
      <c r="I10" s="141"/>
      <c r="J10" s="141"/>
      <c r="K10" s="141"/>
      <c r="L10" s="141"/>
    </row>
    <row r="11" spans="2:32" ht="4.5" customHeight="1" thickBot="1">
      <c r="B11" s="141"/>
      <c r="C11" s="141"/>
      <c r="D11" s="141"/>
    </row>
    <row r="12" spans="2:32" ht="25.5" customHeight="1">
      <c r="B12" s="1261" t="s">
        <v>913</v>
      </c>
      <c r="C12" s="1262"/>
      <c r="D12" s="1262"/>
      <c r="E12" s="1262"/>
      <c r="F12" s="1265" t="str">
        <f>E3</f>
        <v>Accomack</v>
      </c>
      <c r="G12" s="1266"/>
      <c r="H12" s="1267" t="s">
        <v>9</v>
      </c>
      <c r="I12" s="1268"/>
    </row>
    <row r="13" spans="2:32" ht="13.5" customHeight="1">
      <c r="B13" s="1263"/>
      <c r="C13" s="1264"/>
      <c r="D13" s="1264"/>
      <c r="E13" s="1264"/>
      <c r="F13" s="323" t="s">
        <v>912</v>
      </c>
      <c r="G13" s="324" t="s">
        <v>327</v>
      </c>
      <c r="H13" s="323" t="s">
        <v>912</v>
      </c>
      <c r="I13" s="325" t="s">
        <v>327</v>
      </c>
    </row>
    <row r="14" spans="2:32" ht="13.5" customHeight="1">
      <c r="B14" s="364" t="s">
        <v>674</v>
      </c>
      <c r="C14" s="365"/>
      <c r="D14" s="365"/>
      <c r="E14" s="366"/>
      <c r="F14" s="367">
        <f>VLOOKUP(I3,PopByRace_2010,12,FALSE)</f>
        <v>33164</v>
      </c>
      <c r="G14" s="213"/>
      <c r="H14" s="368">
        <f>'2010 Population'!L6</f>
        <v>8001024</v>
      </c>
      <c r="I14" s="318"/>
    </row>
    <row r="15" spans="2:32" ht="13.5" customHeight="1">
      <c r="B15" s="369" t="s">
        <v>902</v>
      </c>
      <c r="C15" s="370"/>
      <c r="D15" s="371"/>
      <c r="E15" s="372"/>
      <c r="F15" s="373"/>
      <c r="G15" s="374"/>
      <c r="H15" s="375"/>
      <c r="I15" s="376"/>
    </row>
    <row r="16" spans="2:32" ht="13.5" customHeight="1">
      <c r="B16" s="1289"/>
      <c r="C16" s="145" t="s">
        <v>1039</v>
      </c>
      <c r="D16" s="125"/>
      <c r="E16" s="178"/>
      <c r="F16" s="180">
        <f>VLOOKUP(I3,PopByRace_2010,8,FALSE)</f>
        <v>7708</v>
      </c>
      <c r="G16" s="179">
        <f>VLOOKUP(I3,PopByRace_2010,22,FALSE)</f>
        <v>0.2324206971414787</v>
      </c>
      <c r="H16" s="181">
        <f>'2010 Population'!H6</f>
        <v>2083685</v>
      </c>
      <c r="I16" s="319">
        <f>'2010 Population'!V6</f>
        <v>0.2604272903068407</v>
      </c>
    </row>
    <row r="17" spans="2:10" ht="13.5" customHeight="1">
      <c r="B17" s="1289"/>
      <c r="C17" s="145" t="s">
        <v>1040</v>
      </c>
      <c r="D17" s="146"/>
      <c r="E17" s="178"/>
      <c r="F17" s="180">
        <f>VLOOKUP(I3,PopByRace_2010,4,FALSE)</f>
        <v>25456</v>
      </c>
      <c r="G17" s="179">
        <f>VLOOKUP(I3,PopByRace_2010,18,FALSE)</f>
        <v>0.76757930285852127</v>
      </c>
      <c r="H17" s="181">
        <f>'2010 Population'!D6</f>
        <v>5917339</v>
      </c>
      <c r="I17" s="319">
        <f>'2010 Population'!R6</f>
        <v>0.73957270969315925</v>
      </c>
    </row>
    <row r="18" spans="2:10" ht="13.5" customHeight="1">
      <c r="B18" s="377" t="s">
        <v>905</v>
      </c>
      <c r="C18" s="378"/>
      <c r="D18" s="378"/>
      <c r="E18" s="379"/>
      <c r="F18" s="380"/>
      <c r="G18" s="381"/>
      <c r="H18" s="382"/>
      <c r="I18" s="383"/>
    </row>
    <row r="19" spans="2:10" ht="13.5" customHeight="1">
      <c r="B19" s="1289"/>
      <c r="C19" s="1291" t="s">
        <v>2</v>
      </c>
      <c r="D19" s="1291"/>
      <c r="E19" s="178"/>
      <c r="F19" s="181">
        <f>VLOOKUP(I3,PopByRace_2010,13,FALSE)</f>
        <v>21662</v>
      </c>
      <c r="G19" s="179">
        <f>VLOOKUP(I3,PopByRace_2010,27,FALSE)</f>
        <v>0.65317814497648052</v>
      </c>
      <c r="H19" s="181">
        <f>'2010 Population'!M6</f>
        <v>5486852</v>
      </c>
      <c r="I19" s="319">
        <f>'2010 Population'!AA6</f>
        <v>0.68576872160363478</v>
      </c>
    </row>
    <row r="20" spans="2:10" ht="13.5" customHeight="1">
      <c r="B20" s="1289"/>
      <c r="C20" s="145" t="s">
        <v>906</v>
      </c>
      <c r="D20" s="145"/>
      <c r="E20" s="178"/>
      <c r="F20" s="181">
        <f>VLOOKUP(I3,PopByRace_2010,14,FALSE)</f>
        <v>9303</v>
      </c>
      <c r="G20" s="179">
        <f>VLOOKUP(I3,PopByRace_2010,28,FALSE)</f>
        <v>0.28051501628271619</v>
      </c>
      <c r="H20" s="181">
        <f>'2010 Population'!N6</f>
        <v>1551399</v>
      </c>
      <c r="I20" s="319">
        <f>'2010 Population'!AB6</f>
        <v>0.19390005579285852</v>
      </c>
    </row>
    <row r="21" spans="2:10" ht="13.5" customHeight="1">
      <c r="B21" s="1289"/>
      <c r="C21" s="1291" t="s">
        <v>827</v>
      </c>
      <c r="D21" s="1291"/>
      <c r="E21" s="178"/>
      <c r="F21" s="181">
        <f>VLOOKUP(I3,PopByRace_2010,15,FALSE)</f>
        <v>2199</v>
      </c>
      <c r="G21" s="179">
        <f>VLOOKUP(I3,PopByRace_2010,29,FALSE)</f>
        <v>6.6306838740803287E-2</v>
      </c>
      <c r="H21" s="181">
        <f>'2010 Population'!O6</f>
        <v>962773</v>
      </c>
      <c r="I21" s="319">
        <f>'2010 Population'!AC6</f>
        <v>0.12033122260350675</v>
      </c>
    </row>
    <row r="22" spans="2:10" ht="13.5" customHeight="1" thickBot="1">
      <c r="B22" s="1290"/>
      <c r="C22" s="402" t="s">
        <v>907</v>
      </c>
      <c r="D22" s="402"/>
      <c r="E22" s="411"/>
      <c r="F22" s="320">
        <f>VLOOKUP(I3,PopByRace_2010,33,FALSE)</f>
        <v>2850</v>
      </c>
      <c r="G22" s="321">
        <f>VLOOKUP(I3,PopByRace_2010,36,FALSE)</f>
        <v>8.5936557713182968E-2</v>
      </c>
      <c r="H22" s="320">
        <f>'2010 Population'!AG6</f>
        <v>631825</v>
      </c>
      <c r="I22" s="322">
        <f>'2010 Population'!AJ6</f>
        <v>7.8968017093811987E-2</v>
      </c>
    </row>
    <row r="23" spans="2:10" ht="33" customHeight="1" thickBot="1">
      <c r="B23" s="1252" t="s">
        <v>1041</v>
      </c>
      <c r="C23" s="1252"/>
      <c r="D23" s="1252"/>
      <c r="E23" s="1252"/>
      <c r="F23" s="1252"/>
      <c r="G23" s="1252"/>
      <c r="H23" s="1252"/>
      <c r="I23" s="1252"/>
    </row>
    <row r="24" spans="2:10" ht="24.75" customHeight="1">
      <c r="B24" s="1213" t="s">
        <v>1106</v>
      </c>
      <c r="C24" s="1214"/>
      <c r="D24" s="1214"/>
      <c r="E24" s="1214"/>
      <c r="F24" s="1211" t="str">
        <f>E3</f>
        <v>Accomack</v>
      </c>
      <c r="G24" s="1212"/>
      <c r="H24" s="1209" t="s">
        <v>9</v>
      </c>
      <c r="I24" s="1210"/>
      <c r="J24" s="412"/>
    </row>
    <row r="25" spans="2:10" ht="15" customHeight="1">
      <c r="B25" s="1215"/>
      <c r="C25" s="1216"/>
      <c r="D25" s="1216"/>
      <c r="E25" s="1216"/>
      <c r="F25" s="1083" t="s">
        <v>1104</v>
      </c>
      <c r="G25" s="1084" t="s">
        <v>1105</v>
      </c>
      <c r="H25" s="1085" t="s">
        <v>1104</v>
      </c>
      <c r="I25" s="1086" t="s">
        <v>1105</v>
      </c>
    </row>
    <row r="26" spans="2:10" ht="12.75" customHeight="1">
      <c r="B26" s="1217">
        <v>2000</v>
      </c>
      <c r="C26" s="1218"/>
      <c r="D26" s="1218"/>
      <c r="E26" s="1218"/>
      <c r="F26" s="1079" t="s">
        <v>928</v>
      </c>
      <c r="G26" s="1074">
        <f>VLOOKUP($I$3,Pov_10,5,FALSE)</f>
        <v>0.17100000000000001</v>
      </c>
      <c r="H26" s="1075" t="s">
        <v>928</v>
      </c>
      <c r="I26" s="1071">
        <f>'Poverty 1998-2010'!E4</f>
        <v>8.8499999999999995E-2</v>
      </c>
    </row>
    <row r="27" spans="2:10" ht="12.75" customHeight="1">
      <c r="B27" s="1230">
        <v>2001</v>
      </c>
      <c r="C27" s="1231"/>
      <c r="D27" s="1231"/>
      <c r="E27" s="1231"/>
      <c r="F27" s="1080">
        <f>VLOOKUP(I3,Unemp_10,4,FALSE)</f>
        <v>3.3548598949211909E-2</v>
      </c>
      <c r="G27" s="1072">
        <f>VLOOKUP(I3,Pov_10,6,FALSE)</f>
        <v>0.16300000000000001</v>
      </c>
      <c r="H27" s="1076">
        <f>'Unemployment 2001-2011'!D6</f>
        <v>3.2187783912701044E-2</v>
      </c>
      <c r="I27" s="1073">
        <f>'Poverty 1998-2010'!F4</f>
        <v>8.77E-2</v>
      </c>
    </row>
    <row r="28" spans="2:10" ht="12.75" customHeight="1">
      <c r="B28" s="1232">
        <v>2002</v>
      </c>
      <c r="C28" s="1233"/>
      <c r="D28" s="1233"/>
      <c r="E28" s="1233"/>
      <c r="F28" s="1079">
        <f>VLOOKUP(I3,Unemp_10,5,FALSE)</f>
        <v>4.1398440362170934E-2</v>
      </c>
      <c r="G28" s="1074">
        <f>VLOOKUP(I3,Pov_10,7,FALSE)</f>
        <v>0.17699999999999999</v>
      </c>
      <c r="H28" s="1077">
        <f>'Unemployment 2001-2011'!E6</f>
        <v>4.1810282554885593E-2</v>
      </c>
      <c r="I28" s="1071">
        <f>'Poverty 1998-2010'!G4</f>
        <v>9.5899999999999999E-2</v>
      </c>
    </row>
    <row r="29" spans="2:10" ht="12.75" customHeight="1">
      <c r="B29" s="1230">
        <v>2003</v>
      </c>
      <c r="C29" s="1231"/>
      <c r="D29" s="1231"/>
      <c r="E29" s="1231"/>
      <c r="F29" s="1080">
        <f>VLOOKUP(I3,Unemp_10,6,FALSE)</f>
        <v>4.3487190018996764E-2</v>
      </c>
      <c r="G29" s="1072">
        <f>VLOOKUP(I3,Pov_10,8,FALSE)</f>
        <v>0.156</v>
      </c>
      <c r="H29" s="1076">
        <f>'Unemployment 2001-2011'!F6</f>
        <v>4.0951027325666245E-2</v>
      </c>
      <c r="I29" s="1073">
        <f>'Poverty 1998-2010'!H4</f>
        <v>9.9399999999999988E-2</v>
      </c>
    </row>
    <row r="30" spans="2:10" ht="12.75" customHeight="1">
      <c r="B30" s="1232">
        <v>2004</v>
      </c>
      <c r="C30" s="1233"/>
      <c r="D30" s="1233"/>
      <c r="E30" s="1233"/>
      <c r="F30" s="1079">
        <f>VLOOKUP(I3,Unemp_10,7,FALSE)</f>
        <v>4.57900986010015E-2</v>
      </c>
      <c r="G30" s="1074">
        <f>VLOOKUP(I3,Pov_10,9,FALSE)</f>
        <v>0.14899999999999999</v>
      </c>
      <c r="H30" s="1077">
        <f>'Unemployment 2001-2011'!G6</f>
        <v>3.6983564098822252E-2</v>
      </c>
      <c r="I30" s="1071">
        <f>'Poverty 1998-2010'!I4</f>
        <v>9.5199999999999993E-2</v>
      </c>
    </row>
    <row r="31" spans="2:10" ht="12.75" customHeight="1">
      <c r="B31" s="1230">
        <v>2005</v>
      </c>
      <c r="C31" s="1231"/>
      <c r="D31" s="1231"/>
      <c r="E31" s="1231"/>
      <c r="F31" s="1080">
        <f>VLOOKUP(I3,Unemp_10,8,FALSE)</f>
        <v>4.6037019458946372E-2</v>
      </c>
      <c r="G31" s="1072">
        <f>VLOOKUP(I3,Pov_10,10,FALSE)</f>
        <v>0.183</v>
      </c>
      <c r="H31" s="1076">
        <f>'Unemployment 2001-2011'!H6</f>
        <v>3.5006670478368591E-2</v>
      </c>
      <c r="I31" s="1073">
        <f>'Poverty 1998-2010'!J4</f>
        <v>9.9600000000000008E-2</v>
      </c>
    </row>
    <row r="32" spans="2:10" ht="12.75" customHeight="1">
      <c r="B32" s="1232">
        <v>2006</v>
      </c>
      <c r="C32" s="1233"/>
      <c r="D32" s="1233"/>
      <c r="E32" s="1233"/>
      <c r="F32" s="1079">
        <f>VLOOKUP(I3,Unemp_10,9,FALSE)</f>
        <v>4.1579819357597136E-2</v>
      </c>
      <c r="G32" s="1074">
        <f>VLOOKUP(I3,Pov_10,11,FALSE)</f>
        <v>0.154</v>
      </c>
      <c r="H32" s="1077">
        <f>'Unemployment 2001-2011'!I6</f>
        <v>3.0047576742774661E-2</v>
      </c>
      <c r="I32" s="1071">
        <f>'Poverty 1998-2010'!K4</f>
        <v>9.6199999999999994E-2</v>
      </c>
    </row>
    <row r="33" spans="2:24" ht="12.75" customHeight="1">
      <c r="B33" s="1230">
        <v>2007</v>
      </c>
      <c r="C33" s="1231"/>
      <c r="D33" s="1231"/>
      <c r="E33" s="1231"/>
      <c r="F33" s="1080">
        <f>VLOOKUP(I3,Unemp_10,10,FALSE)</f>
        <v>4.0461204844766487E-2</v>
      </c>
      <c r="G33" s="1072">
        <f>VLOOKUP(I3,Pov_10,12,FALSE)</f>
        <v>0.16800000000000001</v>
      </c>
      <c r="H33" s="1076">
        <f>'Unemployment 2001-2011'!J7</f>
        <v>4.0461204844766487E-2</v>
      </c>
      <c r="I33" s="1073">
        <f>'Poverty 1998-2010'!L4</f>
        <v>9.9000000000000005E-2</v>
      </c>
    </row>
    <row r="34" spans="2:24" ht="12.75" customHeight="1">
      <c r="B34" s="1232">
        <v>2008</v>
      </c>
      <c r="C34" s="1233"/>
      <c r="D34" s="1233"/>
      <c r="E34" s="1233"/>
      <c r="F34" s="1079">
        <f>VLOOKUP(I3,Unemp_10,11,FALSE)</f>
        <v>4.9591567852437415E-2</v>
      </c>
      <c r="G34" s="1074">
        <f>VLOOKUP($I$3,Pov_10,13,FALSE)</f>
        <v>0.20600000000000002</v>
      </c>
      <c r="H34" s="1077">
        <f>'Unemployment 2001-2011'!K6</f>
        <v>3.9293121325249841E-2</v>
      </c>
      <c r="I34" s="1071">
        <f>'Poverty 1998-2010'!M4</f>
        <v>0.10210000000000001</v>
      </c>
    </row>
    <row r="35" spans="2:24" ht="12.75" customHeight="1">
      <c r="B35" s="1230">
        <v>2009</v>
      </c>
      <c r="C35" s="1231"/>
      <c r="D35" s="1231"/>
      <c r="E35" s="1231"/>
      <c r="F35" s="1080">
        <f>VLOOKUP(I3,Unemp_10,12,FALSE)</f>
        <v>6.6257288817792456E-2</v>
      </c>
      <c r="G35" s="1072">
        <f>VLOOKUP($I$3,Pov_10,14,FALSE)</f>
        <v>0.183</v>
      </c>
      <c r="H35" s="1076">
        <f>'Unemployment 2001-2011'!L6</f>
        <v>6.6504174435482052E-2</v>
      </c>
      <c r="I35" s="1073">
        <f>'Poverty 1998-2010'!N4</f>
        <v>0.1057</v>
      </c>
    </row>
    <row r="36" spans="2:24" ht="12.75" customHeight="1">
      <c r="B36" s="1232">
        <v>2010</v>
      </c>
      <c r="C36" s="1233"/>
      <c r="D36" s="1233"/>
      <c r="E36" s="1233"/>
      <c r="F36" s="1079">
        <f>VLOOKUP(I3,Unemp_10,13,FALSE)</f>
        <v>7.2078341701048862E-2</v>
      </c>
      <c r="G36" s="1074">
        <f>VLOOKUP($I$3,Pov_10,15,FALSE)</f>
        <v>0.20499999999999999</v>
      </c>
      <c r="H36" s="1077">
        <f>'Unemployment 2001-2011'!M6</f>
        <v>6.9088302581042094E-2</v>
      </c>
      <c r="I36" s="1071">
        <f>'Poverty 1998-2010'!O4</f>
        <v>0.11118840014389482</v>
      </c>
    </row>
    <row r="37" spans="2:24" ht="12.75" customHeight="1" thickBot="1">
      <c r="B37" s="1276">
        <v>2011</v>
      </c>
      <c r="C37" s="1277"/>
      <c r="D37" s="1277"/>
      <c r="E37" s="1277"/>
      <c r="F37" s="1081">
        <f>VLOOKUP(I3,Unemp_10,14,FALSE)</f>
        <v>7.1893366918555829E-2</v>
      </c>
      <c r="G37" s="1082" t="s">
        <v>928</v>
      </c>
      <c r="H37" s="1078">
        <f>'Unemployment 2001-2011'!N6</f>
        <v>6.2429897166254779E-2</v>
      </c>
      <c r="I37" s="344" t="s">
        <v>928</v>
      </c>
    </row>
    <row r="38" spans="2:24" ht="15" customHeight="1" thickBot="1">
      <c r="B38" s="316" t="s">
        <v>927</v>
      </c>
      <c r="C38" s="141"/>
    </row>
    <row r="39" spans="2:24" ht="15" customHeight="1">
      <c r="B39" s="1261" t="s">
        <v>839</v>
      </c>
      <c r="C39" s="1262"/>
      <c r="D39" s="1262"/>
      <c r="E39" s="1262"/>
      <c r="F39" s="1269"/>
      <c r="G39" s="1258" t="s">
        <v>830</v>
      </c>
      <c r="H39" s="1273" t="s">
        <v>903</v>
      </c>
      <c r="I39" s="1274"/>
      <c r="J39" s="1275"/>
      <c r="K39" s="1273" t="s">
        <v>904</v>
      </c>
      <c r="L39" s="1274"/>
      <c r="M39" s="1279"/>
      <c r="T39" s="122"/>
      <c r="U39" s="123"/>
      <c r="V39" s="123"/>
      <c r="W39" s="124"/>
      <c r="X39" s="123"/>
    </row>
    <row r="40" spans="2:24" ht="15" customHeight="1">
      <c r="B40" s="1270"/>
      <c r="C40" s="1271"/>
      <c r="D40" s="1271"/>
      <c r="E40" s="1271"/>
      <c r="F40" s="1272"/>
      <c r="G40" s="1259"/>
      <c r="H40" s="327" t="s">
        <v>2</v>
      </c>
      <c r="I40" s="328" t="s">
        <v>667</v>
      </c>
      <c r="J40" s="329" t="s">
        <v>827</v>
      </c>
      <c r="K40" s="327" t="s">
        <v>2</v>
      </c>
      <c r="L40" s="328" t="s">
        <v>667</v>
      </c>
      <c r="M40" s="330" t="s">
        <v>827</v>
      </c>
      <c r="T40" s="122"/>
      <c r="U40" s="123"/>
      <c r="V40" s="123"/>
      <c r="W40" s="124"/>
      <c r="X40" s="123"/>
    </row>
    <row r="41" spans="2:24" ht="15" customHeight="1">
      <c r="B41" s="357" t="s">
        <v>958</v>
      </c>
      <c r="C41" s="358"/>
      <c r="D41" s="358"/>
      <c r="E41" s="358"/>
      <c r="F41" s="359"/>
      <c r="G41" s="360"/>
      <c r="H41" s="812"/>
      <c r="I41" s="813"/>
      <c r="J41" s="814"/>
      <c r="K41" s="812"/>
      <c r="L41" s="813"/>
      <c r="M41" s="815"/>
      <c r="T41" s="122"/>
      <c r="U41" s="123"/>
      <c r="V41" s="123"/>
      <c r="W41" s="124"/>
      <c r="X41" s="123"/>
    </row>
    <row r="42" spans="2:24" ht="15" customHeight="1">
      <c r="B42" s="347" t="s">
        <v>842</v>
      </c>
      <c r="C42" s="348"/>
      <c r="D42" s="348"/>
      <c r="E42" s="348"/>
      <c r="F42" s="349"/>
      <c r="G42" s="350"/>
      <c r="H42" s="816"/>
      <c r="I42" s="817"/>
      <c r="J42" s="818"/>
      <c r="K42" s="816"/>
      <c r="L42" s="817"/>
      <c r="M42" s="819"/>
      <c r="T42" s="122"/>
      <c r="U42" s="123"/>
      <c r="V42" s="123"/>
      <c r="W42" s="124"/>
      <c r="X42" s="123"/>
    </row>
    <row r="43" spans="2:24" ht="15" customHeight="1">
      <c r="B43" s="468" t="s">
        <v>402</v>
      </c>
      <c r="C43" s="469"/>
      <c r="D43" s="469"/>
      <c r="E43" s="469"/>
      <c r="F43" s="470"/>
      <c r="G43" s="471">
        <f>+H43+I43+J43+K43+L43+M43</f>
        <v>9362</v>
      </c>
      <c r="H43" s="820">
        <f>VLOOKUP($I$3,SNAP_DEMO_2011,8,FALSE)</f>
        <v>1992</v>
      </c>
      <c r="I43" s="821">
        <f>VLOOKUP($I$3,SNAP_DEMO_2011,9,FALSE)</f>
        <v>1898</v>
      </c>
      <c r="J43" s="822">
        <f>VLOOKUP($I$3,SNAP_DEMO_2011,10,FALSE)</f>
        <v>88</v>
      </c>
      <c r="K43" s="820">
        <f>VLOOKUP($I$3,SNAP_DEMO_2011,4,FALSE)</f>
        <v>2692</v>
      </c>
      <c r="L43" s="821">
        <f>VLOOKUP($I$3,SNAP_DEMO_2011,5,FALSE)</f>
        <v>2470</v>
      </c>
      <c r="M43" s="823">
        <f>VLOOKUP($I$3,SNAP_DEMO_2011,6,FALSE)</f>
        <v>222</v>
      </c>
      <c r="R43" s="126"/>
      <c r="S43" s="126"/>
      <c r="T43" s="126"/>
      <c r="U43" s="126"/>
      <c r="V43" s="126"/>
      <c r="W43" s="126"/>
      <c r="X43" s="126"/>
    </row>
    <row r="44" spans="2:24" ht="15" customHeight="1">
      <c r="B44" s="468" t="s">
        <v>669</v>
      </c>
      <c r="C44" s="469"/>
      <c r="D44" s="469"/>
      <c r="E44" s="469"/>
      <c r="F44" s="470"/>
      <c r="G44" s="471">
        <f>+H44+I44+J44+K44+L44+M44</f>
        <v>8276</v>
      </c>
      <c r="H44" s="820">
        <f>VLOOKUP($I$3,Medicaid_Demog_2011,9,FALSE)</f>
        <v>2705</v>
      </c>
      <c r="I44" s="820">
        <f>VLOOKUP($I$3,Medicaid_Demog_2011,10,FALSE)</f>
        <v>2495</v>
      </c>
      <c r="J44" s="820">
        <f>VLOOKUP($I$3,Medicaid_Demog_2011,11,FALSE)</f>
        <v>132</v>
      </c>
      <c r="K44" s="820">
        <f>VLOOKUP($I$3,Medicaid_Demog_2011,4,FALSE)</f>
        <v>1306</v>
      </c>
      <c r="L44" s="820">
        <f>VLOOKUP($I$3,Medicaid_Demog_2011,5,FALSE)</f>
        <v>1605</v>
      </c>
      <c r="M44" s="811">
        <f>VLOOKUP($I$3,Medicaid_Demog_2011,6,FALSE)</f>
        <v>33</v>
      </c>
      <c r="T44" s="122"/>
      <c r="U44" s="123"/>
      <c r="V44" s="123"/>
      <c r="W44" s="124"/>
      <c r="X44" s="123"/>
    </row>
    <row r="45" spans="2:24" ht="15" customHeight="1">
      <c r="B45" s="468" t="s">
        <v>596</v>
      </c>
      <c r="C45" s="469"/>
      <c r="D45" s="469"/>
      <c r="E45" s="469"/>
      <c r="F45" s="470"/>
      <c r="G45" s="471">
        <f>+H45+I45+J45+K45+L45+M45</f>
        <v>1096</v>
      </c>
      <c r="H45" s="820">
        <f>VLOOKUP($I$3,TANF_DEMO_11,8,FALSE)</f>
        <v>246</v>
      </c>
      <c r="I45" s="821">
        <f>VLOOKUP($I$3,TANF_DEMO_11,9,FALSE)</f>
        <v>439</v>
      </c>
      <c r="J45" s="822">
        <f>VLOOKUP($I$3,TANF_DEMO_11,10,FALSE)</f>
        <v>19</v>
      </c>
      <c r="K45" s="820">
        <f>VLOOKUP($I$3,TANF_DEMO_11,4,FALSE)</f>
        <v>168</v>
      </c>
      <c r="L45" s="821">
        <f>VLOOKUP($I$3,TANF_DEMO_11,5,FALSE)</f>
        <v>218</v>
      </c>
      <c r="M45" s="823">
        <f>VLOOKUP($I$3,TANF_DEMO_11,6,FALSE)</f>
        <v>6</v>
      </c>
      <c r="T45" s="122"/>
      <c r="U45" s="123"/>
      <c r="V45" s="123"/>
      <c r="W45" s="124"/>
      <c r="X45" s="123"/>
    </row>
    <row r="46" spans="2:24" ht="15" customHeight="1">
      <c r="B46" s="353" t="s">
        <v>901</v>
      </c>
      <c r="C46" s="354"/>
      <c r="D46" s="354"/>
      <c r="E46" s="355"/>
      <c r="F46" s="356"/>
      <c r="G46" s="350"/>
      <c r="H46" s="816"/>
      <c r="I46" s="817"/>
      <c r="J46" s="818"/>
      <c r="K46" s="816"/>
      <c r="L46" s="817"/>
      <c r="M46" s="819"/>
      <c r="S46" s="127"/>
      <c r="T46" s="127"/>
      <c r="U46" s="127"/>
      <c r="V46" s="127"/>
      <c r="W46" s="127"/>
      <c r="X46" s="127"/>
    </row>
    <row r="47" spans="2:24" ht="15" customHeight="1">
      <c r="B47" s="468" t="s">
        <v>402</v>
      </c>
      <c r="C47" s="469"/>
      <c r="D47" s="469"/>
      <c r="E47" s="469"/>
      <c r="F47" s="470"/>
      <c r="G47" s="472"/>
      <c r="H47" s="824">
        <f>IF((H43/VLOOKUP($I$3,PopByRace_2010,9,FALSE))&gt;1,1,H43/VLOOKUP($I$3,PopByRace_2010,9,FALSE))</f>
        <v>0.46121787450798796</v>
      </c>
      <c r="I47" s="824">
        <f>IF((I43/VLOOKUP($I$3,PopByRace_2010,10,FALSE))&gt;1,1,I43/VLOOKUP($I$3,PopByRace_2010,10,FALSE))</f>
        <v>0.76163723916532911</v>
      </c>
      <c r="J47" s="824">
        <f>IF((J43/VLOOKUP($I$3,PopByRace_2010,11,FALSE))&gt;1,1,J43/VLOOKUP($I$3,PopByRace_2010,11,FALSE))</f>
        <v>9.8104793756967665E-2</v>
      </c>
      <c r="K47" s="824">
        <f>IF((K43/VLOOKUP($I$3,PopByRace_2010,5,FALSE))&gt;1,1,K43/VLOOKUP($I$3,PopByRace_2010,5,FALSE))</f>
        <v>0.1552211266793519</v>
      </c>
      <c r="L47" s="824">
        <f>IF((L43/VLOOKUP($I$3,PopByRace_2010,6,FALSE))&gt;1,1,L43/VLOOKUP($I$3,PopByRace_2010,6,FALSE))</f>
        <v>0.36264865658493611</v>
      </c>
      <c r="M47" s="825">
        <f>IF((M43/VLOOKUP($I$3,PopByRace_2010,7,FALSE))&gt;1,1,M43/VLOOKUP($I$3,PopByRace_2010,7,FALSE))</f>
        <v>0.17050691244239632</v>
      </c>
      <c r="P47" s="127"/>
    </row>
    <row r="48" spans="2:24" ht="15" customHeight="1">
      <c r="B48" s="468" t="s">
        <v>669</v>
      </c>
      <c r="C48" s="469"/>
      <c r="D48" s="469"/>
      <c r="E48" s="469"/>
      <c r="F48" s="470"/>
      <c r="G48" s="472"/>
      <c r="H48" s="824">
        <f>IF((H44/VLOOKUP($I$3,PopByRace_2010,9,FALSE))&gt;1,1,H44/VLOOKUP($I$3,PopByRace_2010,9,FALSE))</f>
        <v>0.62630238481129896</v>
      </c>
      <c r="I48" s="824">
        <f>IF((I44/VLOOKUP($I$3,PopByRace_2010,10,FALSE))&gt;1,1,I44/VLOOKUP($I$3,PopByRace_2010,10,FALSE))</f>
        <v>1</v>
      </c>
      <c r="J48" s="824">
        <f>IF((J44/VLOOKUP($I$3,PopByRace_2010,11,FALSE))&gt;1,1,J44/VLOOKUP($I$3,PopByRace_2010,11,FALSE))</f>
        <v>0.14715719063545152</v>
      </c>
      <c r="K48" s="824">
        <f>IF((K44/VLOOKUP($I$3,PopByRace_2010,5,FALSE))&gt;1,1,K44/VLOOKUP($I$3,PopByRace_2010,5,FALSE))</f>
        <v>7.5304157296892119E-2</v>
      </c>
      <c r="L48" s="824">
        <f>IF((L44/VLOOKUP($I$3,PopByRace_2010,6,FALSE))&gt;1,1,L44/VLOOKUP($I$3,PopByRace_2010,6,FALSE))</f>
        <v>0.23564821612098077</v>
      </c>
      <c r="M48" s="825">
        <f>IF((M44/VLOOKUP($I$3,PopByRace_2010,7,FALSE))&gt;1,1,M44/VLOOKUP($I$3,PopByRace_2010,7,FALSE))</f>
        <v>2.5345622119815669E-2</v>
      </c>
      <c r="P48" s="127"/>
    </row>
    <row r="49" spans="1:25" ht="15" customHeight="1">
      <c r="B49" s="468" t="s">
        <v>596</v>
      </c>
      <c r="C49" s="469"/>
      <c r="D49" s="469"/>
      <c r="E49" s="469"/>
      <c r="F49" s="470"/>
      <c r="G49" s="472"/>
      <c r="H49" s="824">
        <f>IF((H45/VLOOKUP($I$3,PopByRace_2010,9,FALSE))&gt;1,1,H45/VLOOKUP($I$3,PopByRace_2010,9,FALSE))</f>
        <v>5.695762908080574E-2</v>
      </c>
      <c r="I49" s="824">
        <f>IF((I45/VLOOKUP($I$3,PopByRace_2010,10,FALSE))&gt;1,1,I45/VLOOKUP($I$3,PopByRace_2010,10,FALSE))</f>
        <v>0.1761637239165329</v>
      </c>
      <c r="J49" s="824">
        <f>IF((J45/VLOOKUP($I$3,PopByRace_2010,11,FALSE))&gt;1,1,J45/VLOOKUP($I$3,PopByRace_2010,11,FALSE))</f>
        <v>2.1181716833890748E-2</v>
      </c>
      <c r="K49" s="824">
        <f>IF((K45/VLOOKUP($I$3,PopByRace_2010,5,FALSE))&gt;1,1,K45/VLOOKUP($I$3,PopByRace_2010,5,FALSE))</f>
        <v>9.6869053796920946E-3</v>
      </c>
      <c r="L49" s="824">
        <f>IF((L45/VLOOKUP($I$3,PopByRace_2010,6,FALSE))&gt;1,1,L45/VLOOKUP($I$3,PopByRace_2010,6,FALSE))</f>
        <v>3.2007047423285861E-2</v>
      </c>
      <c r="M49" s="825">
        <f>IF((M45/VLOOKUP($I$3,PopByRace_2010,7,FALSE))&gt;1,1,M45/VLOOKUP($I$3,PopByRace_2010,7,FALSE))</f>
        <v>4.608294930875576E-3</v>
      </c>
      <c r="P49" s="127"/>
    </row>
    <row r="50" spans="1:25" ht="15" customHeight="1">
      <c r="B50" s="361" t="s">
        <v>670</v>
      </c>
      <c r="C50" s="362"/>
      <c r="D50" s="362"/>
      <c r="E50" s="362"/>
      <c r="F50" s="363"/>
      <c r="G50" s="360"/>
      <c r="H50" s="812"/>
      <c r="I50" s="813"/>
      <c r="J50" s="814"/>
      <c r="K50" s="812"/>
      <c r="L50" s="813"/>
      <c r="M50" s="815"/>
      <c r="X50" s="128"/>
    </row>
    <row r="51" spans="1:25" ht="15" customHeight="1">
      <c r="B51" s="347" t="s">
        <v>862</v>
      </c>
      <c r="C51" s="348"/>
      <c r="D51" s="348"/>
      <c r="E51" s="348"/>
      <c r="F51" s="349"/>
      <c r="G51" s="350"/>
      <c r="H51" s="816"/>
      <c r="I51" s="817"/>
      <c r="J51" s="818"/>
      <c r="K51" s="816"/>
      <c r="L51" s="817"/>
      <c r="M51" s="819"/>
      <c r="T51" s="129"/>
      <c r="U51" s="128"/>
      <c r="V51" s="128"/>
      <c r="W51" s="128"/>
      <c r="X51" s="128"/>
    </row>
    <row r="52" spans="1:25" ht="15" customHeight="1">
      <c r="B52" s="468" t="s">
        <v>834</v>
      </c>
      <c r="C52" s="469"/>
      <c r="D52" s="469"/>
      <c r="E52" s="469"/>
      <c r="F52" s="470"/>
      <c r="G52" s="471">
        <f>+H52+I52+J52</f>
        <v>407</v>
      </c>
      <c r="H52" s="820">
        <f>VLOOKUP($I$3,CPS_REF_RACE_2011,4,FALSE)</f>
        <v>257</v>
      </c>
      <c r="I52" s="821">
        <f>VLOOKUP($I$3,CPS_REF_RACE_2011,5,FALSE)</f>
        <v>144</v>
      </c>
      <c r="J52" s="822">
        <f>VLOOKUP($I$3,CPS_REF_RACE_2011,6,FALSE)</f>
        <v>6</v>
      </c>
      <c r="K52" s="820" t="s">
        <v>928</v>
      </c>
      <c r="L52" s="826" t="s">
        <v>928</v>
      </c>
      <c r="M52" s="827" t="s">
        <v>928</v>
      </c>
      <c r="T52" s="129"/>
      <c r="U52" s="128"/>
      <c r="V52" s="128"/>
      <c r="W52" s="128"/>
      <c r="X52" s="128"/>
    </row>
    <row r="53" spans="1:25" ht="15" customHeight="1">
      <c r="B53" s="468" t="s">
        <v>853</v>
      </c>
      <c r="C53" s="469"/>
      <c r="D53" s="469"/>
      <c r="E53" s="469"/>
      <c r="F53" s="470"/>
      <c r="G53" s="471">
        <f>+H53+I53+J53</f>
        <v>15</v>
      </c>
      <c r="H53" s="820">
        <f>VLOOKUP(I3,FC_DEMO_2011,3,FALSE)</f>
        <v>4</v>
      </c>
      <c r="I53" s="821">
        <f>VLOOKUP(I3,FC_DEMO_2011,4,FALSE)</f>
        <v>9</v>
      </c>
      <c r="J53" s="822">
        <f>VLOOKUP(I3,FC_DEMO_2011,5,FALSE)</f>
        <v>2</v>
      </c>
      <c r="K53" s="820" t="s">
        <v>928</v>
      </c>
      <c r="L53" s="826" t="s">
        <v>928</v>
      </c>
      <c r="M53" s="827" t="s">
        <v>928</v>
      </c>
      <c r="T53" s="129"/>
      <c r="U53" s="128"/>
      <c r="V53" s="128"/>
      <c r="W53" s="128"/>
      <c r="X53" s="128"/>
    </row>
    <row r="54" spans="1:25" ht="15" customHeight="1" thickBot="1">
      <c r="B54" s="473" t="s">
        <v>895</v>
      </c>
      <c r="C54" s="474"/>
      <c r="D54" s="474"/>
      <c r="E54" s="474"/>
      <c r="F54" s="475"/>
      <c r="G54" s="476">
        <f>+H54+I54+J54</f>
        <v>21</v>
      </c>
      <c r="H54" s="477">
        <f>VLOOKUP(I3,Adoption_Child_Race_2011_12,4,FALSE)</f>
        <v>9</v>
      </c>
      <c r="I54" s="478">
        <f>VLOOKUP(I3,Adoption_Child_Race_2011_12,5,FALSE)</f>
        <v>11</v>
      </c>
      <c r="J54" s="479">
        <f>VLOOKUP(I3,Adoption_Child_Race_2011_12,6,FALSE)</f>
        <v>1</v>
      </c>
      <c r="K54" s="477" t="s">
        <v>928</v>
      </c>
      <c r="L54" s="478" t="s">
        <v>928</v>
      </c>
      <c r="M54" s="480" t="s">
        <v>928</v>
      </c>
      <c r="T54" s="129"/>
      <c r="U54" s="128"/>
      <c r="V54" s="128"/>
      <c r="W54" s="128"/>
      <c r="X54" s="128"/>
    </row>
    <row r="55" spans="1:25" ht="24" customHeight="1">
      <c r="B55" s="1257" t="s">
        <v>992</v>
      </c>
      <c r="C55" s="1257"/>
      <c r="D55" s="1257"/>
      <c r="E55" s="1257"/>
      <c r="F55" s="1257"/>
      <c r="G55" s="1257"/>
      <c r="H55" s="1257"/>
      <c r="I55" s="1257"/>
      <c r="J55" s="1257"/>
      <c r="K55" s="1257"/>
      <c r="L55" s="1257"/>
      <c r="M55" s="1257"/>
      <c r="N55" s="214"/>
      <c r="O55" s="214"/>
      <c r="P55" s="130"/>
      <c r="Q55" s="130"/>
      <c r="T55" s="129"/>
      <c r="U55" s="128"/>
      <c r="V55" s="128"/>
      <c r="W55" s="128"/>
      <c r="X55" s="128"/>
    </row>
    <row r="56" spans="1:25" ht="15" customHeight="1">
      <c r="B56" s="142" t="s">
        <v>899</v>
      </c>
      <c r="C56" s="142"/>
      <c r="D56" s="142"/>
      <c r="E56" s="142"/>
      <c r="F56" s="142"/>
      <c r="G56" s="142"/>
      <c r="H56" s="142"/>
      <c r="I56" s="141"/>
      <c r="J56" s="141"/>
      <c r="K56" s="141"/>
      <c r="L56" s="416" t="s">
        <v>900</v>
      </c>
      <c r="M56" s="416"/>
      <c r="N56" s="416"/>
      <c r="O56" s="416"/>
      <c r="P56" s="416"/>
      <c r="Q56" s="416"/>
      <c r="R56" s="416"/>
      <c r="S56" s="409"/>
      <c r="T56" s="409"/>
      <c r="U56" s="409"/>
      <c r="V56" s="409"/>
      <c r="W56" s="409"/>
      <c r="X56" s="409"/>
      <c r="Y56" s="409"/>
    </row>
    <row r="57" spans="1:25" ht="15" customHeight="1" thickBot="1">
      <c r="P57" s="130"/>
      <c r="T57" s="129"/>
      <c r="U57" s="128"/>
      <c r="V57" s="128"/>
      <c r="W57" s="128"/>
      <c r="X57" s="128"/>
    </row>
    <row r="58" spans="1:25" ht="15" customHeight="1">
      <c r="B58" s="1280" t="s">
        <v>959</v>
      </c>
      <c r="C58" s="1281"/>
      <c r="D58" s="1281"/>
      <c r="E58" s="1281"/>
      <c r="F58" s="1282"/>
      <c r="G58" s="1228" t="s">
        <v>770</v>
      </c>
      <c r="H58" s="1229"/>
      <c r="K58" s="136"/>
      <c r="L58" s="136"/>
      <c r="M58" s="136"/>
      <c r="N58" s="136"/>
      <c r="O58" s="136"/>
      <c r="P58" s="136"/>
      <c r="Q58" s="136"/>
      <c r="R58" s="127"/>
    </row>
    <row r="59" spans="1:25" ht="15" customHeight="1">
      <c r="B59" s="1283"/>
      <c r="C59" s="1284"/>
      <c r="D59" s="1284"/>
      <c r="E59" s="1284"/>
      <c r="F59" s="1285"/>
      <c r="G59" s="331" t="s">
        <v>402</v>
      </c>
      <c r="H59" s="332" t="s">
        <v>596</v>
      </c>
      <c r="K59" s="136"/>
      <c r="L59" s="136"/>
      <c r="M59" s="136"/>
      <c r="N59" s="136"/>
      <c r="O59" s="136"/>
      <c r="P59" s="136"/>
      <c r="Q59" s="136"/>
      <c r="R59" s="127"/>
    </row>
    <row r="60" spans="1:25" ht="15" customHeight="1">
      <c r="A60" s="222"/>
      <c r="B60" s="1253" t="s">
        <v>320</v>
      </c>
      <c r="C60" s="1254"/>
      <c r="D60" s="1254"/>
      <c r="E60" s="1254"/>
      <c r="F60" s="1255"/>
      <c r="G60" s="137">
        <f>VLOOKUP($I$3,snapcl,3,FALSE)</f>
        <v>5982</v>
      </c>
      <c r="H60" s="333">
        <f>VLOOKUP($I$3,TANFCL,3,FALSE)</f>
        <v>1056</v>
      </c>
      <c r="K60" s="136"/>
      <c r="L60" s="136"/>
      <c r="M60" s="136"/>
      <c r="N60" s="136"/>
      <c r="O60" s="136"/>
      <c r="P60" s="136"/>
      <c r="Q60" s="136"/>
      <c r="R60" s="127"/>
    </row>
    <row r="61" spans="1:25" ht="15" customHeight="1">
      <c r="A61" s="222"/>
      <c r="B61" s="1222" t="s">
        <v>321</v>
      </c>
      <c r="C61" s="1223"/>
      <c r="D61" s="1223"/>
      <c r="E61" s="1223"/>
      <c r="F61" s="1224"/>
      <c r="G61" s="345">
        <f>VLOOKUP($I$3,snapcl,4,FALSE)</f>
        <v>6196</v>
      </c>
      <c r="H61" s="346">
        <f>VLOOKUP($I$3,TANFCL,4,FALSE)</f>
        <v>1003</v>
      </c>
      <c r="K61" s="136"/>
      <c r="L61" s="136"/>
      <c r="M61" s="136"/>
      <c r="N61" s="136"/>
      <c r="O61" s="136"/>
      <c r="P61" s="136"/>
      <c r="Q61" s="136"/>
      <c r="R61" s="127"/>
    </row>
    <row r="62" spans="1:25" ht="15" customHeight="1">
      <c r="A62" s="222"/>
      <c r="B62" s="1253" t="s">
        <v>322</v>
      </c>
      <c r="C62" s="1254"/>
      <c r="D62" s="1254"/>
      <c r="E62" s="1254"/>
      <c r="F62" s="1255"/>
      <c r="G62" s="137">
        <f>VLOOKUP($I$3,snapcl,5,FALSE)</f>
        <v>6487</v>
      </c>
      <c r="H62" s="333">
        <f>VLOOKUP($I$3,TANFCL,5,FALSE)</f>
        <v>878</v>
      </c>
      <c r="K62" s="136"/>
      <c r="L62" s="136"/>
      <c r="M62" s="136"/>
      <c r="N62" s="136"/>
      <c r="O62" s="136"/>
      <c r="P62" s="136"/>
      <c r="Q62" s="136"/>
      <c r="R62" s="127"/>
    </row>
    <row r="63" spans="1:25" ht="15" customHeight="1">
      <c r="A63" s="222"/>
      <c r="B63" s="1222" t="s">
        <v>323</v>
      </c>
      <c r="C63" s="1223"/>
      <c r="D63" s="1223"/>
      <c r="E63" s="1223"/>
      <c r="F63" s="1224"/>
      <c r="G63" s="345">
        <f>VLOOKUP($I$3,snapcl,6,FALSE)</f>
        <v>6764</v>
      </c>
      <c r="H63" s="346">
        <f>VLOOKUP($I$3,TANFCL,6,FALSE)</f>
        <v>898</v>
      </c>
      <c r="K63" s="136"/>
      <c r="L63" s="136"/>
      <c r="M63" s="136"/>
      <c r="N63" s="136"/>
      <c r="O63" s="136"/>
      <c r="P63" s="136"/>
      <c r="Q63" s="136"/>
      <c r="R63" s="127"/>
    </row>
    <row r="64" spans="1:25" ht="15" customHeight="1">
      <c r="A64" s="222"/>
      <c r="B64" s="1253" t="s">
        <v>324</v>
      </c>
      <c r="C64" s="1254"/>
      <c r="D64" s="1254"/>
      <c r="E64" s="1254"/>
      <c r="F64" s="1255"/>
      <c r="G64" s="137">
        <f>VLOOKUP($I$3,snapcl,7,FALSE)</f>
        <v>7393</v>
      </c>
      <c r="H64" s="333">
        <f>VLOOKUP($I$3,TANFCL,7,FALSE)</f>
        <v>946</v>
      </c>
      <c r="K64" s="136"/>
      <c r="L64" s="136"/>
      <c r="M64" s="136"/>
      <c r="N64" s="136"/>
      <c r="O64" s="136"/>
      <c r="P64" s="136"/>
      <c r="Q64" s="136"/>
      <c r="R64" s="127"/>
    </row>
    <row r="65" spans="1:25" ht="15" customHeight="1">
      <c r="A65" s="222"/>
      <c r="B65" s="1222" t="s">
        <v>666</v>
      </c>
      <c r="C65" s="1223"/>
      <c r="D65" s="1223"/>
      <c r="E65" s="1223"/>
      <c r="F65" s="1224"/>
      <c r="G65" s="345">
        <f>VLOOKUP($I$3,snapcl,8,FALSE)</f>
        <v>8490</v>
      </c>
      <c r="H65" s="346">
        <f>VLOOKUP($I$3,TANFCL,8,FALSE)</f>
        <v>1098</v>
      </c>
      <c r="K65" s="136"/>
      <c r="L65" s="136"/>
      <c r="M65" s="136"/>
      <c r="N65" s="136"/>
      <c r="O65" s="136"/>
      <c r="P65" s="136"/>
      <c r="Q65" s="136"/>
      <c r="R65" s="127"/>
    </row>
    <row r="66" spans="1:25" ht="15" customHeight="1" thickBot="1">
      <c r="A66" s="222"/>
      <c r="B66" s="1225" t="s">
        <v>836</v>
      </c>
      <c r="C66" s="1226"/>
      <c r="D66" s="1226"/>
      <c r="E66" s="1226"/>
      <c r="F66" s="1227"/>
      <c r="G66" s="334">
        <f>VLOOKUP($I$3,snapcl,9,FALSE)</f>
        <v>9362</v>
      </c>
      <c r="H66" s="335">
        <f>VLOOKUP($I$3,TANFCL,9,FALSE)</f>
        <v>1096</v>
      </c>
      <c r="K66" s="136"/>
      <c r="L66" s="136"/>
      <c r="M66" s="136"/>
      <c r="N66" s="136"/>
      <c r="O66" s="136"/>
      <c r="P66" s="136"/>
      <c r="Q66" s="136"/>
      <c r="R66" s="127"/>
    </row>
    <row r="67" spans="1:25" ht="21" customHeight="1">
      <c r="B67" s="1202" t="s">
        <v>999</v>
      </c>
      <c r="C67" s="1202"/>
      <c r="D67" s="1202"/>
      <c r="E67" s="1202"/>
      <c r="F67" s="1202"/>
      <c r="G67" s="1202"/>
      <c r="H67" s="1202"/>
      <c r="I67" s="215"/>
      <c r="J67" s="215"/>
      <c r="K67" s="136"/>
      <c r="L67" s="136"/>
      <c r="M67" s="136"/>
      <c r="N67" s="136"/>
      <c r="O67" s="136"/>
      <c r="P67" s="136"/>
      <c r="Q67" s="136"/>
      <c r="R67" s="127"/>
    </row>
    <row r="68" spans="1:25" ht="15" customHeight="1" thickBot="1">
      <c r="B68" s="132"/>
      <c r="C68" s="132"/>
      <c r="D68" s="132"/>
      <c r="E68" s="132"/>
      <c r="F68" s="132"/>
      <c r="G68" s="132"/>
      <c r="H68" s="132"/>
      <c r="T68" s="129"/>
      <c r="U68" s="130"/>
    </row>
    <row r="69" spans="1:25" ht="29.25" customHeight="1">
      <c r="B69" s="1219" t="s">
        <v>861</v>
      </c>
      <c r="C69" s="1220"/>
      <c r="D69" s="1220"/>
      <c r="E69" s="1221"/>
      <c r="F69" s="336" t="s">
        <v>393</v>
      </c>
      <c r="G69" s="337" t="s">
        <v>394</v>
      </c>
      <c r="H69" s="338" t="s">
        <v>1027</v>
      </c>
      <c r="I69" s="339" t="s">
        <v>328</v>
      </c>
      <c r="M69" s="121"/>
      <c r="N69" s="125"/>
      <c r="O69" s="130"/>
      <c r="T69" s="129"/>
      <c r="U69" s="144"/>
      <c r="V69" s="216"/>
      <c r="W69" s="127"/>
      <c r="X69" s="127"/>
      <c r="Y69" s="136"/>
    </row>
    <row r="70" spans="1:25" ht="14.25" customHeight="1">
      <c r="B70" s="384" t="s">
        <v>396</v>
      </c>
      <c r="C70" s="385"/>
      <c r="D70" s="385"/>
      <c r="E70" s="385"/>
      <c r="F70" s="386"/>
      <c r="G70" s="387"/>
      <c r="H70" s="387"/>
      <c r="I70" s="388"/>
      <c r="M70" s="125"/>
      <c r="N70" s="125"/>
      <c r="O70" s="130"/>
      <c r="T70" s="129"/>
      <c r="V70" s="136"/>
      <c r="W70" s="136"/>
      <c r="X70" s="136"/>
      <c r="Y70" s="136"/>
    </row>
    <row r="71" spans="1:25" ht="14.25" customHeight="1">
      <c r="B71" s="456" t="s">
        <v>397</v>
      </c>
      <c r="C71" s="457"/>
      <c r="D71" s="457"/>
      <c r="E71" s="457"/>
      <c r="F71" s="458">
        <f>VLOOKUP(I3,Eligibility_2011,3,FALSE)</f>
        <v>783551.56</v>
      </c>
      <c r="G71" s="459">
        <f>VLOOKUP(I3,Eligibility_2011,4,FALSE)</f>
        <v>530947.83999999997</v>
      </c>
      <c r="H71" s="459">
        <f>VLOOKUP(I3,Eligibility_2011,5,FALSE)</f>
        <v>263838.43</v>
      </c>
      <c r="I71" s="460">
        <f>+H71+G71+F71</f>
        <v>1578337.83</v>
      </c>
      <c r="M71" s="133"/>
      <c r="N71" s="125"/>
      <c r="O71" s="130"/>
      <c r="T71" s="129"/>
      <c r="V71" s="217"/>
      <c r="W71" s="127"/>
      <c r="X71" s="127"/>
      <c r="Y71" s="136"/>
    </row>
    <row r="72" spans="1:25" ht="14.25" customHeight="1">
      <c r="B72" s="456" t="s">
        <v>398</v>
      </c>
      <c r="C72" s="457"/>
      <c r="D72" s="457"/>
      <c r="E72" s="457"/>
      <c r="F72" s="458">
        <f>VLOOKUP(I3,Serv_Staff_2011,3,FALSE)</f>
        <v>762933.69</v>
      </c>
      <c r="G72" s="459">
        <f>VLOOKUP(I3,Serv_Staff_2011,4,FALSE)</f>
        <v>315771.40000000002</v>
      </c>
      <c r="H72" s="459">
        <f>VLOOKUP(I3,Serv_Staff_2011,5,FALSE)</f>
        <v>212177.13</v>
      </c>
      <c r="I72" s="460">
        <f>+H72+G72+F72</f>
        <v>1290882.22</v>
      </c>
      <c r="M72" s="133"/>
      <c r="N72" s="125"/>
      <c r="O72" s="130"/>
      <c r="T72" s="129"/>
      <c r="U72" s="128"/>
      <c r="V72" s="128"/>
      <c r="W72" s="128"/>
      <c r="X72" s="128"/>
    </row>
    <row r="73" spans="1:25" ht="14.25" customHeight="1">
      <c r="B73" s="456" t="s">
        <v>399</v>
      </c>
      <c r="C73" s="457"/>
      <c r="D73" s="457"/>
      <c r="E73" s="457"/>
      <c r="F73" s="458">
        <f>VLOOKUP(I3,OT_EXP_LASER_2011,3,FALSE)</f>
        <v>31236.59</v>
      </c>
      <c r="G73" s="459">
        <f>VLOOKUP(I3,OT_EXP_LASER_2011,4,FALSE)</f>
        <v>0</v>
      </c>
      <c r="H73" s="459">
        <f>VLOOKUP(I3,OT_EXP_LASER_2011,5,FALSE)</f>
        <v>31236.59</v>
      </c>
      <c r="I73" s="460">
        <f>+H73+G73+F73</f>
        <v>62473.18</v>
      </c>
      <c r="M73" s="133"/>
      <c r="N73" s="125"/>
      <c r="O73" s="130"/>
      <c r="P73" s="130"/>
      <c r="Q73" s="130"/>
      <c r="T73" s="129"/>
      <c r="U73" s="128"/>
      <c r="V73" s="128"/>
      <c r="W73" s="128"/>
      <c r="X73" s="128"/>
    </row>
    <row r="74" spans="1:25" ht="14.25" customHeight="1">
      <c r="B74" s="440" t="s">
        <v>829</v>
      </c>
      <c r="C74" s="352"/>
      <c r="D74" s="439"/>
      <c r="E74" s="352"/>
      <c r="F74" s="392">
        <f>+F73+F72+F71</f>
        <v>1577721.8399999999</v>
      </c>
      <c r="G74" s="393">
        <f>+G73+G72+G71</f>
        <v>846719.24</v>
      </c>
      <c r="H74" s="393">
        <f>+H73+H72+H71</f>
        <v>507252.15</v>
      </c>
      <c r="I74" s="394">
        <f>+I73+I72+I71</f>
        <v>2931693.23</v>
      </c>
      <c r="M74" s="133"/>
      <c r="N74" s="125"/>
      <c r="O74" s="130"/>
      <c r="P74" s="130"/>
      <c r="Q74" s="130"/>
      <c r="T74" s="129"/>
    </row>
    <row r="75" spans="1:25" ht="14.25" customHeight="1">
      <c r="B75" s="461" t="s">
        <v>828</v>
      </c>
      <c r="C75" s="352"/>
      <c r="D75" s="352"/>
      <c r="E75" s="352"/>
      <c r="F75" s="1192">
        <f>+F74/F87</f>
        <v>4.1952218047089457E-2</v>
      </c>
      <c r="G75" s="1193">
        <f>+G74/G87</f>
        <v>4.5712724341082679E-2</v>
      </c>
      <c r="H75" s="1193">
        <f>+H74/H87</f>
        <v>0.76083909884934164</v>
      </c>
      <c r="I75" s="1194">
        <f>+I74/I87</f>
        <v>5.161712770955558E-2</v>
      </c>
      <c r="M75" s="134"/>
      <c r="N75" s="125"/>
      <c r="O75" s="130"/>
      <c r="P75" s="130"/>
      <c r="Q75" s="130"/>
      <c r="T75" s="129"/>
    </row>
    <row r="76" spans="1:25" ht="14.25" customHeight="1">
      <c r="B76" s="384" t="s">
        <v>400</v>
      </c>
      <c r="C76" s="385"/>
      <c r="D76" s="385"/>
      <c r="E76" s="385"/>
      <c r="F76" s="389">
        <f>VLOOKUP(I3,CL_SERV_LASER_2011,3,FALSE)</f>
        <v>231062.56</v>
      </c>
      <c r="G76" s="390">
        <f>VLOOKUP(I3,CL_SERV_LASER_2011,4,FALSE)</f>
        <v>25157.61</v>
      </c>
      <c r="H76" s="390">
        <f>VLOOKUP(I3,CL_SERV_LASER_2011,5,FALSE)</f>
        <v>19188.550000000007</v>
      </c>
      <c r="I76" s="391">
        <f>+H76+G76+F76</f>
        <v>275408.71999999997</v>
      </c>
      <c r="M76" s="133"/>
      <c r="N76" s="125"/>
      <c r="O76" s="130"/>
      <c r="P76" s="130"/>
      <c r="Q76" s="130"/>
      <c r="T76" s="129"/>
      <c r="U76" s="128"/>
      <c r="V76" s="128" t="s">
        <v>926</v>
      </c>
      <c r="W76" s="128" t="s">
        <v>981</v>
      </c>
      <c r="X76" s="128"/>
    </row>
    <row r="77" spans="1:25" ht="14.25" customHeight="1">
      <c r="B77" s="340"/>
      <c r="C77" s="452" t="s">
        <v>978</v>
      </c>
      <c r="D77" s="451"/>
      <c r="E77" s="451"/>
      <c r="F77" s="1069">
        <f>F76/F87</f>
        <v>6.1440405107396449E-3</v>
      </c>
      <c r="G77" s="1069">
        <f>G76/G87</f>
        <v>1.3582104157813457E-3</v>
      </c>
      <c r="H77" s="1069">
        <f>H76/H87</f>
        <v>2.878134491933753E-2</v>
      </c>
      <c r="I77" s="1070">
        <f>I76/I87</f>
        <v>4.8490090733556163E-3</v>
      </c>
      <c r="M77" s="133"/>
      <c r="N77" s="125"/>
      <c r="O77" s="130"/>
      <c r="P77" s="130"/>
      <c r="Q77" s="130"/>
      <c r="T77" s="129"/>
      <c r="U77" s="128" t="s">
        <v>393</v>
      </c>
      <c r="V77" s="136">
        <f>F74/F87</f>
        <v>4.1952218047089457E-2</v>
      </c>
      <c r="W77" s="136">
        <f>(F76+F85)/F87</f>
        <v>0.95804778195291063</v>
      </c>
      <c r="X77" s="136"/>
      <c r="Y77" s="136"/>
    </row>
    <row r="78" spans="1:25" ht="14.25" customHeight="1">
      <c r="B78" s="361" t="s">
        <v>960</v>
      </c>
      <c r="C78" s="362"/>
      <c r="D78" s="362"/>
      <c r="E78" s="362"/>
      <c r="F78" s="386"/>
      <c r="G78" s="387"/>
      <c r="H78" s="387"/>
      <c r="I78" s="391"/>
      <c r="M78" s="133"/>
      <c r="N78" s="125"/>
      <c r="O78" s="130"/>
      <c r="P78" s="130"/>
      <c r="Q78" s="130"/>
      <c r="T78" s="129"/>
      <c r="U78" s="128" t="s">
        <v>394</v>
      </c>
      <c r="V78" s="136">
        <f>G74/G87</f>
        <v>4.5712724341082679E-2</v>
      </c>
      <c r="W78" s="136">
        <f>(G76+G85)/G87</f>
        <v>0.95428727565891736</v>
      </c>
      <c r="X78" s="136"/>
      <c r="Y78" s="136"/>
    </row>
    <row r="79" spans="1:25" ht="14.25" customHeight="1">
      <c r="B79" s="456" t="s">
        <v>401</v>
      </c>
      <c r="C79" s="457"/>
      <c r="D79" s="457"/>
      <c r="E79" s="457"/>
      <c r="F79" s="458">
        <f>VLOOKUP(I3,Medicaid_LASER_2011,4,FALSE)</f>
        <v>25220849.999455996</v>
      </c>
      <c r="G79" s="459">
        <f>VLOOKUP(I3,Medicaid_LASER_2011,5,FALSE)</f>
        <v>16864715.970543999</v>
      </c>
      <c r="H79" s="459">
        <v>0</v>
      </c>
      <c r="I79" s="460">
        <f t="shared" ref="I79:I84" si="0">+H79+G79+F79</f>
        <v>42085565.969999999</v>
      </c>
      <c r="M79" s="133"/>
      <c r="N79" s="125"/>
      <c r="O79" s="130"/>
      <c r="P79" s="130"/>
      <c r="Q79" s="130"/>
      <c r="T79" s="129"/>
      <c r="U79" s="128" t="s">
        <v>395</v>
      </c>
      <c r="V79" s="136">
        <f>H74/H87</f>
        <v>0.76083909884934164</v>
      </c>
      <c r="W79" s="136">
        <f>(H76+H85)/H87</f>
        <v>0.23916090115065833</v>
      </c>
      <c r="X79" s="136"/>
      <c r="Y79" s="136"/>
    </row>
    <row r="80" spans="1:25" ht="14.25" customHeight="1">
      <c r="B80" s="456" t="s">
        <v>402</v>
      </c>
      <c r="C80" s="457"/>
      <c r="D80" s="457"/>
      <c r="E80" s="457"/>
      <c r="F80" s="458">
        <f>VLOOKUP(I3,SNAP_LASER_2011,3,FALSE)</f>
        <v>9140037</v>
      </c>
      <c r="G80" s="459">
        <v>0</v>
      </c>
      <c r="H80" s="459">
        <v>0</v>
      </c>
      <c r="I80" s="460">
        <f t="shared" si="0"/>
        <v>9140037</v>
      </c>
      <c r="M80" s="133"/>
      <c r="N80" s="125"/>
      <c r="O80" s="130"/>
      <c r="P80" s="130"/>
      <c r="Q80" s="130"/>
      <c r="T80" s="129"/>
      <c r="U80" s="128" t="s">
        <v>328</v>
      </c>
      <c r="V80" s="136">
        <f>I74/I87</f>
        <v>5.161712770955558E-2</v>
      </c>
      <c r="W80" s="136">
        <f>(I76+I85)/I87</f>
        <v>0.94838287229044449</v>
      </c>
      <c r="X80" s="136"/>
      <c r="Y80" s="136"/>
    </row>
    <row r="81" spans="2:25" ht="14.25" customHeight="1">
      <c r="B81" s="456" t="s">
        <v>403</v>
      </c>
      <c r="C81" s="457"/>
      <c r="D81" s="457"/>
      <c r="E81" s="457"/>
      <c r="F81" s="458">
        <f>VLOOKUP(I3,LIHEAP_LASER_2011,4,FALSE)</f>
        <v>993972.28999999992</v>
      </c>
      <c r="G81" s="459">
        <v>0</v>
      </c>
      <c r="H81" s="459">
        <v>0</v>
      </c>
      <c r="I81" s="460">
        <f t="shared" si="0"/>
        <v>993972.28999999992</v>
      </c>
      <c r="M81" s="133"/>
      <c r="N81" s="125"/>
      <c r="O81" s="130"/>
      <c r="P81" s="130"/>
      <c r="Q81" s="130"/>
      <c r="T81" s="129"/>
      <c r="U81" s="128"/>
      <c r="V81" s="128"/>
      <c r="W81" s="128"/>
      <c r="X81" s="128"/>
    </row>
    <row r="82" spans="2:25" ht="14.25" customHeight="1">
      <c r="B82" s="456" t="s">
        <v>404</v>
      </c>
      <c r="C82" s="457"/>
      <c r="D82" s="457"/>
      <c r="E82" s="457"/>
      <c r="F82" s="458">
        <f>VLOOKUP(I3,FC_Adop_LASER_2011,3,FALSE)</f>
        <v>105391.12</v>
      </c>
      <c r="G82" s="459">
        <f>VLOOKUP(I3,FC_Adop_LASER_2011,4,FALSE)</f>
        <v>394762.98</v>
      </c>
      <c r="H82" s="459">
        <f>VLOOKUP(I3,FC_Adop_LASER_2011,5,FALSE)</f>
        <v>92034</v>
      </c>
      <c r="I82" s="460">
        <f t="shared" si="0"/>
        <v>592188.1</v>
      </c>
      <c r="M82" s="133"/>
      <c r="N82" s="125"/>
      <c r="O82" s="130"/>
      <c r="P82" s="130"/>
      <c r="Q82" s="130"/>
      <c r="T82" s="129"/>
      <c r="U82" s="128"/>
      <c r="V82" s="128"/>
      <c r="W82" s="128"/>
      <c r="X82" s="128"/>
    </row>
    <row r="83" spans="2:25" ht="14.25" customHeight="1">
      <c r="B83" s="456" t="s">
        <v>596</v>
      </c>
      <c r="C83" s="457"/>
      <c r="D83" s="457"/>
      <c r="E83" s="457"/>
      <c r="F83" s="458">
        <f>VLOOKUP(I3,TANF_LASER_2011,3,FALSE)</f>
        <v>337420.644875</v>
      </c>
      <c r="G83" s="459">
        <f>VLOOKUP(I3,TANF_LASER_2011,4,FALSE)</f>
        <v>198412.26512500001</v>
      </c>
      <c r="H83" s="459">
        <f>VLOOKUP(I3,TANF_LASER_2011,5,FALSE)</f>
        <v>0</v>
      </c>
      <c r="I83" s="460">
        <f t="shared" si="0"/>
        <v>535832.91</v>
      </c>
      <c r="M83" s="133"/>
      <c r="N83" s="125"/>
      <c r="O83" s="130"/>
      <c r="P83" s="130"/>
      <c r="Q83" s="130"/>
      <c r="T83" s="129"/>
      <c r="U83" s="128"/>
      <c r="V83" s="128"/>
      <c r="W83" s="128"/>
      <c r="X83" s="128"/>
    </row>
    <row r="84" spans="2:25" ht="14.25" customHeight="1">
      <c r="B84" s="456" t="s">
        <v>405</v>
      </c>
      <c r="C84" s="457"/>
      <c r="D84" s="457"/>
      <c r="E84" s="457"/>
      <c r="F84" s="458">
        <f>VLOOKUP(I3,OT_BENE_LASER_2011,3,FALSE)</f>
        <v>1135.1199999999999</v>
      </c>
      <c r="G84" s="459">
        <f>VLOOKUP(I3,OT_BENE_LASER_2011,4,FALSE)</f>
        <v>192847.95</v>
      </c>
      <c r="H84" s="459">
        <f>VLOOKUP(I3,OT_BENE_LASER_2011,5,FALSE)</f>
        <v>48226.25</v>
      </c>
      <c r="I84" s="460">
        <f t="shared" si="0"/>
        <v>242209.32</v>
      </c>
      <c r="M84" s="133"/>
      <c r="N84" s="125"/>
      <c r="O84" s="130"/>
      <c r="P84" s="130"/>
      <c r="Q84" s="130"/>
      <c r="T84" s="129"/>
      <c r="U84" s="128"/>
      <c r="V84" s="128"/>
      <c r="W84" s="128"/>
      <c r="X84" s="128"/>
    </row>
    <row r="85" spans="2:25" ht="14.25" customHeight="1">
      <c r="B85" s="351"/>
      <c r="C85" s="413" t="s">
        <v>975</v>
      </c>
      <c r="D85" s="352"/>
      <c r="E85" s="352"/>
      <c r="F85" s="392">
        <f>SUM(F79:F84)</f>
        <v>35798806.174330987</v>
      </c>
      <c r="G85" s="392">
        <f>SUM(G79:G84)</f>
        <v>17650739.165668998</v>
      </c>
      <c r="H85" s="392">
        <f>SUM(H79:H84)</f>
        <v>140260.25</v>
      </c>
      <c r="I85" s="453">
        <f>SUM(I79:I84)</f>
        <v>53589805.589999996</v>
      </c>
      <c r="M85" s="133"/>
      <c r="N85" s="125"/>
      <c r="O85" s="130"/>
      <c r="P85" s="130"/>
      <c r="Q85" s="130"/>
      <c r="T85" s="129"/>
      <c r="U85" s="128"/>
      <c r="V85" s="128"/>
      <c r="W85" s="128"/>
      <c r="X85" s="128"/>
    </row>
    <row r="86" spans="2:25" ht="14.25" customHeight="1">
      <c r="B86" s="351"/>
      <c r="C86" s="441" t="s">
        <v>976</v>
      </c>
      <c r="D86" s="462"/>
      <c r="E86" s="442"/>
      <c r="F86" s="443">
        <f>F85/F87</f>
        <v>0.95190374144217094</v>
      </c>
      <c r="G86" s="443">
        <f>G85/G87</f>
        <v>0.95292906524313614</v>
      </c>
      <c r="H86" s="443">
        <f>H85/H87</f>
        <v>0.21037955623132079</v>
      </c>
      <c r="I86" s="454">
        <f>I85/I87</f>
        <v>0.94353386321708888</v>
      </c>
      <c r="M86" s="133"/>
      <c r="N86" s="125"/>
      <c r="O86" s="130"/>
      <c r="P86" s="130"/>
      <c r="Q86" s="130"/>
      <c r="T86" s="129"/>
      <c r="U86" s="128"/>
      <c r="V86" s="128"/>
      <c r="W86" s="128"/>
      <c r="X86" s="128"/>
    </row>
    <row r="87" spans="2:25" ht="14.25" customHeight="1">
      <c r="B87" s="463" t="s">
        <v>977</v>
      </c>
      <c r="C87" s="464"/>
      <c r="D87" s="464"/>
      <c r="E87" s="464"/>
      <c r="F87" s="465">
        <f>SUM(F79:F84)+F76+F74</f>
        <v>37607590.574330986</v>
      </c>
      <c r="G87" s="466">
        <f>SUM(G79:G84)+G76+G74</f>
        <v>18522616.015668996</v>
      </c>
      <c r="H87" s="466">
        <f>SUM(H79:H84)+H76+H74</f>
        <v>666700.95000000007</v>
      </c>
      <c r="I87" s="467">
        <f>SUM(I79:I84)+I76+I74</f>
        <v>56796907.539999992</v>
      </c>
      <c r="M87" s="133"/>
      <c r="N87" s="125"/>
      <c r="O87" s="130"/>
      <c r="P87" s="130"/>
      <c r="Q87" s="130"/>
      <c r="T87" s="129"/>
      <c r="U87" s="128"/>
      <c r="V87" s="128"/>
      <c r="W87" s="128"/>
      <c r="X87" s="128"/>
    </row>
    <row r="88" spans="2:25" ht="14.25" customHeight="1" thickBot="1">
      <c r="B88" s="489"/>
      <c r="C88" s="494" t="s">
        <v>980</v>
      </c>
      <c r="D88" s="494"/>
      <c r="E88" s="495"/>
      <c r="F88" s="496">
        <f>F87/$I87</f>
        <v>0.66214151796636689</v>
      </c>
      <c r="G88" s="497">
        <f>G87/$I87</f>
        <v>0.32612015016177054</v>
      </c>
      <c r="H88" s="497">
        <f>H87/$I87</f>
        <v>1.1738331871862335E-2</v>
      </c>
      <c r="I88" s="498">
        <f>SUM(F88:H88)</f>
        <v>0.99999999999999978</v>
      </c>
      <c r="J88" s="1288" t="s">
        <v>979</v>
      </c>
      <c r="K88" s="1288"/>
      <c r="L88" s="1288"/>
      <c r="M88" s="455">
        <f>I87</f>
        <v>56796907.539999992</v>
      </c>
      <c r="N88" s="125"/>
      <c r="O88" s="130"/>
      <c r="P88" s="130"/>
      <c r="Q88" s="130"/>
      <c r="T88" s="129"/>
      <c r="U88" s="128"/>
      <c r="V88" s="128"/>
      <c r="W88" s="128"/>
      <c r="X88" s="128"/>
    </row>
    <row r="89" spans="2:25" ht="15" customHeight="1">
      <c r="B89" s="143" t="s">
        <v>1028</v>
      </c>
      <c r="C89" s="143"/>
      <c r="D89" s="143"/>
      <c r="E89" s="222"/>
      <c r="F89" s="222"/>
      <c r="G89" s="222"/>
      <c r="H89" s="222"/>
      <c r="N89" s="125"/>
      <c r="O89" s="130"/>
      <c r="P89" s="130"/>
      <c r="Q89" s="130"/>
      <c r="T89" s="129"/>
      <c r="U89" s="128"/>
      <c r="V89" s="128"/>
      <c r="W89" s="128"/>
      <c r="X89" s="128"/>
    </row>
    <row r="90" spans="2:25" ht="7.5" customHeight="1" thickBot="1">
      <c r="B90" s="143"/>
      <c r="C90" s="143"/>
      <c r="D90" s="143"/>
      <c r="E90" s="222"/>
      <c r="F90" s="222"/>
      <c r="G90" s="222"/>
      <c r="H90" s="222"/>
      <c r="N90" s="125"/>
      <c r="O90" s="130"/>
      <c r="P90" s="130"/>
      <c r="Q90" s="130"/>
      <c r="T90" s="129"/>
      <c r="U90" s="128"/>
      <c r="V90" s="128"/>
      <c r="W90" s="128"/>
      <c r="X90" s="128"/>
    </row>
    <row r="91" spans="2:25" ht="15" customHeight="1">
      <c r="B91" s="1280" t="s">
        <v>925</v>
      </c>
      <c r="C91" s="1281"/>
      <c r="D91" s="1281"/>
      <c r="E91" s="1281"/>
      <c r="F91" s="1294" t="s">
        <v>756</v>
      </c>
      <c r="G91" s="1295"/>
      <c r="H91" s="1295"/>
      <c r="I91" s="1295"/>
      <c r="J91" s="1295"/>
      <c r="K91" s="1295"/>
      <c r="L91" s="1296"/>
      <c r="M91" s="1244" t="s">
        <v>892</v>
      </c>
      <c r="U91" s="307"/>
    </row>
    <row r="92" spans="2:25" ht="15" customHeight="1">
      <c r="B92" s="1283"/>
      <c r="C92" s="1284"/>
      <c r="D92" s="1284"/>
      <c r="E92" s="1284"/>
      <c r="F92" s="1292" t="s">
        <v>1147</v>
      </c>
      <c r="G92" s="1293" t="s">
        <v>1148</v>
      </c>
      <c r="H92" s="1293" t="s">
        <v>1149</v>
      </c>
      <c r="I92" s="1293" t="s">
        <v>1150</v>
      </c>
      <c r="J92" s="1297" t="s">
        <v>1158</v>
      </c>
      <c r="K92" s="1297" t="s">
        <v>371</v>
      </c>
      <c r="L92" s="1299" t="s">
        <v>940</v>
      </c>
      <c r="M92" s="1245"/>
      <c r="U92" s="307"/>
    </row>
    <row r="93" spans="2:25" ht="15" customHeight="1">
      <c r="B93" s="1286"/>
      <c r="C93" s="1287"/>
      <c r="D93" s="1287"/>
      <c r="E93" s="1287"/>
      <c r="F93" s="1292"/>
      <c r="G93" s="1293"/>
      <c r="H93" s="1293"/>
      <c r="I93" s="1293"/>
      <c r="J93" s="1298"/>
      <c r="K93" s="1298"/>
      <c r="L93" s="1300"/>
      <c r="M93" s="1245"/>
      <c r="U93" s="115"/>
      <c r="V93" s="115"/>
      <c r="W93" s="115"/>
      <c r="X93" s="115"/>
      <c r="Y93" s="115"/>
    </row>
    <row r="94" spans="2:25" ht="15" customHeight="1">
      <c r="B94" s="481" t="s">
        <v>923</v>
      </c>
      <c r="C94" s="482"/>
      <c r="D94" s="482"/>
      <c r="E94" s="482"/>
      <c r="F94" s="1188">
        <f>VLOOKUP($I$3,Positions_Mar2012,5,FALSE)</f>
        <v>20</v>
      </c>
      <c r="G94" s="1170">
        <f>VLOOKUP($I$3,Positions_Mar2012,6,FALSE)</f>
        <v>2</v>
      </c>
      <c r="H94" s="1170">
        <f>VLOOKUP($I$3,Positions_Mar2012,9,FALSE)</f>
        <v>14</v>
      </c>
      <c r="I94" s="1170">
        <f>VLOOKUP($I$3,Positions_Mar2012,10,FALSE)</f>
        <v>4</v>
      </c>
      <c r="J94" s="1170">
        <f>VLOOKUP($I$3,Positions_Mar2012,7,FALSE)</f>
        <v>10</v>
      </c>
      <c r="K94" s="1170">
        <f>VLOOKUP($I$3,Positions_Mar2012,8,FALSE)</f>
        <v>0</v>
      </c>
      <c r="L94" s="1171">
        <f>F94+G94+H94+I94+J94+K94</f>
        <v>50</v>
      </c>
      <c r="M94" s="483">
        <f>L94/L96</f>
        <v>0.67567567567567566</v>
      </c>
      <c r="U94" s="135"/>
      <c r="V94" s="135"/>
      <c r="W94" s="135"/>
      <c r="X94" s="135"/>
      <c r="Y94" s="135"/>
    </row>
    <row r="95" spans="2:25" ht="15" customHeight="1">
      <c r="B95" s="481" t="s">
        <v>924</v>
      </c>
      <c r="C95" s="482"/>
      <c r="D95" s="482"/>
      <c r="E95" s="482"/>
      <c r="F95" s="1188">
        <f>VLOOKUP($I$3,Positions_Mar2012,12,FALSE)</f>
        <v>13</v>
      </c>
      <c r="G95" s="1170">
        <f>VLOOKUP($I$3,Positions_Mar2012,13,FALSE)</f>
        <v>1</v>
      </c>
      <c r="H95" s="1170">
        <f>VLOOKUP($I$3,Positions_Mar2012,16,FALSE)</f>
        <v>3</v>
      </c>
      <c r="I95" s="1170">
        <f>VLOOKUP($I$3,Positions_Mar2012,17,FALSE)</f>
        <v>0</v>
      </c>
      <c r="J95" s="1170">
        <f>VLOOKUP($I$3,Positions_Mar2012,14,FALSE)</f>
        <v>7</v>
      </c>
      <c r="K95" s="1170">
        <f>VLOOKUP($I$3,Positions_Mar2012,15,FALSE)</f>
        <v>0</v>
      </c>
      <c r="L95" s="1171">
        <f>F95+G95+H95+I95+J95+K95</f>
        <v>24</v>
      </c>
      <c r="M95" s="484">
        <f>L95/L96</f>
        <v>0.32432432432432434</v>
      </c>
      <c r="U95" s="135"/>
      <c r="V95" s="135"/>
      <c r="W95" s="135"/>
      <c r="X95" s="135"/>
      <c r="Y95" s="135"/>
    </row>
    <row r="96" spans="2:25" ht="15" customHeight="1">
      <c r="B96" s="481" t="s">
        <v>890</v>
      </c>
      <c r="C96" s="482"/>
      <c r="D96" s="482"/>
      <c r="E96" s="482"/>
      <c r="F96" s="1188">
        <f>+F95+F94</f>
        <v>33</v>
      </c>
      <c r="G96" s="1170">
        <f t="shared" ref="G96:L96" si="1">+G95+G94</f>
        <v>3</v>
      </c>
      <c r="H96" s="1170">
        <f t="shared" si="1"/>
        <v>17</v>
      </c>
      <c r="I96" s="1170">
        <f t="shared" si="1"/>
        <v>4</v>
      </c>
      <c r="J96" s="1170">
        <f t="shared" si="1"/>
        <v>17</v>
      </c>
      <c r="K96" s="1170">
        <f t="shared" si="1"/>
        <v>0</v>
      </c>
      <c r="L96" s="1171">
        <f t="shared" si="1"/>
        <v>74</v>
      </c>
      <c r="M96" s="483">
        <f>L96/L96</f>
        <v>1</v>
      </c>
      <c r="U96" s="135"/>
      <c r="V96" s="135"/>
      <c r="W96" s="135"/>
      <c r="X96" s="135"/>
      <c r="Y96" s="135"/>
    </row>
    <row r="97" spans="2:23" ht="15" customHeight="1">
      <c r="B97" s="1176" t="s">
        <v>929</v>
      </c>
      <c r="C97" s="1177"/>
      <c r="D97" s="1177"/>
      <c r="E97" s="1178"/>
      <c r="F97" s="1189">
        <f t="shared" ref="F97:L97" si="2">IF(F96=0,"NA",(F95/F96))</f>
        <v>0.39393939393939392</v>
      </c>
      <c r="G97" s="1172">
        <f t="shared" si="2"/>
        <v>0.33333333333333331</v>
      </c>
      <c r="H97" s="1172">
        <f t="shared" si="2"/>
        <v>0.17647058823529413</v>
      </c>
      <c r="I97" s="1172">
        <f t="shared" si="2"/>
        <v>0</v>
      </c>
      <c r="J97" s="1172">
        <f t="shared" si="2"/>
        <v>0.41176470588235292</v>
      </c>
      <c r="K97" s="1172" t="str">
        <f t="shared" si="2"/>
        <v>NA</v>
      </c>
      <c r="L97" s="1173">
        <f t="shared" si="2"/>
        <v>0.32432432432432434</v>
      </c>
      <c r="M97" s="343"/>
    </row>
    <row r="98" spans="2:23" ht="15" customHeight="1" thickBot="1">
      <c r="B98" s="1179" t="s">
        <v>930</v>
      </c>
      <c r="C98" s="1180"/>
      <c r="D98" s="1180"/>
      <c r="E98" s="1180"/>
      <c r="F98" s="1190">
        <f>Position_Mar2012!AD6</f>
        <v>0.16131025957972805</v>
      </c>
      <c r="G98" s="1191">
        <f>Position_Mar2012!AE6</f>
        <v>0.13523809523809524</v>
      </c>
      <c r="H98" s="1174">
        <f>Position_Mar2012!AF6</f>
        <v>0.19357770372614358</v>
      </c>
      <c r="I98" s="1191">
        <f>Position_Mar2012!AG6</f>
        <v>0.10310965630114566</v>
      </c>
      <c r="J98" s="1174">
        <f>Position_Mar2012!AH6</f>
        <v>0.21937046004842614</v>
      </c>
      <c r="K98" s="1174">
        <f>Position_Mar2012!AI6</f>
        <v>0.21712538226299694</v>
      </c>
      <c r="L98" s="1175">
        <f>Position_Mar2012!AJ6</f>
        <v>0.18072528564331844</v>
      </c>
      <c r="M98" s="341"/>
      <c r="O98" s="136"/>
      <c r="P98" s="136"/>
      <c r="R98" s="127"/>
    </row>
    <row r="99" spans="2:23" ht="15" customHeight="1">
      <c r="B99" s="315" t="s">
        <v>1157</v>
      </c>
      <c r="C99" s="312"/>
      <c r="D99" s="312"/>
      <c r="E99" s="312"/>
      <c r="F99" s="313"/>
      <c r="G99" s="313"/>
      <c r="H99" s="313"/>
      <c r="I99" s="313"/>
      <c r="J99" s="313"/>
      <c r="K99" s="314"/>
      <c r="O99" s="136"/>
      <c r="P99" s="136"/>
      <c r="R99" s="127"/>
    </row>
    <row r="100" spans="2:23" ht="15" customHeight="1">
      <c r="B100" s="315"/>
      <c r="C100" s="312"/>
      <c r="D100" s="312"/>
      <c r="E100" s="312"/>
      <c r="F100" s="313"/>
      <c r="G100" s="313"/>
      <c r="H100" s="313"/>
      <c r="I100" s="313"/>
      <c r="J100" s="313"/>
      <c r="K100" s="314"/>
      <c r="O100" s="136"/>
      <c r="P100" s="136"/>
      <c r="R100" s="127"/>
    </row>
    <row r="101" spans="2:23" ht="15" customHeight="1" thickBot="1">
      <c r="B101" s="315"/>
      <c r="C101" s="312"/>
      <c r="D101" s="312"/>
      <c r="E101" s="312"/>
      <c r="F101" s="313"/>
      <c r="G101" s="313"/>
      <c r="H101" s="313"/>
      <c r="I101" s="313"/>
      <c r="J101" s="313"/>
      <c r="K101" s="314"/>
      <c r="O101" s="136"/>
      <c r="P101" s="136"/>
      <c r="R101" s="127"/>
    </row>
    <row r="102" spans="2:23" ht="22.5" customHeight="1">
      <c r="B102" s="1213" t="s">
        <v>948</v>
      </c>
      <c r="C102" s="1214"/>
      <c r="D102" s="1214"/>
      <c r="E102" s="1246" t="str">
        <f>E3</f>
        <v>Accomack</v>
      </c>
      <c r="F102" s="1247"/>
      <c r="G102" s="1248" t="s">
        <v>9</v>
      </c>
      <c r="H102" s="1249"/>
      <c r="I102" s="136"/>
      <c r="J102" s="1205" t="s">
        <v>952</v>
      </c>
      <c r="K102" s="1206"/>
      <c r="L102" s="1203" t="str">
        <f>E3</f>
        <v>Accomack</v>
      </c>
      <c r="M102" s="1204"/>
      <c r="N102" s="420" t="s">
        <v>9</v>
      </c>
      <c r="O102" s="136"/>
      <c r="P102" s="136"/>
      <c r="Q102" s="136"/>
      <c r="R102" s="127"/>
    </row>
    <row r="103" spans="2:23" ht="20.25" customHeight="1">
      <c r="B103" s="1250"/>
      <c r="C103" s="1251"/>
      <c r="D103" s="1251"/>
      <c r="E103" s="417" t="s">
        <v>947</v>
      </c>
      <c r="F103" s="418" t="s">
        <v>327</v>
      </c>
      <c r="G103" s="417" t="s">
        <v>947</v>
      </c>
      <c r="H103" s="419" t="s">
        <v>327</v>
      </c>
      <c r="I103" s="136"/>
      <c r="J103" s="1207"/>
      <c r="K103" s="1208"/>
      <c r="L103" s="421" t="s">
        <v>947</v>
      </c>
      <c r="M103" s="422" t="s">
        <v>327</v>
      </c>
      <c r="N103" s="423" t="s">
        <v>327</v>
      </c>
      <c r="O103" s="136"/>
      <c r="P103" s="136"/>
      <c r="Q103" s="136"/>
      <c r="R103" s="127"/>
    </row>
    <row r="104" spans="2:23">
      <c r="B104" s="395" t="s">
        <v>328</v>
      </c>
      <c r="C104" s="396"/>
      <c r="D104" s="396"/>
      <c r="E104" s="1116">
        <f>VLOOKUP(I3,NonMaritalBirths_2010, 12, FALSE)</f>
        <v>255</v>
      </c>
      <c r="F104" s="397">
        <f>VLOOKUP(I3,NonMaritalBirths_2010, 16, FALSE)</f>
        <v>58.891454965357973</v>
      </c>
      <c r="G104" s="398">
        <f>'Non-marital births'!L6</f>
        <v>36532</v>
      </c>
      <c r="H104" s="399">
        <f>'Non-marital births'!P6</f>
        <v>35.490702780422403</v>
      </c>
      <c r="J104" s="342" t="s">
        <v>950</v>
      </c>
      <c r="K104" s="125"/>
      <c r="L104" s="430">
        <f>VLOOKUP(I3,marriedcouples,6,FALSE)</f>
        <v>6603</v>
      </c>
      <c r="M104" s="431">
        <f>VLOOKUP(I3,marriedcouples,9,FALSE)</f>
        <v>0.89800081599347203</v>
      </c>
      <c r="N104" s="432">
        <f>'Cohabiting Couples'!I6</f>
        <v>0.90917728567298994</v>
      </c>
    </row>
    <row r="105" spans="2:23">
      <c r="B105" s="485" t="s">
        <v>2</v>
      </c>
      <c r="C105" s="314"/>
      <c r="D105" s="314"/>
      <c r="E105" s="1117">
        <f>VLOOKUP(I3,NonMaritalBirths_2010, 13, FALSE)</f>
        <v>135</v>
      </c>
      <c r="F105" s="486">
        <f>VLOOKUP(I3,NonMaritalBirths_2010, 17, FALSE)</f>
        <v>47.703180212014132</v>
      </c>
      <c r="G105" s="487">
        <f>'Non-marital births'!M6</f>
        <v>19311</v>
      </c>
      <c r="H105" s="488">
        <f>'Non-marital births'!Q6</f>
        <v>27.776019791726597</v>
      </c>
      <c r="J105" s="395" t="s">
        <v>951</v>
      </c>
      <c r="K105" s="396"/>
      <c r="L105" s="433">
        <f>VLOOKUP(I3,marriedcouples,7,FALSE)</f>
        <v>750</v>
      </c>
      <c r="M105" s="434">
        <f>VLOOKUP(I3,marriedcouples,10,FALSE)</f>
        <v>0.10199918400652795</v>
      </c>
      <c r="N105" s="435">
        <f>'Cohabiting Couples'!J6</f>
        <v>9.0822714327010112E-2</v>
      </c>
    </row>
    <row r="106" spans="2:23">
      <c r="B106" s="485" t="s">
        <v>667</v>
      </c>
      <c r="C106" s="314"/>
      <c r="D106" s="314"/>
      <c r="E106" s="1117">
        <f>VLOOKUP(I3,NonMaritalBirths_2010, 14, FALSE)</f>
        <v>115</v>
      </c>
      <c r="F106" s="486">
        <f>VLOOKUP(I3,NonMaritalBirths_2010, 18, FALSE)</f>
        <v>80.419580419580413</v>
      </c>
      <c r="G106" s="487">
        <f>'Non-marital births'!N6</f>
        <v>14885</v>
      </c>
      <c r="H106" s="488">
        <f>'Non-marital births'!R6</f>
        <v>66.326530612244895</v>
      </c>
      <c r="J106" s="444" t="s">
        <v>973</v>
      </c>
      <c r="K106" s="445"/>
      <c r="L106" s="446">
        <f>VLOOKUP(I3,marriedcouples,13,FALSE)</f>
        <v>1955</v>
      </c>
      <c r="M106" s="447">
        <f>VLOOKUP(I3,marriedcouples,16,FALSE)</f>
        <v>0.86161304539444694</v>
      </c>
      <c r="N106" s="448">
        <f>'Cohabiting Couples'!P6</f>
        <v>0.92328119248381135</v>
      </c>
    </row>
    <row r="107" spans="2:23" ht="12.75" thickBot="1">
      <c r="B107" s="489" t="s">
        <v>827</v>
      </c>
      <c r="C107" s="490"/>
      <c r="D107" s="490"/>
      <c r="E107" s="1118">
        <f>VLOOKUP(I3,NonMaritalBirths_2010, 15, FALSE)</f>
        <v>5</v>
      </c>
      <c r="F107" s="491">
        <f>VLOOKUP(I3,NonMaritalBirths_2010, 19, FALSE)</f>
        <v>71.428571428571431</v>
      </c>
      <c r="G107" s="492">
        <f>'Non-marital births'!O6</f>
        <v>2336</v>
      </c>
      <c r="H107" s="493">
        <f>'Non-marital births'!S6</f>
        <v>21.298322392414295</v>
      </c>
      <c r="J107" s="400" t="s">
        <v>974</v>
      </c>
      <c r="K107" s="401"/>
      <c r="L107" s="449">
        <f>VLOOKUP(I3,marriedcouples,14,FALSE)</f>
        <v>314</v>
      </c>
      <c r="M107" s="450">
        <f>VLOOKUP(I3,marriedcouples,17,FALSE)</f>
        <v>0.13838695460555311</v>
      </c>
      <c r="N107" s="436">
        <f>'Cohabiting Couples'!Q6</f>
        <v>7.6718807516188675E-2</v>
      </c>
    </row>
    <row r="108" spans="2:23" ht="23.25" customHeight="1">
      <c r="B108" s="1252" t="s">
        <v>949</v>
      </c>
      <c r="C108" s="1252"/>
      <c r="D108" s="1252"/>
      <c r="E108" s="1252"/>
      <c r="F108" s="1252"/>
      <c r="G108" s="1252"/>
      <c r="H108" s="1252"/>
      <c r="J108" s="1278" t="s">
        <v>953</v>
      </c>
      <c r="K108" s="1278"/>
      <c r="L108" s="1278"/>
      <c r="M108" s="1278"/>
      <c r="N108" s="1278"/>
    </row>
    <row r="109" spans="2:23" ht="15" customHeight="1">
      <c r="T109" s="310" t="s">
        <v>922</v>
      </c>
    </row>
    <row r="110" spans="2:23" ht="15" customHeight="1">
      <c r="U110" s="310"/>
      <c r="V110" s="310"/>
      <c r="W110" s="310"/>
    </row>
    <row r="111" spans="2:23" ht="15" customHeight="1">
      <c r="T111" s="310"/>
      <c r="U111" s="310" t="s">
        <v>912</v>
      </c>
      <c r="V111" s="310" t="str">
        <f>E3</f>
        <v>Accomack</v>
      </c>
      <c r="W111" s="310" t="s">
        <v>9</v>
      </c>
    </row>
    <row r="112" spans="2:23" ht="15" customHeight="1">
      <c r="T112" s="310" t="s">
        <v>914</v>
      </c>
      <c r="U112" s="310">
        <f>VLOOKUP(I3,SingleParentHomes,4,FALSE)</f>
        <v>2089</v>
      </c>
      <c r="V112" s="311">
        <f>VLOOKUP(I3,SingleParentHomes,16,FALSE)</f>
        <v>37.006200177147917</v>
      </c>
      <c r="W112" s="311">
        <f>'Children in Single-Parent Homes'!P5</f>
        <v>27.167840720086094</v>
      </c>
    </row>
    <row r="113" spans="2:23" ht="15" customHeight="1">
      <c r="T113" s="310" t="s">
        <v>2</v>
      </c>
      <c r="U113" s="310">
        <f>VLOOKUP(I3,SingleParentHomes,7,FALSE)</f>
        <v>869</v>
      </c>
      <c r="V113" s="311">
        <f>VLOOKUP(I3,SingleParentHomes,17,FALSE)</f>
        <v>25.588928150765604</v>
      </c>
      <c r="W113" s="311">
        <f>'Children in Single-Parent Homes'!Q5</f>
        <v>19.473874653474446</v>
      </c>
    </row>
    <row r="114" spans="2:23" ht="15" customHeight="1">
      <c r="Q114" s="138"/>
      <c r="R114" s="139"/>
      <c r="T114" s="310" t="s">
        <v>667</v>
      </c>
      <c r="U114" s="310">
        <f>VLOOKUP(I3,SingleParentHomes,10,FALSE)</f>
        <v>1026</v>
      </c>
      <c r="V114" s="311">
        <f>VLOOKUP(I3,SingleParentHomes,18,FALSE)</f>
        <v>65.895953757225428</v>
      </c>
      <c r="W114" s="311">
        <f>'Children in Single-Parent Homes'!R5</f>
        <v>55.455372473042161</v>
      </c>
    </row>
    <row r="115" spans="2:23" ht="15" customHeight="1">
      <c r="Q115" s="138"/>
      <c r="R115" s="139"/>
      <c r="T115" s="310" t="s">
        <v>784</v>
      </c>
      <c r="U115" s="310">
        <f>VLOOKUP(I3,SingleParentHomes,13,FALSE)</f>
        <v>245</v>
      </c>
      <c r="V115" s="311">
        <f>VLOOKUP(I3,SingleParentHomes,19,FALSE)</f>
        <v>26.601520086862106</v>
      </c>
      <c r="W115" s="311">
        <f>'Children in Single-Parent Homes'!S5</f>
        <v>28.389718171863294</v>
      </c>
    </row>
    <row r="116" spans="2:23" ht="15" customHeight="1">
      <c r="Q116" s="138"/>
      <c r="R116" s="139"/>
    </row>
    <row r="117" spans="2:23" ht="15" customHeight="1">
      <c r="B117" s="222"/>
      <c r="C117" s="222"/>
      <c r="D117" s="222"/>
      <c r="E117" s="222"/>
      <c r="F117" s="222"/>
      <c r="G117" s="222"/>
      <c r="H117" s="222"/>
    </row>
    <row r="118" spans="2:23" ht="15" customHeight="1"/>
    <row r="119" spans="2:23" ht="15" customHeight="1"/>
    <row r="120" spans="2:23" ht="15" customHeight="1"/>
    <row r="121" spans="2:23" ht="15" customHeight="1"/>
    <row r="122" spans="2:23" ht="15" customHeight="1"/>
    <row r="125" spans="2:23">
      <c r="B125" s="116" t="s">
        <v>854</v>
      </c>
      <c r="C125" s="116"/>
      <c r="D125" s="116"/>
      <c r="E125" s="116"/>
      <c r="F125" s="116"/>
      <c r="G125" s="116"/>
      <c r="H125" s="116"/>
    </row>
    <row r="126" spans="2:23" ht="27" customHeight="1">
      <c r="B126" s="1242" t="s">
        <v>817</v>
      </c>
      <c r="C126" s="1242"/>
      <c r="D126" s="1242"/>
      <c r="E126" s="1242"/>
      <c r="F126" s="1242"/>
      <c r="G126" s="1242"/>
      <c r="H126" s="1242"/>
      <c r="I126" s="1243"/>
      <c r="J126" s="1243"/>
      <c r="K126" s="1243"/>
      <c r="L126" s="1243"/>
      <c r="M126" s="1243"/>
      <c r="N126" s="1243"/>
      <c r="O126" s="1243"/>
    </row>
    <row r="127" spans="2:23" ht="25.5" customHeight="1">
      <c r="B127" s="1242" t="s">
        <v>799</v>
      </c>
      <c r="C127" s="1242"/>
      <c r="D127" s="1242"/>
      <c r="E127" s="1242"/>
      <c r="F127" s="1242"/>
      <c r="G127" s="1242"/>
      <c r="H127" s="1242"/>
      <c r="I127" s="1243"/>
      <c r="J127" s="1243"/>
      <c r="K127" s="1243"/>
      <c r="L127" s="1243"/>
      <c r="M127" s="1243"/>
      <c r="N127" s="1243"/>
      <c r="O127" s="1243"/>
    </row>
    <row r="128" spans="2:23" ht="15.75" customHeight="1">
      <c r="B128" s="1236" t="s">
        <v>798</v>
      </c>
      <c r="C128" s="1236"/>
      <c r="D128" s="1236"/>
      <c r="E128" s="1236"/>
      <c r="F128" s="1236"/>
      <c r="G128" s="1236"/>
      <c r="H128" s="1236"/>
      <c r="I128" s="1237"/>
      <c r="J128" s="1237"/>
      <c r="K128" s="1237"/>
      <c r="L128" s="1237"/>
      <c r="M128" s="1237"/>
      <c r="N128" s="1237"/>
      <c r="O128" s="1237"/>
    </row>
    <row r="129" spans="2:15" ht="27" customHeight="1">
      <c r="B129" s="1236" t="s">
        <v>863</v>
      </c>
      <c r="C129" s="1236"/>
      <c r="D129" s="1236"/>
      <c r="E129" s="1236"/>
      <c r="F129" s="1236"/>
      <c r="G129" s="1236"/>
      <c r="H129" s="1236"/>
      <c r="I129" s="1237"/>
      <c r="J129" s="1237"/>
      <c r="K129" s="1237"/>
      <c r="L129" s="1237"/>
      <c r="M129" s="1237"/>
      <c r="N129" s="1237"/>
      <c r="O129" s="1237"/>
    </row>
    <row r="130" spans="2:15" ht="6" customHeight="1">
      <c r="B130" s="220"/>
      <c r="C130" s="220"/>
      <c r="D130" s="220"/>
      <c r="E130" s="220"/>
      <c r="F130" s="220"/>
      <c r="G130" s="220"/>
      <c r="H130" s="220"/>
      <c r="I130" s="221"/>
      <c r="J130" s="221"/>
      <c r="K130" s="221"/>
      <c r="L130" s="221"/>
      <c r="M130" s="221"/>
      <c r="N130" s="221"/>
      <c r="O130" s="221"/>
    </row>
    <row r="131" spans="2:15">
      <c r="B131" s="116" t="s">
        <v>655</v>
      </c>
      <c r="C131" s="116"/>
      <c r="D131" s="116"/>
      <c r="E131" s="116"/>
      <c r="F131" s="116"/>
      <c r="G131" s="116"/>
      <c r="H131" s="116"/>
      <c r="I131" s="113"/>
      <c r="J131" s="113"/>
      <c r="K131" s="113"/>
      <c r="L131" s="113"/>
      <c r="M131" s="113"/>
    </row>
    <row r="132" spans="2:15">
      <c r="B132" s="112" t="s">
        <v>801</v>
      </c>
      <c r="I132" s="113"/>
      <c r="J132" s="113"/>
      <c r="K132" s="113"/>
      <c r="L132" s="113"/>
      <c r="M132" s="113"/>
    </row>
    <row r="133" spans="2:15" s="222" customFormat="1" ht="15" customHeight="1">
      <c r="B133" s="1235" t="s">
        <v>802</v>
      </c>
      <c r="C133" s="1235"/>
      <c r="D133" s="1235"/>
      <c r="E133" s="1235"/>
      <c r="F133" s="1235"/>
      <c r="G133" s="1235"/>
      <c r="H133" s="1235"/>
      <c r="I133" s="1235"/>
      <c r="J133" s="1235"/>
      <c r="K133" s="1235"/>
      <c r="L133" s="1235"/>
      <c r="M133" s="1235"/>
      <c r="N133" s="1235"/>
      <c r="O133" s="1235"/>
    </row>
    <row r="134" spans="2:15">
      <c r="B134" s="1235" t="s">
        <v>800</v>
      </c>
      <c r="C134" s="1235"/>
      <c r="D134" s="1235"/>
      <c r="E134" s="1235"/>
      <c r="F134" s="1235"/>
      <c r="G134" s="1235"/>
      <c r="H134" s="1235"/>
      <c r="I134" s="1235"/>
      <c r="J134" s="1235"/>
      <c r="K134" s="1235"/>
      <c r="L134" s="1235"/>
      <c r="M134" s="1235"/>
      <c r="N134" s="1235"/>
      <c r="O134" s="1235"/>
    </row>
    <row r="135" spans="2:15">
      <c r="B135" s="1235" t="s">
        <v>803</v>
      </c>
      <c r="C135" s="1235"/>
      <c r="D135" s="1235"/>
      <c r="E135" s="1235"/>
      <c r="F135" s="1235"/>
      <c r="G135" s="1235"/>
      <c r="H135" s="1235"/>
      <c r="I135" s="1235"/>
      <c r="J135" s="1235"/>
      <c r="K135" s="1235"/>
      <c r="L135" s="1235"/>
      <c r="M135" s="1235"/>
      <c r="N135" s="1235"/>
      <c r="O135" s="1235"/>
    </row>
    <row r="136" spans="2:15" ht="15" customHeight="1">
      <c r="B136" s="1235" t="s">
        <v>804</v>
      </c>
      <c r="C136" s="1235"/>
      <c r="D136" s="1235"/>
      <c r="E136" s="1235"/>
      <c r="F136" s="1235"/>
      <c r="G136" s="1235"/>
      <c r="H136" s="1235"/>
      <c r="I136" s="1235"/>
      <c r="J136" s="1235"/>
      <c r="K136" s="1235"/>
      <c r="L136" s="1235"/>
      <c r="M136" s="1235"/>
      <c r="N136" s="1235"/>
      <c r="O136" s="1235"/>
    </row>
    <row r="137" spans="2:15">
      <c r="B137" s="1235" t="s">
        <v>806</v>
      </c>
      <c r="C137" s="1235"/>
      <c r="D137" s="1235"/>
      <c r="E137" s="1235"/>
      <c r="F137" s="1235"/>
      <c r="G137" s="1235"/>
      <c r="H137" s="1235"/>
      <c r="I137" s="1235"/>
      <c r="J137" s="1235"/>
      <c r="K137" s="1235"/>
      <c r="L137" s="1235"/>
      <c r="M137" s="1235"/>
      <c r="N137" s="1235"/>
      <c r="O137" s="1235"/>
    </row>
    <row r="138" spans="2:15">
      <c r="B138" s="1235" t="s">
        <v>805</v>
      </c>
      <c r="C138" s="1235"/>
      <c r="D138" s="1235"/>
      <c r="E138" s="1235"/>
      <c r="F138" s="1235"/>
      <c r="G138" s="1235"/>
      <c r="H138" s="1235"/>
      <c r="I138" s="1235"/>
      <c r="J138" s="1235"/>
      <c r="K138" s="1235"/>
      <c r="L138" s="1235"/>
      <c r="M138" s="1235"/>
      <c r="N138" s="1235"/>
      <c r="O138" s="1235"/>
    </row>
    <row r="139" spans="2:15">
      <c r="B139" s="1235" t="s">
        <v>807</v>
      </c>
      <c r="C139" s="1235"/>
      <c r="D139" s="1235"/>
      <c r="E139" s="1235"/>
      <c r="F139" s="1235"/>
      <c r="G139" s="1235"/>
      <c r="H139" s="1235"/>
      <c r="I139" s="1235"/>
      <c r="J139" s="1235"/>
      <c r="K139" s="1235"/>
      <c r="L139" s="1235"/>
      <c r="M139" s="1235"/>
      <c r="N139" s="1235"/>
      <c r="O139" s="1235"/>
    </row>
    <row r="140" spans="2:15">
      <c r="B140" s="1235" t="s">
        <v>808</v>
      </c>
      <c r="C140" s="1235"/>
      <c r="D140" s="1235"/>
      <c r="E140" s="1235"/>
      <c r="F140" s="1235"/>
      <c r="G140" s="1235"/>
      <c r="H140" s="1235"/>
      <c r="I140" s="1235"/>
      <c r="J140" s="1235"/>
      <c r="K140" s="1235"/>
      <c r="L140" s="1235"/>
      <c r="M140" s="1235"/>
      <c r="N140" s="1235"/>
      <c r="O140" s="1235"/>
    </row>
    <row r="141" spans="2:15">
      <c r="B141" s="1235" t="s">
        <v>809</v>
      </c>
      <c r="C141" s="1235"/>
      <c r="D141" s="1235"/>
      <c r="E141" s="1235"/>
      <c r="F141" s="1235"/>
      <c r="G141" s="1235"/>
      <c r="H141" s="1235"/>
      <c r="I141" s="1235"/>
      <c r="J141" s="1235"/>
      <c r="K141" s="1235"/>
      <c r="L141" s="1235"/>
      <c r="M141" s="1235"/>
      <c r="N141" s="1235"/>
      <c r="O141" s="1235"/>
    </row>
    <row r="142" spans="2:15">
      <c r="B142" s="1235" t="s">
        <v>810</v>
      </c>
      <c r="C142" s="1235"/>
      <c r="D142" s="1235"/>
      <c r="E142" s="1235"/>
      <c r="F142" s="1235"/>
      <c r="G142" s="1235"/>
      <c r="H142" s="1235"/>
      <c r="I142" s="1235"/>
      <c r="J142" s="1235"/>
      <c r="K142" s="1235"/>
      <c r="L142" s="1235"/>
      <c r="M142" s="1235"/>
      <c r="N142" s="1235"/>
      <c r="O142" s="1235"/>
    </row>
    <row r="143" spans="2:15">
      <c r="B143" s="116"/>
      <c r="C143" s="116"/>
      <c r="D143" s="116"/>
      <c r="E143" s="116"/>
      <c r="F143" s="116"/>
      <c r="G143" s="116"/>
      <c r="H143" s="116"/>
      <c r="I143" s="113"/>
      <c r="J143" s="113"/>
      <c r="K143" s="113"/>
      <c r="L143" s="113"/>
      <c r="M143" s="113"/>
    </row>
    <row r="148" spans="2:15" ht="12.75" customHeight="1">
      <c r="B148" s="948"/>
      <c r="C148" s="948"/>
      <c r="D148" s="948"/>
      <c r="E148" s="948"/>
      <c r="F148" s="948"/>
      <c r="G148" s="948"/>
      <c r="H148" s="948"/>
      <c r="I148" s="948"/>
      <c r="J148" s="948"/>
      <c r="K148" s="948"/>
      <c r="L148" s="1087"/>
      <c r="M148" s="1087"/>
      <c r="N148" s="1087"/>
    </row>
    <row r="149" spans="2:15" ht="12.75" customHeight="1">
      <c r="B149" s="947"/>
      <c r="C149" s="947"/>
      <c r="D149" s="947"/>
      <c r="E149" s="947"/>
      <c r="F149" s="947"/>
      <c r="G149" s="947"/>
      <c r="H149" s="947"/>
      <c r="I149" s="948"/>
      <c r="J149" s="948"/>
      <c r="K149" s="948"/>
      <c r="L149" s="219"/>
      <c r="M149" s="219"/>
      <c r="N149" s="219"/>
    </row>
    <row r="150" spans="2:15">
      <c r="B150" s="948"/>
      <c r="C150" s="948"/>
      <c r="D150" s="947"/>
      <c r="E150" s="947"/>
      <c r="F150" s="947"/>
      <c r="G150" s="947"/>
      <c r="H150" s="947"/>
      <c r="I150" s="948"/>
      <c r="J150" s="947"/>
      <c r="K150" s="947"/>
      <c r="L150" s="947"/>
      <c r="M150" s="947"/>
      <c r="N150" s="947"/>
      <c r="O150" s="947"/>
    </row>
    <row r="151" spans="2:15">
      <c r="B151" s="114"/>
      <c r="L151" s="119"/>
      <c r="M151" s="119"/>
      <c r="N151" s="138"/>
      <c r="O151" s="138"/>
    </row>
    <row r="152" spans="2:15">
      <c r="B152" s="119"/>
      <c r="C152" s="119"/>
      <c r="D152" s="119"/>
      <c r="E152" s="119"/>
      <c r="F152" s="119"/>
      <c r="G152" s="119"/>
      <c r="H152" s="119"/>
      <c r="I152" s="140"/>
      <c r="J152" s="138"/>
      <c r="K152" s="138"/>
      <c r="L152" s="119"/>
      <c r="M152" s="119"/>
      <c r="N152" s="138"/>
      <c r="O152" s="138"/>
    </row>
    <row r="153" spans="2:15">
      <c r="B153" s="119"/>
      <c r="C153" s="119"/>
      <c r="D153" s="119"/>
      <c r="E153" s="119"/>
      <c r="F153" s="119"/>
      <c r="G153" s="119"/>
      <c r="H153" s="119"/>
      <c r="I153" s="140"/>
      <c r="J153" s="138"/>
      <c r="K153" s="138"/>
      <c r="L153" s="119"/>
      <c r="M153" s="119"/>
      <c r="N153" s="138"/>
      <c r="O153" s="138"/>
    </row>
    <row r="154" spans="2:15">
      <c r="B154" s="119"/>
      <c r="C154" s="119"/>
      <c r="D154" s="119"/>
      <c r="E154" s="119"/>
      <c r="F154" s="119"/>
      <c r="G154" s="119"/>
      <c r="H154" s="119"/>
      <c r="I154" s="140"/>
      <c r="J154" s="138"/>
      <c r="K154" s="138"/>
      <c r="L154" s="119"/>
      <c r="M154" s="119"/>
      <c r="N154" s="138"/>
      <c r="O154" s="138"/>
    </row>
    <row r="155" spans="2:15">
      <c r="B155" s="119"/>
      <c r="C155" s="119"/>
      <c r="D155" s="119"/>
      <c r="E155" s="119"/>
      <c r="F155" s="119"/>
      <c r="G155" s="119"/>
      <c r="H155" s="119"/>
      <c r="I155" s="140"/>
      <c r="J155" s="138"/>
      <c r="K155" s="138"/>
      <c r="L155" s="119"/>
      <c r="M155" s="119"/>
      <c r="N155" s="138"/>
      <c r="O155" s="138"/>
    </row>
    <row r="156" spans="2:15">
      <c r="B156" s="119"/>
      <c r="C156" s="119"/>
      <c r="D156" s="119"/>
      <c r="E156" s="119"/>
      <c r="F156" s="119"/>
      <c r="G156" s="119"/>
      <c r="H156" s="119"/>
      <c r="I156" s="140"/>
      <c r="J156" s="138"/>
      <c r="K156" s="138"/>
      <c r="L156" s="119"/>
      <c r="M156" s="119"/>
      <c r="N156" s="138"/>
      <c r="O156" s="138"/>
    </row>
    <row r="157" spans="2:15">
      <c r="B157" s="119"/>
      <c r="C157" s="119"/>
      <c r="D157" s="119"/>
      <c r="E157" s="119"/>
      <c r="F157" s="119"/>
      <c r="G157" s="119"/>
      <c r="H157" s="119"/>
      <c r="I157" s="140"/>
      <c r="J157" s="138"/>
      <c r="K157" s="138"/>
      <c r="L157" s="119"/>
      <c r="M157" s="119"/>
      <c r="N157" s="138"/>
      <c r="O157" s="138"/>
    </row>
    <row r="158" spans="2:15">
      <c r="B158" s="119"/>
      <c r="C158" s="119"/>
      <c r="D158" s="119"/>
      <c r="E158" s="119"/>
      <c r="F158" s="119"/>
      <c r="G158" s="119"/>
      <c r="H158" s="119"/>
      <c r="I158" s="140"/>
      <c r="J158" s="138"/>
      <c r="K158" s="138"/>
      <c r="L158" s="119"/>
      <c r="M158" s="119"/>
      <c r="N158" s="138"/>
      <c r="O158" s="138"/>
    </row>
    <row r="159" spans="2:15">
      <c r="B159" s="119"/>
      <c r="C159" s="119"/>
      <c r="D159" s="119"/>
      <c r="E159" s="119"/>
      <c r="F159" s="119"/>
      <c r="G159" s="119"/>
      <c r="H159" s="119"/>
      <c r="I159" s="140"/>
      <c r="J159" s="138"/>
      <c r="K159" s="138"/>
      <c r="L159" s="119"/>
      <c r="M159" s="119"/>
      <c r="N159" s="138"/>
      <c r="O159" s="138"/>
    </row>
    <row r="160" spans="2:15">
      <c r="B160" s="119"/>
      <c r="C160" s="119"/>
      <c r="D160" s="119"/>
      <c r="E160" s="119"/>
      <c r="F160" s="119"/>
      <c r="G160" s="119"/>
      <c r="H160" s="119"/>
      <c r="I160" s="140"/>
      <c r="J160" s="138"/>
      <c r="K160" s="138"/>
      <c r="L160" s="119"/>
      <c r="M160" s="119"/>
      <c r="N160" s="138"/>
      <c r="O160" s="138"/>
    </row>
    <row r="161" spans="2:25">
      <c r="B161" s="119"/>
      <c r="C161" s="119"/>
      <c r="D161" s="119"/>
      <c r="E161" s="119"/>
      <c r="F161" s="119"/>
      <c r="G161" s="119"/>
      <c r="H161" s="119"/>
      <c r="I161" s="140"/>
      <c r="J161" s="138"/>
      <c r="K161" s="138"/>
      <c r="L161" s="119"/>
      <c r="M161" s="119"/>
      <c r="N161" s="138"/>
      <c r="O161" s="138"/>
    </row>
    <row r="162" spans="2:25">
      <c r="B162" s="119"/>
      <c r="C162" s="119"/>
      <c r="D162" s="119"/>
      <c r="E162" s="119"/>
      <c r="F162" s="119"/>
      <c r="G162" s="119"/>
      <c r="H162" s="119"/>
      <c r="I162" s="140"/>
      <c r="J162" s="138"/>
      <c r="K162" s="138"/>
    </row>
    <row r="166" spans="2:25">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row>
    <row r="167" spans="2:25">
      <c r="B167" s="125"/>
      <c r="C167" s="125"/>
      <c r="D167" s="125"/>
      <c r="E167" s="125"/>
      <c r="F167" s="125"/>
      <c r="G167" s="125"/>
      <c r="H167" s="125"/>
      <c r="I167" s="125"/>
      <c r="J167" s="125"/>
      <c r="K167" s="125"/>
      <c r="L167" s="125"/>
      <c r="M167" s="125"/>
      <c r="N167" s="125"/>
      <c r="O167" s="125"/>
      <c r="P167" s="125"/>
      <c r="Q167" s="125"/>
      <c r="R167" s="125"/>
      <c r="S167" s="1234"/>
      <c r="T167" s="1234"/>
      <c r="U167" s="1234"/>
      <c r="V167" s="1234"/>
      <c r="W167" s="1234"/>
      <c r="X167" s="1234"/>
      <c r="Y167" s="1234"/>
    </row>
    <row r="168" spans="2:25">
      <c r="B168" s="125"/>
      <c r="C168" s="125"/>
      <c r="D168" s="125"/>
      <c r="E168" s="125"/>
      <c r="F168" s="125"/>
      <c r="G168" s="125"/>
      <c r="H168" s="125"/>
      <c r="I168" s="125"/>
      <c r="J168" s="125"/>
      <c r="K168" s="125"/>
      <c r="L168" s="125"/>
      <c r="M168" s="125"/>
      <c r="N168" s="125"/>
      <c r="O168" s="125"/>
      <c r="P168" s="125"/>
      <c r="Q168" s="125"/>
      <c r="R168" s="125"/>
      <c r="S168" s="1234"/>
      <c r="T168" s="1234"/>
      <c r="U168" s="1234"/>
      <c r="V168" s="218"/>
      <c r="W168" s="1234"/>
      <c r="X168" s="1234"/>
      <c r="Y168" s="1234"/>
    </row>
    <row r="169" spans="2: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row>
    <row r="170" spans="2: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row>
    <row r="171" spans="2: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row>
    <row r="172" spans="2: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row>
    <row r="173" spans="2: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row>
    <row r="174" spans="2: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row>
    <row r="175" spans="2: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30"/>
      <c r="X175" s="130"/>
      <c r="Y175" s="130"/>
    </row>
    <row r="176" spans="2: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30"/>
      <c r="X176" s="130"/>
      <c r="Y176" s="130"/>
    </row>
    <row r="177" spans="2: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30"/>
      <c r="X177" s="130"/>
      <c r="Y177" s="130"/>
    </row>
    <row r="178" spans="2:25">
      <c r="N178" s="125"/>
    </row>
    <row r="179" spans="2:25">
      <c r="I179" s="131"/>
      <c r="J179" s="131"/>
      <c r="K179" s="131"/>
      <c r="L179" s="131"/>
      <c r="M179" s="131"/>
      <c r="N179" s="131"/>
      <c r="O179" s="131"/>
      <c r="P179" s="131"/>
      <c r="Q179" s="131"/>
      <c r="R179" s="131"/>
      <c r="S179" s="131"/>
      <c r="T179" s="131"/>
      <c r="U179" s="131"/>
      <c r="V179" s="131"/>
      <c r="W179" s="131"/>
      <c r="X179" s="131"/>
      <c r="Y179" s="131"/>
    </row>
  </sheetData>
  <mergeCells count="78">
    <mergeCell ref="F92:F93"/>
    <mergeCell ref="G92:G93"/>
    <mergeCell ref="H92:H93"/>
    <mergeCell ref="I92:I93"/>
    <mergeCell ref="F91:L91"/>
    <mergeCell ref="J92:J93"/>
    <mergeCell ref="K92:K93"/>
    <mergeCell ref="L92:L93"/>
    <mergeCell ref="B16:B17"/>
    <mergeCell ref="B19:B22"/>
    <mergeCell ref="C19:D19"/>
    <mergeCell ref="C21:D21"/>
    <mergeCell ref="B64:F64"/>
    <mergeCell ref="B32:E32"/>
    <mergeCell ref="B33:E33"/>
    <mergeCell ref="B34:E34"/>
    <mergeCell ref="B35:E35"/>
    <mergeCell ref="B36:E36"/>
    <mergeCell ref="B31:E31"/>
    <mergeCell ref="M5:N5"/>
    <mergeCell ref="B12:E13"/>
    <mergeCell ref="F12:G12"/>
    <mergeCell ref="H12:I12"/>
    <mergeCell ref="B137:O137"/>
    <mergeCell ref="B39:F40"/>
    <mergeCell ref="B127:O127"/>
    <mergeCell ref="H39:J39"/>
    <mergeCell ref="B37:E37"/>
    <mergeCell ref="J108:N108"/>
    <mergeCell ref="K39:M39"/>
    <mergeCell ref="B58:F59"/>
    <mergeCell ref="B62:F62"/>
    <mergeCell ref="B63:F63"/>
    <mergeCell ref="B91:E93"/>
    <mergeCell ref="J88:L88"/>
    <mergeCell ref="B1:N1"/>
    <mergeCell ref="B133:O133"/>
    <mergeCell ref="B134:O134"/>
    <mergeCell ref="B135:O135"/>
    <mergeCell ref="E3:G3"/>
    <mergeCell ref="B126:O126"/>
    <mergeCell ref="M91:M93"/>
    <mergeCell ref="E102:F102"/>
    <mergeCell ref="G102:H102"/>
    <mergeCell ref="B102:D103"/>
    <mergeCell ref="B108:H108"/>
    <mergeCell ref="B60:F60"/>
    <mergeCell ref="G5:H5"/>
    <mergeCell ref="B23:I23"/>
    <mergeCell ref="B55:M55"/>
    <mergeCell ref="G39:G40"/>
    <mergeCell ref="W168:Y168"/>
    <mergeCell ref="S167:Y167"/>
    <mergeCell ref="B142:O142"/>
    <mergeCell ref="S168:U168"/>
    <mergeCell ref="B128:O128"/>
    <mergeCell ref="B129:O129"/>
    <mergeCell ref="B140:O140"/>
    <mergeCell ref="B139:O139"/>
    <mergeCell ref="B136:O136"/>
    <mergeCell ref="B141:O141"/>
    <mergeCell ref="B138:O138"/>
    <mergeCell ref="B67:H67"/>
    <mergeCell ref="L102:M102"/>
    <mergeCell ref="J102:K103"/>
    <mergeCell ref="H24:I24"/>
    <mergeCell ref="F24:G24"/>
    <mergeCell ref="B24:E25"/>
    <mergeCell ref="B26:E26"/>
    <mergeCell ref="B69:E69"/>
    <mergeCell ref="B65:F65"/>
    <mergeCell ref="B66:F66"/>
    <mergeCell ref="G58:H58"/>
    <mergeCell ref="B61:F61"/>
    <mergeCell ref="B27:E27"/>
    <mergeCell ref="B28:E28"/>
    <mergeCell ref="B29:E29"/>
    <mergeCell ref="B30:E30"/>
  </mergeCells>
  <dataValidations count="1">
    <dataValidation type="list" allowBlank="1" showInputMessage="1" showErrorMessage="1" sqref="E3">
      <formula1>Locality</formula1>
    </dataValidation>
  </dataValidations>
  <pageMargins left="0.3" right="0.33" top="0.61" bottom="0.71" header="0.3" footer="0.3"/>
  <pageSetup orientation="landscape" r:id="rId1"/>
  <headerFooter>
    <oddFooter>&amp;L&amp;"Cambria,Regular"&amp;10Compiled by the VDSS Office of Research and Planning.  For more information, contact Gail.Jennings@dss.virginia.gov.&amp;R&amp;"Cambria,Regular"&amp;P of &amp;N</oddFooter>
  </headerFooter>
  <rowBreaks count="1" manualBreakCount="1">
    <brk id="147" min="1" max="8" man="1"/>
  </rowBreaks>
  <drawing r:id="rId2"/>
</worksheet>
</file>

<file path=xl/worksheets/sheet10.xml><?xml version="1.0" encoding="utf-8"?>
<worksheet xmlns="http://schemas.openxmlformats.org/spreadsheetml/2006/main" xmlns:r="http://schemas.openxmlformats.org/officeDocument/2006/relationships">
  <dimension ref="A1:M133"/>
  <sheetViews>
    <sheetView workbookViewId="0">
      <pane ySplit="5" topLeftCell="A6" activePane="bottomLeft" state="frozen"/>
      <selection pane="bottomLeft" activeCell="B13" sqref="B13"/>
    </sheetView>
  </sheetViews>
  <sheetFormatPr defaultRowHeight="12.75"/>
  <cols>
    <col min="1" max="1" width="5.375" style="734" customWidth="1"/>
    <col min="2" max="2" width="28.75" style="734" customWidth="1"/>
    <col min="3" max="4" width="6.5" style="734" bestFit="1" customWidth="1"/>
    <col min="5" max="5" width="7.625" style="734" bestFit="1" customWidth="1"/>
    <col min="6" max="6" width="8.375" style="734" customWidth="1"/>
    <col min="7" max="7" width="9.125" style="734" bestFit="1" customWidth="1"/>
    <col min="8" max="8" width="9.125" style="734" customWidth="1"/>
    <col min="9" max="9" width="7.625" style="734" bestFit="1" customWidth="1"/>
    <col min="10" max="10" width="5.625" style="734" bestFit="1" customWidth="1"/>
    <col min="11" max="11" width="7.75" style="734" bestFit="1" customWidth="1"/>
    <col min="12" max="16384" width="9" style="734"/>
  </cols>
  <sheetData>
    <row r="1" spans="1:12" ht="15.75">
      <c r="A1" s="733" t="s">
        <v>990</v>
      </c>
    </row>
    <row r="2" spans="1:12">
      <c r="B2" s="735"/>
      <c r="C2" s="740"/>
      <c r="D2" s="740"/>
      <c r="E2" s="740"/>
      <c r="F2" s="740"/>
    </row>
    <row r="3" spans="1:12">
      <c r="A3" s="1099"/>
      <c r="B3" s="1312" t="s">
        <v>837</v>
      </c>
      <c r="C3" s="1315" t="s">
        <v>402</v>
      </c>
      <c r="D3" s="1316"/>
      <c r="E3" s="1316"/>
      <c r="F3" s="1316"/>
      <c r="G3" s="1316"/>
      <c r="H3" s="1316"/>
      <c r="I3" s="1316"/>
      <c r="J3" s="1316"/>
      <c r="K3" s="1317"/>
    </row>
    <row r="4" spans="1:12">
      <c r="A4" s="1099"/>
      <c r="B4" s="1313"/>
      <c r="C4" s="1318" t="s">
        <v>672</v>
      </c>
      <c r="D4" s="1319"/>
      <c r="E4" s="1319"/>
      <c r="F4" s="1320"/>
      <c r="G4" s="1318" t="s">
        <v>671</v>
      </c>
      <c r="H4" s="1319"/>
      <c r="I4" s="1319"/>
      <c r="J4" s="1320"/>
      <c r="K4" s="743"/>
    </row>
    <row r="5" spans="1:12" ht="38.25">
      <c r="A5" s="1102" t="s">
        <v>4</v>
      </c>
      <c r="B5" s="1314"/>
      <c r="C5" s="749" t="s">
        <v>838</v>
      </c>
      <c r="D5" s="750" t="s">
        <v>2</v>
      </c>
      <c r="E5" s="750" t="s">
        <v>773</v>
      </c>
      <c r="F5" s="751" t="s">
        <v>668</v>
      </c>
      <c r="G5" s="749" t="s">
        <v>675</v>
      </c>
      <c r="H5" s="750" t="s">
        <v>2</v>
      </c>
      <c r="I5" s="750" t="s">
        <v>773</v>
      </c>
      <c r="J5" s="751" t="s">
        <v>668</v>
      </c>
      <c r="K5" s="744" t="s">
        <v>840</v>
      </c>
    </row>
    <row r="6" spans="1:12">
      <c r="A6" s="1100" t="s">
        <v>10</v>
      </c>
      <c r="B6" s="745" t="s">
        <v>11</v>
      </c>
      <c r="C6" s="752">
        <v>5384</v>
      </c>
      <c r="D6" s="753">
        <v>2692</v>
      </c>
      <c r="E6" s="753">
        <v>2470</v>
      </c>
      <c r="F6" s="754">
        <v>222</v>
      </c>
      <c r="G6" s="752">
        <v>3978</v>
      </c>
      <c r="H6" s="753">
        <v>1992</v>
      </c>
      <c r="I6" s="753">
        <v>1898</v>
      </c>
      <c r="J6" s="754">
        <v>88</v>
      </c>
      <c r="K6" s="747">
        <v>9362</v>
      </c>
      <c r="L6" s="736"/>
    </row>
    <row r="7" spans="1:12">
      <c r="A7" s="1100" t="s">
        <v>12</v>
      </c>
      <c r="B7" s="745" t="s">
        <v>13</v>
      </c>
      <c r="C7" s="755">
        <v>5829</v>
      </c>
      <c r="D7" s="756">
        <v>2981</v>
      </c>
      <c r="E7" s="756">
        <v>1544</v>
      </c>
      <c r="F7" s="757">
        <v>1304</v>
      </c>
      <c r="G7" s="755">
        <v>4102</v>
      </c>
      <c r="H7" s="756">
        <v>1817</v>
      </c>
      <c r="I7" s="756">
        <v>1232</v>
      </c>
      <c r="J7" s="757">
        <v>1053</v>
      </c>
      <c r="K7" s="748">
        <v>9931</v>
      </c>
      <c r="L7" s="736"/>
    </row>
    <row r="8" spans="1:12">
      <c r="A8" s="1100" t="s">
        <v>16</v>
      </c>
      <c r="B8" s="745" t="s">
        <v>364</v>
      </c>
      <c r="C8" s="755">
        <v>3013</v>
      </c>
      <c r="D8" s="756">
        <v>2600</v>
      </c>
      <c r="E8" s="756">
        <v>331</v>
      </c>
      <c r="F8" s="757">
        <v>82</v>
      </c>
      <c r="G8" s="755">
        <v>1974</v>
      </c>
      <c r="H8" s="756">
        <v>1572</v>
      </c>
      <c r="I8" s="756">
        <v>208</v>
      </c>
      <c r="J8" s="757">
        <v>194</v>
      </c>
      <c r="K8" s="748">
        <v>4987</v>
      </c>
      <c r="L8" s="736"/>
    </row>
    <row r="9" spans="1:12">
      <c r="A9" s="1100" t="s">
        <v>18</v>
      </c>
      <c r="B9" s="745" t="s">
        <v>19</v>
      </c>
      <c r="C9" s="755">
        <v>1825</v>
      </c>
      <c r="D9" s="756">
        <v>1091</v>
      </c>
      <c r="E9" s="756">
        <v>658</v>
      </c>
      <c r="F9" s="757">
        <v>76</v>
      </c>
      <c r="G9" s="755">
        <v>1103</v>
      </c>
      <c r="H9" s="756">
        <v>660</v>
      </c>
      <c r="I9" s="756">
        <v>372</v>
      </c>
      <c r="J9" s="757">
        <v>71</v>
      </c>
      <c r="K9" s="748">
        <v>2928</v>
      </c>
      <c r="L9" s="736"/>
    </row>
    <row r="10" spans="1:12">
      <c r="A10" s="1100" t="s">
        <v>20</v>
      </c>
      <c r="B10" s="745" t="s">
        <v>21</v>
      </c>
      <c r="C10" s="755">
        <v>3581</v>
      </c>
      <c r="D10" s="756">
        <v>2278</v>
      </c>
      <c r="E10" s="756">
        <v>1005</v>
      </c>
      <c r="F10" s="757">
        <v>298</v>
      </c>
      <c r="G10" s="755">
        <v>2398</v>
      </c>
      <c r="H10" s="756">
        <v>1479</v>
      </c>
      <c r="I10" s="756">
        <v>662</v>
      </c>
      <c r="J10" s="757">
        <v>257</v>
      </c>
      <c r="K10" s="748">
        <v>5979</v>
      </c>
      <c r="L10" s="736"/>
    </row>
    <row r="11" spans="1:12">
      <c r="A11" s="1100" t="s">
        <v>22</v>
      </c>
      <c r="B11" s="745" t="s">
        <v>23</v>
      </c>
      <c r="C11" s="755">
        <v>2108</v>
      </c>
      <c r="D11" s="756">
        <v>1268</v>
      </c>
      <c r="E11" s="756">
        <v>812</v>
      </c>
      <c r="F11" s="757">
        <v>28</v>
      </c>
      <c r="G11" s="755">
        <v>1348</v>
      </c>
      <c r="H11" s="756">
        <v>781</v>
      </c>
      <c r="I11" s="756">
        <v>514</v>
      </c>
      <c r="J11" s="757">
        <v>53</v>
      </c>
      <c r="K11" s="748">
        <v>3456</v>
      </c>
      <c r="L11" s="736"/>
    </row>
    <row r="12" spans="1:12">
      <c r="A12" s="1100" t="s">
        <v>24</v>
      </c>
      <c r="B12" s="745" t="s">
        <v>25</v>
      </c>
      <c r="C12" s="755">
        <v>7242</v>
      </c>
      <c r="D12" s="756">
        <v>2991</v>
      </c>
      <c r="E12" s="756">
        <v>2182</v>
      </c>
      <c r="F12" s="757">
        <v>2069</v>
      </c>
      <c r="G12" s="755">
        <v>4283</v>
      </c>
      <c r="H12" s="756">
        <v>1997</v>
      </c>
      <c r="I12" s="756">
        <v>1115</v>
      </c>
      <c r="J12" s="757">
        <v>1171</v>
      </c>
      <c r="K12" s="748">
        <v>11525</v>
      </c>
      <c r="L12" s="736"/>
    </row>
    <row r="13" spans="1:12">
      <c r="A13" s="1100" t="s">
        <v>26</v>
      </c>
      <c r="B13" s="745" t="s">
        <v>1114</v>
      </c>
      <c r="C13" s="755">
        <v>13362</v>
      </c>
      <c r="D13" s="756">
        <v>10344</v>
      </c>
      <c r="E13" s="756">
        <v>1786</v>
      </c>
      <c r="F13" s="757">
        <v>1232</v>
      </c>
      <c r="G13" s="755">
        <v>8859</v>
      </c>
      <c r="H13" s="756">
        <v>6515</v>
      </c>
      <c r="I13" s="756">
        <v>1356</v>
      </c>
      <c r="J13" s="757">
        <v>988</v>
      </c>
      <c r="K13" s="748">
        <v>22221</v>
      </c>
      <c r="L13" s="736"/>
    </row>
    <row r="14" spans="1:12">
      <c r="A14" s="1100" t="s">
        <v>27</v>
      </c>
      <c r="B14" s="745" t="s">
        <v>28</v>
      </c>
      <c r="C14" s="755">
        <v>376</v>
      </c>
      <c r="D14" s="756">
        <v>347</v>
      </c>
      <c r="E14" s="756">
        <v>21</v>
      </c>
      <c r="F14" s="757">
        <v>8</v>
      </c>
      <c r="G14" s="755">
        <v>203</v>
      </c>
      <c r="H14" s="756">
        <v>183</v>
      </c>
      <c r="I14" s="756">
        <v>6</v>
      </c>
      <c r="J14" s="757">
        <v>14</v>
      </c>
      <c r="K14" s="748">
        <v>579</v>
      </c>
      <c r="L14" s="736"/>
    </row>
    <row r="15" spans="1:12">
      <c r="A15" s="1100" t="s">
        <v>29</v>
      </c>
      <c r="B15" s="745" t="s">
        <v>366</v>
      </c>
      <c r="C15" s="755">
        <v>6199</v>
      </c>
      <c r="D15" s="756">
        <v>4614</v>
      </c>
      <c r="E15" s="756">
        <v>956</v>
      </c>
      <c r="F15" s="757">
        <v>629</v>
      </c>
      <c r="G15" s="755">
        <v>4170</v>
      </c>
      <c r="H15" s="756">
        <v>3100</v>
      </c>
      <c r="I15" s="756">
        <v>647</v>
      </c>
      <c r="J15" s="757">
        <v>423</v>
      </c>
      <c r="K15" s="748">
        <v>10369</v>
      </c>
      <c r="L15" s="736"/>
    </row>
    <row r="16" spans="1:12">
      <c r="A16" s="1100" t="s">
        <v>31</v>
      </c>
      <c r="B16" s="745" t="s">
        <v>32</v>
      </c>
      <c r="C16" s="755">
        <v>627</v>
      </c>
      <c r="D16" s="756">
        <v>542</v>
      </c>
      <c r="E16" s="756">
        <v>8</v>
      </c>
      <c r="F16" s="757">
        <v>77</v>
      </c>
      <c r="G16" s="755">
        <v>343</v>
      </c>
      <c r="H16" s="756">
        <v>308</v>
      </c>
      <c r="I16" s="756">
        <v>9</v>
      </c>
      <c r="J16" s="757">
        <v>26</v>
      </c>
      <c r="K16" s="748">
        <v>970</v>
      </c>
      <c r="L16" s="736"/>
    </row>
    <row r="17" spans="1:12">
      <c r="A17" s="1100" t="s">
        <v>33</v>
      </c>
      <c r="B17" s="745" t="s">
        <v>34</v>
      </c>
      <c r="C17" s="755">
        <v>1497</v>
      </c>
      <c r="D17" s="756">
        <v>1328</v>
      </c>
      <c r="E17" s="756">
        <v>64</v>
      </c>
      <c r="F17" s="757">
        <v>105</v>
      </c>
      <c r="G17" s="755">
        <v>1025</v>
      </c>
      <c r="H17" s="756">
        <v>878</v>
      </c>
      <c r="I17" s="756">
        <v>47</v>
      </c>
      <c r="J17" s="757">
        <v>100</v>
      </c>
      <c r="K17" s="748">
        <v>2522</v>
      </c>
      <c r="L17" s="736"/>
    </row>
    <row r="18" spans="1:12">
      <c r="A18" s="1100" t="s">
        <v>37</v>
      </c>
      <c r="B18" s="745" t="s">
        <v>38</v>
      </c>
      <c r="C18" s="755">
        <v>3160</v>
      </c>
      <c r="D18" s="756">
        <v>737</v>
      </c>
      <c r="E18" s="756">
        <v>2315</v>
      </c>
      <c r="F18" s="757">
        <v>108</v>
      </c>
      <c r="G18" s="755">
        <v>1896</v>
      </c>
      <c r="H18" s="756">
        <v>376</v>
      </c>
      <c r="I18" s="756">
        <v>1436</v>
      </c>
      <c r="J18" s="757">
        <v>84</v>
      </c>
      <c r="K18" s="748">
        <v>5056</v>
      </c>
      <c r="L18" s="736"/>
    </row>
    <row r="19" spans="1:12">
      <c r="A19" s="1100" t="s">
        <v>39</v>
      </c>
      <c r="B19" s="745" t="s">
        <v>40</v>
      </c>
      <c r="C19" s="755">
        <v>4002</v>
      </c>
      <c r="D19" s="756">
        <v>3831</v>
      </c>
      <c r="E19" s="756">
        <v>18</v>
      </c>
      <c r="F19" s="757">
        <v>153</v>
      </c>
      <c r="G19" s="755">
        <v>2033</v>
      </c>
      <c r="H19" s="756">
        <v>1905</v>
      </c>
      <c r="I19" s="756">
        <v>9</v>
      </c>
      <c r="J19" s="757">
        <v>119</v>
      </c>
      <c r="K19" s="748">
        <v>6035</v>
      </c>
      <c r="L19" s="736"/>
    </row>
    <row r="20" spans="1:12">
      <c r="A20" s="1100" t="s">
        <v>41</v>
      </c>
      <c r="B20" s="745" t="s">
        <v>42</v>
      </c>
      <c r="C20" s="755">
        <v>2910</v>
      </c>
      <c r="D20" s="756">
        <v>1327</v>
      </c>
      <c r="E20" s="756">
        <v>1358</v>
      </c>
      <c r="F20" s="757">
        <v>225</v>
      </c>
      <c r="G20" s="755">
        <v>1566</v>
      </c>
      <c r="H20" s="756">
        <v>787</v>
      </c>
      <c r="I20" s="756">
        <v>658</v>
      </c>
      <c r="J20" s="757">
        <v>121</v>
      </c>
      <c r="K20" s="748">
        <v>4476</v>
      </c>
      <c r="L20" s="736"/>
    </row>
    <row r="21" spans="1:12">
      <c r="A21" s="1100" t="s">
        <v>43</v>
      </c>
      <c r="B21" s="745" t="s">
        <v>44</v>
      </c>
      <c r="C21" s="755">
        <v>6627</v>
      </c>
      <c r="D21" s="756">
        <v>4457</v>
      </c>
      <c r="E21" s="756">
        <v>1617</v>
      </c>
      <c r="F21" s="757">
        <v>553</v>
      </c>
      <c r="G21" s="755">
        <v>4251</v>
      </c>
      <c r="H21" s="756">
        <v>2755</v>
      </c>
      <c r="I21" s="756">
        <v>1060</v>
      </c>
      <c r="J21" s="757">
        <v>436</v>
      </c>
      <c r="K21" s="748">
        <v>10878</v>
      </c>
      <c r="L21" s="736"/>
    </row>
    <row r="22" spans="1:12">
      <c r="A22" s="1100" t="s">
        <v>45</v>
      </c>
      <c r="B22" s="745" t="s">
        <v>46</v>
      </c>
      <c r="C22" s="755">
        <v>4064</v>
      </c>
      <c r="D22" s="756">
        <v>2037</v>
      </c>
      <c r="E22" s="756">
        <v>1653</v>
      </c>
      <c r="F22" s="757">
        <v>374</v>
      </c>
      <c r="G22" s="755">
        <v>2853</v>
      </c>
      <c r="H22" s="756">
        <v>1441</v>
      </c>
      <c r="I22" s="756">
        <v>1089</v>
      </c>
      <c r="J22" s="757">
        <v>323</v>
      </c>
      <c r="K22" s="748">
        <v>6917</v>
      </c>
      <c r="L22" s="736"/>
    </row>
    <row r="23" spans="1:12">
      <c r="A23" s="1100" t="s">
        <v>47</v>
      </c>
      <c r="B23" s="745" t="s">
        <v>48</v>
      </c>
      <c r="C23" s="755">
        <v>4866</v>
      </c>
      <c r="D23" s="756">
        <v>4326</v>
      </c>
      <c r="E23" s="756">
        <v>43</v>
      </c>
      <c r="F23" s="757">
        <v>497</v>
      </c>
      <c r="G23" s="755">
        <v>2686</v>
      </c>
      <c r="H23" s="756">
        <v>2362</v>
      </c>
      <c r="I23" s="756">
        <v>42</v>
      </c>
      <c r="J23" s="757">
        <v>282</v>
      </c>
      <c r="K23" s="748">
        <v>7552</v>
      </c>
      <c r="L23" s="736"/>
    </row>
    <row r="24" spans="1:12">
      <c r="A24" s="1100" t="s">
        <v>49</v>
      </c>
      <c r="B24" s="745" t="s">
        <v>279</v>
      </c>
      <c r="C24" s="755">
        <v>883</v>
      </c>
      <c r="D24" s="756">
        <v>223</v>
      </c>
      <c r="E24" s="756">
        <v>465</v>
      </c>
      <c r="F24" s="757">
        <v>195</v>
      </c>
      <c r="G24" s="755">
        <v>478</v>
      </c>
      <c r="H24" s="756">
        <v>147</v>
      </c>
      <c r="I24" s="756">
        <v>265</v>
      </c>
      <c r="J24" s="757">
        <v>66</v>
      </c>
      <c r="K24" s="748">
        <v>1361</v>
      </c>
      <c r="L24" s="736"/>
    </row>
    <row r="25" spans="1:12">
      <c r="A25" s="1100" t="s">
        <v>51</v>
      </c>
      <c r="B25" s="745" t="s">
        <v>52</v>
      </c>
      <c r="C25" s="755">
        <v>2104</v>
      </c>
      <c r="D25" s="756">
        <v>986</v>
      </c>
      <c r="E25" s="756">
        <v>1031</v>
      </c>
      <c r="F25" s="757">
        <v>87</v>
      </c>
      <c r="G25" s="755">
        <v>1288</v>
      </c>
      <c r="H25" s="756">
        <v>556</v>
      </c>
      <c r="I25" s="756">
        <v>645</v>
      </c>
      <c r="J25" s="757">
        <v>87</v>
      </c>
      <c r="K25" s="748">
        <v>3392</v>
      </c>
      <c r="L25" s="736"/>
    </row>
    <row r="26" spans="1:12">
      <c r="A26" s="1100" t="s">
        <v>57</v>
      </c>
      <c r="B26" s="745" t="s">
        <v>362</v>
      </c>
      <c r="C26" s="755">
        <v>24892</v>
      </c>
      <c r="D26" s="756">
        <v>12095</v>
      </c>
      <c r="E26" s="756">
        <v>8742</v>
      </c>
      <c r="F26" s="757">
        <v>4055</v>
      </c>
      <c r="G26" s="755">
        <v>20904</v>
      </c>
      <c r="H26" s="756">
        <v>9459</v>
      </c>
      <c r="I26" s="756">
        <v>8109</v>
      </c>
      <c r="J26" s="757">
        <v>3336</v>
      </c>
      <c r="K26" s="748">
        <v>45796</v>
      </c>
      <c r="L26" s="736"/>
    </row>
    <row r="27" spans="1:12">
      <c r="A27" s="1100" t="s">
        <v>59</v>
      </c>
      <c r="B27" s="745" t="s">
        <v>60</v>
      </c>
      <c r="C27" s="755">
        <v>816</v>
      </c>
      <c r="D27" s="756">
        <v>593</v>
      </c>
      <c r="E27" s="756">
        <v>124</v>
      </c>
      <c r="F27" s="757">
        <v>99</v>
      </c>
      <c r="G27" s="755">
        <v>472</v>
      </c>
      <c r="H27" s="756">
        <v>346</v>
      </c>
      <c r="I27" s="756">
        <v>62</v>
      </c>
      <c r="J27" s="757">
        <v>64</v>
      </c>
      <c r="K27" s="748">
        <v>1288</v>
      </c>
      <c r="L27" s="736"/>
    </row>
    <row r="28" spans="1:12">
      <c r="A28" s="1100" t="s">
        <v>61</v>
      </c>
      <c r="B28" s="745" t="s">
        <v>62</v>
      </c>
      <c r="C28" s="755">
        <v>504</v>
      </c>
      <c r="D28" s="756">
        <v>497</v>
      </c>
      <c r="E28" s="756">
        <v>3</v>
      </c>
      <c r="F28" s="757">
        <v>4</v>
      </c>
      <c r="G28" s="755">
        <v>325</v>
      </c>
      <c r="H28" s="756">
        <v>306</v>
      </c>
      <c r="I28" s="756">
        <v>2</v>
      </c>
      <c r="J28" s="757">
        <v>17</v>
      </c>
      <c r="K28" s="748">
        <v>829</v>
      </c>
      <c r="L28" s="736"/>
    </row>
    <row r="29" spans="1:12">
      <c r="A29" s="1100" t="s">
        <v>63</v>
      </c>
      <c r="B29" s="745" t="s">
        <v>64</v>
      </c>
      <c r="C29" s="755">
        <v>4728</v>
      </c>
      <c r="D29" s="756">
        <v>2667</v>
      </c>
      <c r="E29" s="756">
        <v>1568</v>
      </c>
      <c r="F29" s="757">
        <v>493</v>
      </c>
      <c r="G29" s="755">
        <v>3568</v>
      </c>
      <c r="H29" s="756">
        <v>1765</v>
      </c>
      <c r="I29" s="756">
        <v>1046</v>
      </c>
      <c r="J29" s="757">
        <v>757</v>
      </c>
      <c r="K29" s="748">
        <v>8296</v>
      </c>
      <c r="L29" s="736"/>
    </row>
    <row r="30" spans="1:12">
      <c r="A30" s="1100" t="s">
        <v>65</v>
      </c>
      <c r="B30" s="745" t="s">
        <v>66</v>
      </c>
      <c r="C30" s="755">
        <v>1843</v>
      </c>
      <c r="D30" s="756">
        <v>843</v>
      </c>
      <c r="E30" s="756">
        <v>894</v>
      </c>
      <c r="F30" s="757">
        <v>106</v>
      </c>
      <c r="G30" s="755">
        <v>1143</v>
      </c>
      <c r="H30" s="756">
        <v>519</v>
      </c>
      <c r="I30" s="756">
        <v>555</v>
      </c>
      <c r="J30" s="757">
        <v>69</v>
      </c>
      <c r="K30" s="748">
        <v>2986</v>
      </c>
      <c r="L30" s="736"/>
    </row>
    <row r="31" spans="1:12">
      <c r="A31" s="1100" t="s">
        <v>69</v>
      </c>
      <c r="B31" s="745" t="s">
        <v>70</v>
      </c>
      <c r="C31" s="755">
        <v>2920</v>
      </c>
      <c r="D31" s="756">
        <v>2776</v>
      </c>
      <c r="E31" s="756">
        <v>20</v>
      </c>
      <c r="F31" s="757">
        <v>124</v>
      </c>
      <c r="G31" s="755">
        <v>1517</v>
      </c>
      <c r="H31" s="756">
        <v>1466</v>
      </c>
      <c r="I31" s="756">
        <v>10</v>
      </c>
      <c r="J31" s="757">
        <v>41</v>
      </c>
      <c r="K31" s="748">
        <v>4437</v>
      </c>
      <c r="L31" s="736"/>
    </row>
    <row r="32" spans="1:12">
      <c r="A32" s="1100" t="s">
        <v>71</v>
      </c>
      <c r="B32" s="745" t="s">
        <v>72</v>
      </c>
      <c r="C32" s="755">
        <v>3851</v>
      </c>
      <c r="D32" s="756">
        <v>1846</v>
      </c>
      <c r="E32" s="756">
        <v>1515</v>
      </c>
      <c r="F32" s="757">
        <v>490</v>
      </c>
      <c r="G32" s="755">
        <v>2499</v>
      </c>
      <c r="H32" s="756">
        <v>1206</v>
      </c>
      <c r="I32" s="756">
        <v>961</v>
      </c>
      <c r="J32" s="757">
        <v>332</v>
      </c>
      <c r="K32" s="748">
        <v>6350</v>
      </c>
      <c r="L32" s="736"/>
    </row>
    <row r="33" spans="1:12">
      <c r="A33" s="1100" t="s">
        <v>73</v>
      </c>
      <c r="B33" s="745" t="s">
        <v>74</v>
      </c>
      <c r="C33" s="755">
        <v>1852</v>
      </c>
      <c r="D33" s="756">
        <v>534</v>
      </c>
      <c r="E33" s="756">
        <v>1018</v>
      </c>
      <c r="F33" s="757">
        <v>300</v>
      </c>
      <c r="G33" s="755">
        <v>1355</v>
      </c>
      <c r="H33" s="756">
        <v>358</v>
      </c>
      <c r="I33" s="756">
        <v>760</v>
      </c>
      <c r="J33" s="757">
        <v>237</v>
      </c>
      <c r="K33" s="748">
        <v>3207</v>
      </c>
      <c r="L33" s="736"/>
    </row>
    <row r="34" spans="1:12">
      <c r="A34" s="1100" t="s">
        <v>75</v>
      </c>
      <c r="B34" s="745" t="s">
        <v>363</v>
      </c>
      <c r="C34" s="755">
        <v>40309</v>
      </c>
      <c r="D34" s="756">
        <v>17858</v>
      </c>
      <c r="E34" s="756">
        <v>8157</v>
      </c>
      <c r="F34" s="757">
        <v>14294</v>
      </c>
      <c r="G34" s="755">
        <v>29871</v>
      </c>
      <c r="H34" s="756">
        <v>14413</v>
      </c>
      <c r="I34" s="756">
        <v>6670</v>
      </c>
      <c r="J34" s="757">
        <v>8788</v>
      </c>
      <c r="K34" s="748">
        <v>70180</v>
      </c>
      <c r="L34" s="736"/>
    </row>
    <row r="35" spans="1:12">
      <c r="A35" s="1100" t="s">
        <v>77</v>
      </c>
      <c r="B35" s="745" t="s">
        <v>78</v>
      </c>
      <c r="C35" s="755">
        <v>3775</v>
      </c>
      <c r="D35" s="756">
        <v>2133</v>
      </c>
      <c r="E35" s="756">
        <v>908</v>
      </c>
      <c r="F35" s="757">
        <v>734</v>
      </c>
      <c r="G35" s="755">
        <v>2726</v>
      </c>
      <c r="H35" s="756">
        <v>1552</v>
      </c>
      <c r="I35" s="756">
        <v>662</v>
      </c>
      <c r="J35" s="757">
        <v>512</v>
      </c>
      <c r="K35" s="748">
        <v>6501</v>
      </c>
      <c r="L35" s="736"/>
    </row>
    <row r="36" spans="1:12">
      <c r="A36" s="1100" t="s">
        <v>79</v>
      </c>
      <c r="B36" s="745" t="s">
        <v>80</v>
      </c>
      <c r="C36" s="755">
        <v>1800</v>
      </c>
      <c r="D36" s="756">
        <v>1498</v>
      </c>
      <c r="E36" s="756">
        <v>70</v>
      </c>
      <c r="F36" s="757">
        <v>232</v>
      </c>
      <c r="G36" s="755">
        <v>1137</v>
      </c>
      <c r="H36" s="756">
        <v>984</v>
      </c>
      <c r="I36" s="756">
        <v>39</v>
      </c>
      <c r="J36" s="757">
        <v>114</v>
      </c>
      <c r="K36" s="748">
        <v>2937</v>
      </c>
      <c r="L36" s="736"/>
    </row>
    <row r="37" spans="1:12">
      <c r="A37" s="1100" t="s">
        <v>81</v>
      </c>
      <c r="B37" s="745" t="s">
        <v>82</v>
      </c>
      <c r="C37" s="755">
        <v>1465</v>
      </c>
      <c r="D37" s="756">
        <v>888</v>
      </c>
      <c r="E37" s="756">
        <v>507</v>
      </c>
      <c r="F37" s="757">
        <v>70</v>
      </c>
      <c r="G37" s="755">
        <v>1082</v>
      </c>
      <c r="H37" s="756">
        <v>587</v>
      </c>
      <c r="I37" s="756">
        <v>415</v>
      </c>
      <c r="J37" s="757">
        <v>80</v>
      </c>
      <c r="K37" s="748">
        <v>2547</v>
      </c>
      <c r="L37" s="736"/>
    </row>
    <row r="38" spans="1:12">
      <c r="A38" s="1100" t="s">
        <v>85</v>
      </c>
      <c r="B38" s="745" t="s">
        <v>86</v>
      </c>
      <c r="C38" s="755">
        <v>7028</v>
      </c>
      <c r="D38" s="756">
        <v>5022</v>
      </c>
      <c r="E38" s="756">
        <v>985</v>
      </c>
      <c r="F38" s="757">
        <v>1021</v>
      </c>
      <c r="G38" s="755">
        <v>4414</v>
      </c>
      <c r="H38" s="756">
        <v>3095</v>
      </c>
      <c r="I38" s="756">
        <v>600</v>
      </c>
      <c r="J38" s="757">
        <v>719</v>
      </c>
      <c r="K38" s="748">
        <v>11442</v>
      </c>
      <c r="L38" s="736"/>
    </row>
    <row r="39" spans="1:12">
      <c r="A39" s="1100" t="s">
        <v>87</v>
      </c>
      <c r="B39" s="745" t="s">
        <v>88</v>
      </c>
      <c r="C39" s="755">
        <v>6222</v>
      </c>
      <c r="D39" s="756">
        <v>5233</v>
      </c>
      <c r="E39" s="756">
        <v>468</v>
      </c>
      <c r="F39" s="757">
        <v>521</v>
      </c>
      <c r="G39" s="755">
        <v>4781</v>
      </c>
      <c r="H39" s="756">
        <v>3729</v>
      </c>
      <c r="I39" s="756">
        <v>453</v>
      </c>
      <c r="J39" s="757">
        <v>599</v>
      </c>
      <c r="K39" s="748">
        <v>11003</v>
      </c>
      <c r="L39" s="736"/>
    </row>
    <row r="40" spans="1:12">
      <c r="A40" s="1100" t="s">
        <v>93</v>
      </c>
      <c r="B40" s="745" t="s">
        <v>94</v>
      </c>
      <c r="C40" s="755">
        <v>2307</v>
      </c>
      <c r="D40" s="756">
        <v>2189</v>
      </c>
      <c r="E40" s="756">
        <v>43</v>
      </c>
      <c r="F40" s="757">
        <v>75</v>
      </c>
      <c r="G40" s="755">
        <v>1338</v>
      </c>
      <c r="H40" s="756">
        <v>1240</v>
      </c>
      <c r="I40" s="756">
        <v>45</v>
      </c>
      <c r="J40" s="757">
        <v>53</v>
      </c>
      <c r="K40" s="748">
        <v>3645</v>
      </c>
      <c r="L40" s="736"/>
    </row>
    <row r="41" spans="1:12">
      <c r="A41" s="1100" t="s">
        <v>95</v>
      </c>
      <c r="B41" s="745" t="s">
        <v>96</v>
      </c>
      <c r="C41" s="755">
        <v>3752</v>
      </c>
      <c r="D41" s="756">
        <v>2974</v>
      </c>
      <c r="E41" s="756">
        <v>610</v>
      </c>
      <c r="F41" s="757">
        <v>168</v>
      </c>
      <c r="G41" s="755">
        <v>2327</v>
      </c>
      <c r="H41" s="756">
        <v>1785</v>
      </c>
      <c r="I41" s="756">
        <v>367</v>
      </c>
      <c r="J41" s="757">
        <v>175</v>
      </c>
      <c r="K41" s="748">
        <v>6079</v>
      </c>
      <c r="L41" s="736"/>
    </row>
    <row r="42" spans="1:12">
      <c r="A42" s="1100" t="s">
        <v>97</v>
      </c>
      <c r="B42" s="745" t="s">
        <v>98</v>
      </c>
      <c r="C42" s="755">
        <v>1227</v>
      </c>
      <c r="D42" s="756">
        <v>543</v>
      </c>
      <c r="E42" s="756">
        <v>562</v>
      </c>
      <c r="F42" s="757">
        <v>122</v>
      </c>
      <c r="G42" s="755">
        <v>719</v>
      </c>
      <c r="H42" s="756">
        <v>319</v>
      </c>
      <c r="I42" s="756">
        <v>319</v>
      </c>
      <c r="J42" s="757">
        <v>81</v>
      </c>
      <c r="K42" s="748">
        <v>1946</v>
      </c>
      <c r="L42" s="736"/>
    </row>
    <row r="43" spans="1:12">
      <c r="A43" s="1100" t="s">
        <v>99</v>
      </c>
      <c r="B43" s="745" t="s">
        <v>100</v>
      </c>
      <c r="C43" s="755">
        <v>2572</v>
      </c>
      <c r="D43" s="756">
        <v>2334</v>
      </c>
      <c r="E43" s="756">
        <v>113</v>
      </c>
      <c r="F43" s="757">
        <v>125</v>
      </c>
      <c r="G43" s="755">
        <v>1381</v>
      </c>
      <c r="H43" s="756">
        <v>1231</v>
      </c>
      <c r="I43" s="756">
        <v>64</v>
      </c>
      <c r="J43" s="757">
        <v>86</v>
      </c>
      <c r="K43" s="748">
        <v>3953</v>
      </c>
      <c r="L43" s="736"/>
    </row>
    <row r="44" spans="1:12">
      <c r="A44" s="1100" t="s">
        <v>101</v>
      </c>
      <c r="B44" s="745" t="s">
        <v>102</v>
      </c>
      <c r="C44" s="755">
        <v>1709</v>
      </c>
      <c r="D44" s="756">
        <v>1305</v>
      </c>
      <c r="E44" s="756">
        <v>287</v>
      </c>
      <c r="F44" s="757">
        <v>117</v>
      </c>
      <c r="G44" s="755">
        <v>1215</v>
      </c>
      <c r="H44" s="756">
        <v>819</v>
      </c>
      <c r="I44" s="756">
        <v>196</v>
      </c>
      <c r="J44" s="757">
        <v>200</v>
      </c>
      <c r="K44" s="748">
        <v>2924</v>
      </c>
      <c r="L44" s="736"/>
    </row>
    <row r="45" spans="1:12">
      <c r="A45" s="1100" t="s">
        <v>103</v>
      </c>
      <c r="B45" s="745" t="s">
        <v>329</v>
      </c>
      <c r="C45" s="755">
        <v>3257</v>
      </c>
      <c r="D45" s="756">
        <v>502</v>
      </c>
      <c r="E45" s="756">
        <v>2674</v>
      </c>
      <c r="F45" s="757">
        <v>81</v>
      </c>
      <c r="G45" s="755">
        <v>2300</v>
      </c>
      <c r="H45" s="756">
        <v>280</v>
      </c>
      <c r="I45" s="756">
        <v>1919</v>
      </c>
      <c r="J45" s="757">
        <v>101</v>
      </c>
      <c r="K45" s="748">
        <v>5557</v>
      </c>
      <c r="L45" s="736"/>
    </row>
    <row r="46" spans="1:12">
      <c r="A46" s="1100" t="s">
        <v>105</v>
      </c>
      <c r="B46" s="745" t="s">
        <v>106</v>
      </c>
      <c r="C46" s="755">
        <v>5764</v>
      </c>
      <c r="D46" s="756">
        <v>1961</v>
      </c>
      <c r="E46" s="756">
        <v>3087</v>
      </c>
      <c r="F46" s="757">
        <v>716</v>
      </c>
      <c r="G46" s="755">
        <v>3560</v>
      </c>
      <c r="H46" s="756">
        <v>1157</v>
      </c>
      <c r="I46" s="756">
        <v>2063</v>
      </c>
      <c r="J46" s="757">
        <v>340</v>
      </c>
      <c r="K46" s="748">
        <v>9324</v>
      </c>
      <c r="L46" s="736"/>
    </row>
    <row r="47" spans="1:12">
      <c r="A47" s="1100" t="s">
        <v>109</v>
      </c>
      <c r="B47" s="745" t="s">
        <v>110</v>
      </c>
      <c r="C47" s="755">
        <v>4867</v>
      </c>
      <c r="D47" s="756">
        <v>3052</v>
      </c>
      <c r="E47" s="756">
        <v>1245</v>
      </c>
      <c r="F47" s="757">
        <v>570</v>
      </c>
      <c r="G47" s="755">
        <v>3487</v>
      </c>
      <c r="H47" s="756">
        <v>1971</v>
      </c>
      <c r="I47" s="756">
        <v>1030</v>
      </c>
      <c r="J47" s="757">
        <v>486</v>
      </c>
      <c r="K47" s="748">
        <v>8354</v>
      </c>
      <c r="L47" s="736"/>
    </row>
    <row r="48" spans="1:12">
      <c r="A48" s="1100" t="s">
        <v>111</v>
      </c>
      <c r="B48" s="745" t="s">
        <v>112</v>
      </c>
      <c r="C48" s="755">
        <v>26050</v>
      </c>
      <c r="D48" s="756">
        <v>6621</v>
      </c>
      <c r="E48" s="756">
        <v>13136</v>
      </c>
      <c r="F48" s="757">
        <v>6293</v>
      </c>
      <c r="G48" s="755">
        <v>20367</v>
      </c>
      <c r="H48" s="756">
        <v>4001</v>
      </c>
      <c r="I48" s="756">
        <v>11586</v>
      </c>
      <c r="J48" s="757">
        <v>4780</v>
      </c>
      <c r="K48" s="748">
        <v>46417</v>
      </c>
      <c r="L48" s="736"/>
    </row>
    <row r="49" spans="1:12">
      <c r="A49" s="1100" t="s">
        <v>113</v>
      </c>
      <c r="B49" s="745" t="s">
        <v>367</v>
      </c>
      <c r="C49" s="755">
        <v>14011</v>
      </c>
      <c r="D49" s="756">
        <v>7090</v>
      </c>
      <c r="E49" s="756">
        <v>5115</v>
      </c>
      <c r="F49" s="757">
        <v>1806</v>
      </c>
      <c r="G49" s="755">
        <v>8296</v>
      </c>
      <c r="H49" s="756">
        <v>3742</v>
      </c>
      <c r="I49" s="756">
        <v>3047</v>
      </c>
      <c r="J49" s="757">
        <v>1507</v>
      </c>
      <c r="K49" s="748">
        <v>22307</v>
      </c>
      <c r="L49" s="736"/>
    </row>
    <row r="50" spans="1:12">
      <c r="A50" s="1100" t="s">
        <v>115</v>
      </c>
      <c r="B50" s="745" t="s">
        <v>116</v>
      </c>
      <c r="C50" s="755">
        <v>167</v>
      </c>
      <c r="D50" s="756">
        <v>148</v>
      </c>
      <c r="E50" s="756">
        <v>1</v>
      </c>
      <c r="F50" s="757">
        <v>18</v>
      </c>
      <c r="G50" s="755">
        <v>81</v>
      </c>
      <c r="H50" s="756">
        <v>69</v>
      </c>
      <c r="I50" s="756">
        <v>0</v>
      </c>
      <c r="J50" s="757">
        <v>12</v>
      </c>
      <c r="K50" s="748">
        <v>248</v>
      </c>
      <c r="L50" s="736"/>
    </row>
    <row r="51" spans="1:12">
      <c r="A51" s="1100" t="s">
        <v>119</v>
      </c>
      <c r="B51" s="745" t="s">
        <v>283</v>
      </c>
      <c r="C51" s="755">
        <v>3421</v>
      </c>
      <c r="D51" s="756">
        <v>1394</v>
      </c>
      <c r="E51" s="756">
        <v>1738</v>
      </c>
      <c r="F51" s="757">
        <v>289</v>
      </c>
      <c r="G51" s="755">
        <v>2265</v>
      </c>
      <c r="H51" s="756">
        <v>888</v>
      </c>
      <c r="I51" s="756">
        <v>1143</v>
      </c>
      <c r="J51" s="757">
        <v>234</v>
      </c>
      <c r="K51" s="748">
        <v>5686</v>
      </c>
      <c r="L51" s="736"/>
    </row>
    <row r="52" spans="1:12">
      <c r="A52" s="1100" t="s">
        <v>121</v>
      </c>
      <c r="B52" s="745" t="s">
        <v>122</v>
      </c>
      <c r="C52" s="755">
        <v>3713</v>
      </c>
      <c r="D52" s="756">
        <v>1749</v>
      </c>
      <c r="E52" s="756">
        <v>1521</v>
      </c>
      <c r="F52" s="757">
        <v>443</v>
      </c>
      <c r="G52" s="755">
        <v>2902</v>
      </c>
      <c r="H52" s="756">
        <v>1195</v>
      </c>
      <c r="I52" s="756">
        <v>1309</v>
      </c>
      <c r="J52" s="757">
        <v>398</v>
      </c>
      <c r="K52" s="748">
        <v>6615</v>
      </c>
      <c r="L52" s="736"/>
    </row>
    <row r="53" spans="1:12">
      <c r="A53" s="1100" t="s">
        <v>123</v>
      </c>
      <c r="B53" s="745" t="s">
        <v>351</v>
      </c>
      <c r="C53" s="755">
        <v>950</v>
      </c>
      <c r="D53" s="756">
        <v>430</v>
      </c>
      <c r="E53" s="756">
        <v>418</v>
      </c>
      <c r="F53" s="757">
        <v>102</v>
      </c>
      <c r="G53" s="755">
        <v>667</v>
      </c>
      <c r="H53" s="756">
        <v>306</v>
      </c>
      <c r="I53" s="756">
        <v>257</v>
      </c>
      <c r="J53" s="757">
        <v>104</v>
      </c>
      <c r="K53" s="748">
        <v>1617</v>
      </c>
      <c r="L53" s="736"/>
    </row>
    <row r="54" spans="1:12">
      <c r="A54" s="1100" t="s">
        <v>125</v>
      </c>
      <c r="B54" s="745" t="s">
        <v>126</v>
      </c>
      <c r="C54" s="755">
        <v>2136</v>
      </c>
      <c r="D54" s="756">
        <v>1191</v>
      </c>
      <c r="E54" s="756">
        <v>781</v>
      </c>
      <c r="F54" s="757">
        <v>164</v>
      </c>
      <c r="G54" s="755">
        <v>1686</v>
      </c>
      <c r="H54" s="756">
        <v>855</v>
      </c>
      <c r="I54" s="756">
        <v>630</v>
      </c>
      <c r="J54" s="757">
        <v>201</v>
      </c>
      <c r="K54" s="748">
        <v>3822</v>
      </c>
      <c r="L54" s="736"/>
    </row>
    <row r="55" spans="1:12">
      <c r="A55" s="1100" t="s">
        <v>127</v>
      </c>
      <c r="B55" s="745" t="s">
        <v>128</v>
      </c>
      <c r="C55" s="755">
        <v>1470</v>
      </c>
      <c r="D55" s="756">
        <v>707</v>
      </c>
      <c r="E55" s="756">
        <v>590</v>
      </c>
      <c r="F55" s="757">
        <v>173</v>
      </c>
      <c r="G55" s="755">
        <v>1133</v>
      </c>
      <c r="H55" s="756">
        <v>624</v>
      </c>
      <c r="I55" s="756">
        <v>411</v>
      </c>
      <c r="J55" s="757">
        <v>98</v>
      </c>
      <c r="K55" s="748">
        <v>2603</v>
      </c>
      <c r="L55" s="736"/>
    </row>
    <row r="56" spans="1:12">
      <c r="A56" s="1100" t="s">
        <v>129</v>
      </c>
      <c r="B56" s="745" t="s">
        <v>130</v>
      </c>
      <c r="C56" s="755">
        <v>1390</v>
      </c>
      <c r="D56" s="756">
        <v>458</v>
      </c>
      <c r="E56" s="756">
        <v>913</v>
      </c>
      <c r="F56" s="757">
        <v>19</v>
      </c>
      <c r="G56" s="755">
        <v>916</v>
      </c>
      <c r="H56" s="756">
        <v>210</v>
      </c>
      <c r="I56" s="756">
        <v>660</v>
      </c>
      <c r="J56" s="757">
        <v>46</v>
      </c>
      <c r="K56" s="748">
        <v>2306</v>
      </c>
      <c r="L56" s="736"/>
    </row>
    <row r="57" spans="1:12">
      <c r="A57" s="1100" t="s">
        <v>131</v>
      </c>
      <c r="B57" s="745" t="s">
        <v>132</v>
      </c>
      <c r="C57" s="755">
        <v>5304</v>
      </c>
      <c r="D57" s="756">
        <v>5066</v>
      </c>
      <c r="E57" s="756">
        <v>30</v>
      </c>
      <c r="F57" s="757">
        <v>208</v>
      </c>
      <c r="G57" s="755">
        <v>2539</v>
      </c>
      <c r="H57" s="756">
        <v>2416</v>
      </c>
      <c r="I57" s="756">
        <v>30</v>
      </c>
      <c r="J57" s="757">
        <v>93</v>
      </c>
      <c r="K57" s="748">
        <v>7843</v>
      </c>
      <c r="L57" s="736"/>
    </row>
    <row r="58" spans="1:12">
      <c r="A58" s="1100" t="s">
        <v>133</v>
      </c>
      <c r="B58" s="745" t="s">
        <v>134</v>
      </c>
      <c r="C58" s="755">
        <v>7728</v>
      </c>
      <c r="D58" s="756">
        <v>3545</v>
      </c>
      <c r="E58" s="756">
        <v>1602</v>
      </c>
      <c r="F58" s="757">
        <v>2581</v>
      </c>
      <c r="G58" s="755">
        <v>6319</v>
      </c>
      <c r="H58" s="756">
        <v>2617</v>
      </c>
      <c r="I58" s="756">
        <v>1397</v>
      </c>
      <c r="J58" s="757">
        <v>2305</v>
      </c>
      <c r="K58" s="748">
        <v>14047</v>
      </c>
      <c r="L58" s="736"/>
    </row>
    <row r="59" spans="1:12">
      <c r="A59" s="1100" t="s">
        <v>135</v>
      </c>
      <c r="B59" s="745" t="s">
        <v>136</v>
      </c>
      <c r="C59" s="755">
        <v>3740</v>
      </c>
      <c r="D59" s="756">
        <v>2162</v>
      </c>
      <c r="E59" s="756">
        <v>1131</v>
      </c>
      <c r="F59" s="757">
        <v>447</v>
      </c>
      <c r="G59" s="755">
        <v>2390</v>
      </c>
      <c r="H59" s="756">
        <v>1388</v>
      </c>
      <c r="I59" s="756">
        <v>674</v>
      </c>
      <c r="J59" s="757">
        <v>328</v>
      </c>
      <c r="K59" s="748">
        <v>6130</v>
      </c>
      <c r="L59" s="736"/>
    </row>
    <row r="60" spans="1:12">
      <c r="A60" s="1100" t="s">
        <v>137</v>
      </c>
      <c r="B60" s="745" t="s">
        <v>138</v>
      </c>
      <c r="C60" s="755">
        <v>2165</v>
      </c>
      <c r="D60" s="756">
        <v>983</v>
      </c>
      <c r="E60" s="756">
        <v>1006</v>
      </c>
      <c r="F60" s="757">
        <v>176</v>
      </c>
      <c r="G60" s="755">
        <v>1295</v>
      </c>
      <c r="H60" s="756">
        <v>522</v>
      </c>
      <c r="I60" s="756">
        <v>608</v>
      </c>
      <c r="J60" s="757">
        <v>165</v>
      </c>
      <c r="K60" s="748">
        <v>3460</v>
      </c>
      <c r="L60" s="736"/>
    </row>
    <row r="61" spans="1:12">
      <c r="A61" s="1100" t="s">
        <v>141</v>
      </c>
      <c r="B61" s="745" t="s">
        <v>142</v>
      </c>
      <c r="C61" s="755">
        <v>1294</v>
      </c>
      <c r="D61" s="756">
        <v>981</v>
      </c>
      <c r="E61" s="756">
        <v>255</v>
      </c>
      <c r="F61" s="757">
        <v>58</v>
      </c>
      <c r="G61" s="755">
        <v>909</v>
      </c>
      <c r="H61" s="756">
        <v>680</v>
      </c>
      <c r="I61" s="756">
        <v>168</v>
      </c>
      <c r="J61" s="757">
        <v>61</v>
      </c>
      <c r="K61" s="748">
        <v>2203</v>
      </c>
      <c r="L61" s="736"/>
    </row>
    <row r="62" spans="1:12">
      <c r="A62" s="1100" t="s">
        <v>147</v>
      </c>
      <c r="B62" s="745" t="s">
        <v>148</v>
      </c>
      <c r="C62" s="755">
        <v>922</v>
      </c>
      <c r="D62" s="756">
        <v>665</v>
      </c>
      <c r="E62" s="756">
        <v>180</v>
      </c>
      <c r="F62" s="757">
        <v>77</v>
      </c>
      <c r="G62" s="755">
        <v>491</v>
      </c>
      <c r="H62" s="756">
        <v>397</v>
      </c>
      <c r="I62" s="756">
        <v>77</v>
      </c>
      <c r="J62" s="757">
        <v>17</v>
      </c>
      <c r="K62" s="748">
        <v>1413</v>
      </c>
      <c r="L62" s="736"/>
    </row>
    <row r="63" spans="1:12">
      <c r="A63" s="1100" t="s">
        <v>149</v>
      </c>
      <c r="B63" s="745" t="s">
        <v>150</v>
      </c>
      <c r="C63" s="755">
        <v>4336</v>
      </c>
      <c r="D63" s="756">
        <v>1573</v>
      </c>
      <c r="E63" s="756">
        <v>2655</v>
      </c>
      <c r="F63" s="757">
        <v>108</v>
      </c>
      <c r="G63" s="755">
        <v>2891</v>
      </c>
      <c r="H63" s="756">
        <v>978</v>
      </c>
      <c r="I63" s="756">
        <v>1783</v>
      </c>
      <c r="J63" s="757">
        <v>130</v>
      </c>
      <c r="K63" s="748">
        <v>7227</v>
      </c>
      <c r="L63" s="736"/>
    </row>
    <row r="64" spans="1:12">
      <c r="A64" s="1100" t="s">
        <v>151</v>
      </c>
      <c r="B64" s="745" t="s">
        <v>152</v>
      </c>
      <c r="C64" s="755">
        <v>1306</v>
      </c>
      <c r="D64" s="756">
        <v>751</v>
      </c>
      <c r="E64" s="756">
        <v>447</v>
      </c>
      <c r="F64" s="757">
        <v>108</v>
      </c>
      <c r="G64" s="755">
        <v>735</v>
      </c>
      <c r="H64" s="756">
        <v>462</v>
      </c>
      <c r="I64" s="756">
        <v>209</v>
      </c>
      <c r="J64" s="757">
        <v>64</v>
      </c>
      <c r="K64" s="748">
        <v>2041</v>
      </c>
      <c r="L64" s="736"/>
    </row>
    <row r="65" spans="1:12">
      <c r="A65" s="1100" t="s">
        <v>153</v>
      </c>
      <c r="B65" s="745" t="s">
        <v>154</v>
      </c>
      <c r="C65" s="755">
        <v>6734</v>
      </c>
      <c r="D65" s="756">
        <v>5287</v>
      </c>
      <c r="E65" s="756">
        <v>531</v>
      </c>
      <c r="F65" s="757">
        <v>916</v>
      </c>
      <c r="G65" s="755">
        <v>4259</v>
      </c>
      <c r="H65" s="756">
        <v>3208</v>
      </c>
      <c r="I65" s="756">
        <v>427</v>
      </c>
      <c r="J65" s="757">
        <v>624</v>
      </c>
      <c r="K65" s="748">
        <v>10993</v>
      </c>
      <c r="L65" s="736"/>
    </row>
    <row r="66" spans="1:12">
      <c r="A66" s="1100" t="s">
        <v>155</v>
      </c>
      <c r="B66" s="745" t="s">
        <v>156</v>
      </c>
      <c r="C66" s="755">
        <v>1922</v>
      </c>
      <c r="D66" s="756">
        <v>1249</v>
      </c>
      <c r="E66" s="756">
        <v>406</v>
      </c>
      <c r="F66" s="757">
        <v>267</v>
      </c>
      <c r="G66" s="755">
        <v>1159</v>
      </c>
      <c r="H66" s="756">
        <v>766</v>
      </c>
      <c r="I66" s="756">
        <v>226</v>
      </c>
      <c r="J66" s="757">
        <v>167</v>
      </c>
      <c r="K66" s="748">
        <v>3081</v>
      </c>
      <c r="L66" s="736"/>
    </row>
    <row r="67" spans="1:12">
      <c r="A67" s="1100" t="s">
        <v>157</v>
      </c>
      <c r="B67" s="745" t="s">
        <v>158</v>
      </c>
      <c r="C67" s="755">
        <v>1003</v>
      </c>
      <c r="D67" s="756">
        <v>708</v>
      </c>
      <c r="E67" s="756">
        <v>221</v>
      </c>
      <c r="F67" s="757">
        <v>74</v>
      </c>
      <c r="G67" s="755">
        <v>719</v>
      </c>
      <c r="H67" s="756">
        <v>512</v>
      </c>
      <c r="I67" s="756">
        <v>154</v>
      </c>
      <c r="J67" s="757">
        <v>53</v>
      </c>
      <c r="K67" s="748">
        <v>1722</v>
      </c>
      <c r="L67" s="736"/>
    </row>
    <row r="68" spans="1:12">
      <c r="A68" s="1100" t="s">
        <v>163</v>
      </c>
      <c r="B68" s="745" t="s">
        <v>164</v>
      </c>
      <c r="C68" s="755">
        <v>2488</v>
      </c>
      <c r="D68" s="756">
        <v>753</v>
      </c>
      <c r="E68" s="756">
        <v>1542</v>
      </c>
      <c r="F68" s="757">
        <v>193</v>
      </c>
      <c r="G68" s="755">
        <v>1540</v>
      </c>
      <c r="H68" s="756">
        <v>574</v>
      </c>
      <c r="I68" s="756">
        <v>857</v>
      </c>
      <c r="J68" s="757">
        <v>109</v>
      </c>
      <c r="K68" s="748">
        <v>4028</v>
      </c>
      <c r="L68" s="736"/>
    </row>
    <row r="69" spans="1:12">
      <c r="A69" s="1100" t="s">
        <v>165</v>
      </c>
      <c r="B69" s="745" t="s">
        <v>166</v>
      </c>
      <c r="C69" s="755">
        <v>1348</v>
      </c>
      <c r="D69" s="756">
        <v>534</v>
      </c>
      <c r="E69" s="756">
        <v>751</v>
      </c>
      <c r="F69" s="757">
        <v>63</v>
      </c>
      <c r="G69" s="755">
        <v>895</v>
      </c>
      <c r="H69" s="756">
        <v>295</v>
      </c>
      <c r="I69" s="756">
        <v>522</v>
      </c>
      <c r="J69" s="757">
        <v>78</v>
      </c>
      <c r="K69" s="748">
        <v>2243</v>
      </c>
      <c r="L69" s="736"/>
    </row>
    <row r="70" spans="1:12">
      <c r="A70" s="1100" t="s">
        <v>169</v>
      </c>
      <c r="B70" s="745" t="s">
        <v>170</v>
      </c>
      <c r="C70" s="755">
        <v>2844</v>
      </c>
      <c r="D70" s="756">
        <v>1091</v>
      </c>
      <c r="E70" s="756">
        <v>1502</v>
      </c>
      <c r="F70" s="757">
        <v>251</v>
      </c>
      <c r="G70" s="755">
        <v>1852</v>
      </c>
      <c r="H70" s="756">
        <v>723</v>
      </c>
      <c r="I70" s="756">
        <v>942</v>
      </c>
      <c r="J70" s="757">
        <v>187</v>
      </c>
      <c r="K70" s="748">
        <v>4696</v>
      </c>
      <c r="L70" s="736"/>
    </row>
    <row r="71" spans="1:12">
      <c r="A71" s="1100" t="s">
        <v>171</v>
      </c>
      <c r="B71" s="745" t="s">
        <v>172</v>
      </c>
      <c r="C71" s="755">
        <v>2887</v>
      </c>
      <c r="D71" s="756">
        <v>1809</v>
      </c>
      <c r="E71" s="756">
        <v>713</v>
      </c>
      <c r="F71" s="757">
        <v>365</v>
      </c>
      <c r="G71" s="755">
        <v>2096</v>
      </c>
      <c r="H71" s="756">
        <v>1263</v>
      </c>
      <c r="I71" s="756">
        <v>558</v>
      </c>
      <c r="J71" s="757">
        <v>275</v>
      </c>
      <c r="K71" s="748">
        <v>4983</v>
      </c>
      <c r="L71" s="736"/>
    </row>
    <row r="72" spans="1:12">
      <c r="A72" s="1100" t="s">
        <v>173</v>
      </c>
      <c r="B72" s="745" t="s">
        <v>174</v>
      </c>
      <c r="C72" s="755">
        <v>3351</v>
      </c>
      <c r="D72" s="756">
        <v>3002</v>
      </c>
      <c r="E72" s="756">
        <v>88</v>
      </c>
      <c r="F72" s="757">
        <v>261</v>
      </c>
      <c r="G72" s="755">
        <v>1985</v>
      </c>
      <c r="H72" s="756">
        <v>1809</v>
      </c>
      <c r="I72" s="756">
        <v>66</v>
      </c>
      <c r="J72" s="757">
        <v>110</v>
      </c>
      <c r="K72" s="748">
        <v>5336</v>
      </c>
      <c r="L72" s="736"/>
    </row>
    <row r="73" spans="1:12">
      <c r="A73" s="1100" t="s">
        <v>175</v>
      </c>
      <c r="B73" s="745" t="s">
        <v>176</v>
      </c>
      <c r="C73" s="755">
        <v>3218</v>
      </c>
      <c r="D73" s="756">
        <v>2682</v>
      </c>
      <c r="E73" s="756">
        <v>325</v>
      </c>
      <c r="F73" s="757">
        <v>211</v>
      </c>
      <c r="G73" s="755">
        <v>1781</v>
      </c>
      <c r="H73" s="756">
        <v>1464</v>
      </c>
      <c r="I73" s="756">
        <v>193</v>
      </c>
      <c r="J73" s="757">
        <v>124</v>
      </c>
      <c r="K73" s="748">
        <v>4999</v>
      </c>
      <c r="L73" s="736"/>
    </row>
    <row r="74" spans="1:12">
      <c r="A74" s="1100" t="s">
        <v>179</v>
      </c>
      <c r="B74" s="745" t="s">
        <v>180</v>
      </c>
      <c r="C74" s="755">
        <v>8668</v>
      </c>
      <c r="D74" s="756">
        <v>4511</v>
      </c>
      <c r="E74" s="756">
        <v>2935</v>
      </c>
      <c r="F74" s="757">
        <v>1222</v>
      </c>
      <c r="G74" s="755">
        <v>5331</v>
      </c>
      <c r="H74" s="756">
        <v>2954</v>
      </c>
      <c r="I74" s="756">
        <v>1700</v>
      </c>
      <c r="J74" s="757">
        <v>677</v>
      </c>
      <c r="K74" s="748">
        <v>13999</v>
      </c>
      <c r="L74" s="736"/>
    </row>
    <row r="75" spans="1:12">
      <c r="A75" s="1100" t="s">
        <v>183</v>
      </c>
      <c r="B75" s="745" t="s">
        <v>184</v>
      </c>
      <c r="C75" s="755">
        <v>1231</v>
      </c>
      <c r="D75" s="756">
        <v>731</v>
      </c>
      <c r="E75" s="756">
        <v>257</v>
      </c>
      <c r="F75" s="757">
        <v>243</v>
      </c>
      <c r="G75" s="755">
        <v>830</v>
      </c>
      <c r="H75" s="756">
        <v>549</v>
      </c>
      <c r="I75" s="756">
        <v>155</v>
      </c>
      <c r="J75" s="757">
        <v>126</v>
      </c>
      <c r="K75" s="748">
        <v>2061</v>
      </c>
      <c r="L75" s="736"/>
    </row>
    <row r="76" spans="1:12">
      <c r="A76" s="1100" t="s">
        <v>185</v>
      </c>
      <c r="B76" s="745" t="s">
        <v>186</v>
      </c>
      <c r="C76" s="755">
        <v>3093</v>
      </c>
      <c r="D76" s="756">
        <v>1076</v>
      </c>
      <c r="E76" s="756">
        <v>1891</v>
      </c>
      <c r="F76" s="757">
        <v>126</v>
      </c>
      <c r="G76" s="755">
        <v>1941</v>
      </c>
      <c r="H76" s="756">
        <v>602</v>
      </c>
      <c r="I76" s="756">
        <v>1173</v>
      </c>
      <c r="J76" s="757">
        <v>166</v>
      </c>
      <c r="K76" s="748">
        <v>5034</v>
      </c>
      <c r="L76" s="736"/>
    </row>
    <row r="77" spans="1:12">
      <c r="A77" s="1100" t="s">
        <v>187</v>
      </c>
      <c r="B77" s="745" t="s">
        <v>188</v>
      </c>
      <c r="C77" s="755">
        <v>2268</v>
      </c>
      <c r="D77" s="756">
        <v>1259</v>
      </c>
      <c r="E77" s="756">
        <v>890</v>
      </c>
      <c r="F77" s="757">
        <v>119</v>
      </c>
      <c r="G77" s="755">
        <v>1755</v>
      </c>
      <c r="H77" s="756">
        <v>826</v>
      </c>
      <c r="I77" s="756">
        <v>757</v>
      </c>
      <c r="J77" s="757">
        <v>172</v>
      </c>
      <c r="K77" s="748">
        <v>4023</v>
      </c>
      <c r="L77" s="736"/>
    </row>
    <row r="78" spans="1:12">
      <c r="A78" s="1100" t="s">
        <v>189</v>
      </c>
      <c r="B78" s="745" t="s">
        <v>190</v>
      </c>
      <c r="C78" s="755">
        <v>21993</v>
      </c>
      <c r="D78" s="756">
        <v>9832</v>
      </c>
      <c r="E78" s="756">
        <v>7074</v>
      </c>
      <c r="F78" s="757">
        <v>5087</v>
      </c>
      <c r="G78" s="755">
        <v>20483</v>
      </c>
      <c r="H78" s="756">
        <v>9153</v>
      </c>
      <c r="I78" s="756">
        <v>6755</v>
      </c>
      <c r="J78" s="757">
        <v>4575</v>
      </c>
      <c r="K78" s="748">
        <v>42476</v>
      </c>
      <c r="L78" s="736"/>
    </row>
    <row r="79" spans="1:12">
      <c r="A79" s="1100" t="s">
        <v>191</v>
      </c>
      <c r="B79" s="745" t="s">
        <v>192</v>
      </c>
      <c r="C79" s="755">
        <v>5473</v>
      </c>
      <c r="D79" s="756">
        <v>4845</v>
      </c>
      <c r="E79" s="756">
        <v>486</v>
      </c>
      <c r="F79" s="757">
        <v>142</v>
      </c>
      <c r="G79" s="755">
        <v>3026</v>
      </c>
      <c r="H79" s="756">
        <v>2459</v>
      </c>
      <c r="I79" s="756">
        <v>305</v>
      </c>
      <c r="J79" s="757">
        <v>262</v>
      </c>
      <c r="K79" s="748">
        <v>8499</v>
      </c>
      <c r="L79" s="736"/>
    </row>
    <row r="80" spans="1:12">
      <c r="A80" s="1100" t="s">
        <v>195</v>
      </c>
      <c r="B80" s="745" t="s">
        <v>196</v>
      </c>
      <c r="C80" s="755">
        <v>481</v>
      </c>
      <c r="D80" s="756">
        <v>409</v>
      </c>
      <c r="E80" s="756">
        <v>42</v>
      </c>
      <c r="F80" s="757">
        <v>30</v>
      </c>
      <c r="G80" s="755">
        <v>312</v>
      </c>
      <c r="H80" s="756">
        <v>258</v>
      </c>
      <c r="I80" s="756">
        <v>31</v>
      </c>
      <c r="J80" s="757">
        <v>23</v>
      </c>
      <c r="K80" s="748">
        <v>793</v>
      </c>
      <c r="L80" s="736"/>
    </row>
    <row r="81" spans="1:12">
      <c r="A81" s="1100" t="s">
        <v>199</v>
      </c>
      <c r="B81" s="745" t="s">
        <v>285</v>
      </c>
      <c r="C81" s="755">
        <v>1257</v>
      </c>
      <c r="D81" s="756">
        <v>536</v>
      </c>
      <c r="E81" s="756">
        <v>544</v>
      </c>
      <c r="F81" s="757">
        <v>177</v>
      </c>
      <c r="G81" s="755">
        <v>787</v>
      </c>
      <c r="H81" s="756">
        <v>312</v>
      </c>
      <c r="I81" s="756">
        <v>355</v>
      </c>
      <c r="J81" s="757">
        <v>120</v>
      </c>
      <c r="K81" s="748">
        <v>2044</v>
      </c>
      <c r="L81" s="736"/>
    </row>
    <row r="82" spans="1:12">
      <c r="A82" s="1100" t="s">
        <v>203</v>
      </c>
      <c r="B82" s="745" t="s">
        <v>368</v>
      </c>
      <c r="C82" s="755">
        <v>7060</v>
      </c>
      <c r="D82" s="756">
        <v>4820</v>
      </c>
      <c r="E82" s="756">
        <v>1013</v>
      </c>
      <c r="F82" s="757">
        <v>1227</v>
      </c>
      <c r="G82" s="755">
        <v>5188</v>
      </c>
      <c r="H82" s="756">
        <v>3274</v>
      </c>
      <c r="I82" s="756">
        <v>1036</v>
      </c>
      <c r="J82" s="757">
        <v>878</v>
      </c>
      <c r="K82" s="748">
        <v>12248</v>
      </c>
      <c r="L82" s="736"/>
    </row>
    <row r="83" spans="1:12">
      <c r="A83" s="1100" t="s">
        <v>205</v>
      </c>
      <c r="B83" s="745" t="s">
        <v>359</v>
      </c>
      <c r="C83" s="755">
        <v>3532</v>
      </c>
      <c r="D83" s="756">
        <v>2991</v>
      </c>
      <c r="E83" s="756">
        <v>298</v>
      </c>
      <c r="F83" s="757">
        <v>243</v>
      </c>
      <c r="G83" s="755">
        <v>2166</v>
      </c>
      <c r="H83" s="756">
        <v>1694</v>
      </c>
      <c r="I83" s="756">
        <v>214</v>
      </c>
      <c r="J83" s="757">
        <v>258</v>
      </c>
      <c r="K83" s="748">
        <v>5698</v>
      </c>
      <c r="L83" s="736"/>
    </row>
    <row r="84" spans="1:12">
      <c r="A84" s="1100" t="s">
        <v>207</v>
      </c>
      <c r="B84" s="745" t="s">
        <v>360</v>
      </c>
      <c r="C84" s="755">
        <v>10477</v>
      </c>
      <c r="D84" s="756">
        <v>7532</v>
      </c>
      <c r="E84" s="756">
        <v>870</v>
      </c>
      <c r="F84" s="757">
        <v>2075</v>
      </c>
      <c r="G84" s="755">
        <v>7755</v>
      </c>
      <c r="H84" s="756">
        <v>5128</v>
      </c>
      <c r="I84" s="756">
        <v>665</v>
      </c>
      <c r="J84" s="757">
        <v>1962</v>
      </c>
      <c r="K84" s="748">
        <v>18232</v>
      </c>
      <c r="L84" s="736"/>
    </row>
    <row r="85" spans="1:12">
      <c r="A85" s="1100" t="s">
        <v>209</v>
      </c>
      <c r="B85" s="745" t="s">
        <v>210</v>
      </c>
      <c r="C85" s="755">
        <v>5141</v>
      </c>
      <c r="D85" s="756">
        <v>4589</v>
      </c>
      <c r="E85" s="756">
        <v>30</v>
      </c>
      <c r="F85" s="757">
        <v>522</v>
      </c>
      <c r="G85" s="755">
        <v>2755</v>
      </c>
      <c r="H85" s="756">
        <v>2412</v>
      </c>
      <c r="I85" s="756">
        <v>28</v>
      </c>
      <c r="J85" s="757">
        <v>315</v>
      </c>
      <c r="K85" s="748">
        <v>7896</v>
      </c>
      <c r="L85" s="736"/>
    </row>
    <row r="86" spans="1:12">
      <c r="A86" s="1100" t="s">
        <v>211</v>
      </c>
      <c r="B86" s="745" t="s">
        <v>212</v>
      </c>
      <c r="C86" s="755">
        <v>3443</v>
      </c>
      <c r="D86" s="756">
        <v>3181</v>
      </c>
      <c r="E86" s="756">
        <v>36</v>
      </c>
      <c r="F86" s="757">
        <v>226</v>
      </c>
      <c r="G86" s="755">
        <v>1869</v>
      </c>
      <c r="H86" s="756">
        <v>1709</v>
      </c>
      <c r="I86" s="756">
        <v>27</v>
      </c>
      <c r="J86" s="757">
        <v>133</v>
      </c>
      <c r="K86" s="748">
        <v>5312</v>
      </c>
      <c r="L86" s="736"/>
    </row>
    <row r="87" spans="1:12">
      <c r="A87" s="1100" t="s">
        <v>213</v>
      </c>
      <c r="B87" s="745" t="s">
        <v>214</v>
      </c>
      <c r="C87" s="755">
        <v>4416</v>
      </c>
      <c r="D87" s="756">
        <v>3543</v>
      </c>
      <c r="E87" s="756">
        <v>138</v>
      </c>
      <c r="F87" s="757">
        <v>735</v>
      </c>
      <c r="G87" s="755">
        <v>3120</v>
      </c>
      <c r="H87" s="756">
        <v>2506</v>
      </c>
      <c r="I87" s="756">
        <v>91</v>
      </c>
      <c r="J87" s="757">
        <v>523</v>
      </c>
      <c r="K87" s="748">
        <v>7536</v>
      </c>
      <c r="L87" s="736"/>
    </row>
    <row r="88" spans="1:12">
      <c r="A88" s="1100" t="s">
        <v>215</v>
      </c>
      <c r="B88" s="745" t="s">
        <v>216</v>
      </c>
      <c r="C88" s="755">
        <v>5752</v>
      </c>
      <c r="D88" s="756">
        <v>5199</v>
      </c>
      <c r="E88" s="756">
        <v>123</v>
      </c>
      <c r="F88" s="757">
        <v>430</v>
      </c>
      <c r="G88" s="755">
        <v>3180</v>
      </c>
      <c r="H88" s="756">
        <v>2730</v>
      </c>
      <c r="I88" s="756">
        <v>101</v>
      </c>
      <c r="J88" s="757">
        <v>349</v>
      </c>
      <c r="K88" s="748">
        <v>8932</v>
      </c>
      <c r="L88" s="736"/>
    </row>
    <row r="89" spans="1:12">
      <c r="A89" s="1100" t="s">
        <v>217</v>
      </c>
      <c r="B89" s="745" t="s">
        <v>218</v>
      </c>
      <c r="C89" s="755">
        <v>2449</v>
      </c>
      <c r="D89" s="756">
        <v>654</v>
      </c>
      <c r="E89" s="756">
        <v>1485</v>
      </c>
      <c r="F89" s="757">
        <v>310</v>
      </c>
      <c r="G89" s="755">
        <v>1523</v>
      </c>
      <c r="H89" s="756">
        <v>454</v>
      </c>
      <c r="I89" s="756">
        <v>936</v>
      </c>
      <c r="J89" s="757">
        <v>133</v>
      </c>
      <c r="K89" s="748">
        <v>3972</v>
      </c>
      <c r="L89" s="736"/>
    </row>
    <row r="90" spans="1:12">
      <c r="A90" s="1100" t="s">
        <v>219</v>
      </c>
      <c r="B90" s="745" t="s">
        <v>220</v>
      </c>
      <c r="C90" s="755">
        <v>9472</v>
      </c>
      <c r="D90" s="756">
        <v>5799</v>
      </c>
      <c r="E90" s="756">
        <v>2551</v>
      </c>
      <c r="F90" s="757">
        <v>1122</v>
      </c>
      <c r="G90" s="755">
        <v>7930</v>
      </c>
      <c r="H90" s="756">
        <v>4242</v>
      </c>
      <c r="I90" s="756">
        <v>2470</v>
      </c>
      <c r="J90" s="757">
        <v>1218</v>
      </c>
      <c r="K90" s="748">
        <v>17402</v>
      </c>
      <c r="L90" s="736"/>
    </row>
    <row r="91" spans="1:12">
      <c r="A91" s="1100" t="s">
        <v>221</v>
      </c>
      <c r="B91" s="745" t="s">
        <v>222</v>
      </c>
      <c r="C91" s="755">
        <v>7196</v>
      </c>
      <c r="D91" s="756">
        <v>3113</v>
      </c>
      <c r="E91" s="756">
        <v>1872</v>
      </c>
      <c r="F91" s="757">
        <v>2211</v>
      </c>
      <c r="G91" s="755">
        <v>6727</v>
      </c>
      <c r="H91" s="756">
        <v>2630</v>
      </c>
      <c r="I91" s="756">
        <v>2052</v>
      </c>
      <c r="J91" s="757">
        <v>2045</v>
      </c>
      <c r="K91" s="748">
        <v>13923</v>
      </c>
      <c r="L91" s="736"/>
    </row>
    <row r="92" spans="1:12">
      <c r="A92" s="1100" t="s">
        <v>225</v>
      </c>
      <c r="B92" s="745" t="s">
        <v>226</v>
      </c>
      <c r="C92" s="755">
        <v>884</v>
      </c>
      <c r="D92" s="756">
        <v>291</v>
      </c>
      <c r="E92" s="756">
        <v>531</v>
      </c>
      <c r="F92" s="757">
        <v>62</v>
      </c>
      <c r="G92" s="755">
        <v>528</v>
      </c>
      <c r="H92" s="756">
        <v>182</v>
      </c>
      <c r="I92" s="756">
        <v>320</v>
      </c>
      <c r="J92" s="757">
        <v>26</v>
      </c>
      <c r="K92" s="748">
        <v>1412</v>
      </c>
      <c r="L92" s="736"/>
    </row>
    <row r="93" spans="1:12">
      <c r="A93" s="1100" t="s">
        <v>227</v>
      </c>
      <c r="B93" s="745" t="s">
        <v>228</v>
      </c>
      <c r="C93" s="755">
        <v>1611</v>
      </c>
      <c r="D93" s="756">
        <v>323</v>
      </c>
      <c r="E93" s="756">
        <v>1022</v>
      </c>
      <c r="F93" s="757">
        <v>266</v>
      </c>
      <c r="G93" s="755">
        <v>1055</v>
      </c>
      <c r="H93" s="756">
        <v>198</v>
      </c>
      <c r="I93" s="756">
        <v>699</v>
      </c>
      <c r="J93" s="757">
        <v>158</v>
      </c>
      <c r="K93" s="748">
        <v>2666</v>
      </c>
      <c r="L93" s="736"/>
    </row>
    <row r="94" spans="1:12">
      <c r="A94" s="1100" t="s">
        <v>229</v>
      </c>
      <c r="B94" s="745" t="s">
        <v>230</v>
      </c>
      <c r="C94" s="755">
        <v>6354</v>
      </c>
      <c r="D94" s="756">
        <v>5708</v>
      </c>
      <c r="E94" s="756">
        <v>199</v>
      </c>
      <c r="F94" s="757">
        <v>447</v>
      </c>
      <c r="G94" s="755">
        <v>3867</v>
      </c>
      <c r="H94" s="756">
        <v>3280</v>
      </c>
      <c r="I94" s="756">
        <v>172</v>
      </c>
      <c r="J94" s="757">
        <v>415</v>
      </c>
      <c r="K94" s="748">
        <v>10221</v>
      </c>
      <c r="L94" s="736"/>
    </row>
    <row r="95" spans="1:12">
      <c r="A95" s="1100" t="s">
        <v>233</v>
      </c>
      <c r="B95" s="745" t="s">
        <v>234</v>
      </c>
      <c r="C95" s="755">
        <v>4290</v>
      </c>
      <c r="D95" s="756">
        <v>3214</v>
      </c>
      <c r="E95" s="756">
        <v>401</v>
      </c>
      <c r="F95" s="757">
        <v>675</v>
      </c>
      <c r="G95" s="755">
        <v>2886</v>
      </c>
      <c r="H95" s="756">
        <v>2161</v>
      </c>
      <c r="I95" s="756">
        <v>300</v>
      </c>
      <c r="J95" s="757">
        <v>425</v>
      </c>
      <c r="K95" s="748">
        <v>7176</v>
      </c>
      <c r="L95" s="736"/>
    </row>
    <row r="96" spans="1:12">
      <c r="A96" s="1100" t="s">
        <v>235</v>
      </c>
      <c r="B96" s="745" t="s">
        <v>236</v>
      </c>
      <c r="C96" s="755">
        <v>6672</v>
      </c>
      <c r="D96" s="756">
        <v>6366</v>
      </c>
      <c r="E96" s="756">
        <v>164</v>
      </c>
      <c r="F96" s="757">
        <v>142</v>
      </c>
      <c r="G96" s="755">
        <v>3860</v>
      </c>
      <c r="H96" s="756">
        <v>3532</v>
      </c>
      <c r="I96" s="756">
        <v>115</v>
      </c>
      <c r="J96" s="757">
        <v>213</v>
      </c>
      <c r="K96" s="748">
        <v>10532</v>
      </c>
      <c r="L96" s="736"/>
    </row>
    <row r="97" spans="1:12">
      <c r="A97" s="1100" t="s">
        <v>237</v>
      </c>
      <c r="B97" s="745" t="s">
        <v>238</v>
      </c>
      <c r="C97" s="755">
        <v>2630</v>
      </c>
      <c r="D97" s="756">
        <v>1071</v>
      </c>
      <c r="E97" s="756">
        <v>1099</v>
      </c>
      <c r="F97" s="757">
        <v>460</v>
      </c>
      <c r="G97" s="755">
        <v>1801</v>
      </c>
      <c r="H97" s="756">
        <v>675</v>
      </c>
      <c r="I97" s="756">
        <v>845</v>
      </c>
      <c r="J97" s="757">
        <v>281</v>
      </c>
      <c r="K97" s="748">
        <v>4431</v>
      </c>
      <c r="L97" s="736"/>
    </row>
    <row r="98" spans="1:12">
      <c r="A98" s="1100" t="s">
        <v>243</v>
      </c>
      <c r="B98" s="745" t="s">
        <v>244</v>
      </c>
      <c r="C98" s="755">
        <v>7307</v>
      </c>
      <c r="D98" s="756">
        <v>6563</v>
      </c>
      <c r="E98" s="756">
        <v>165</v>
      </c>
      <c r="F98" s="757">
        <v>579</v>
      </c>
      <c r="G98" s="755">
        <v>4173</v>
      </c>
      <c r="H98" s="756">
        <v>3605</v>
      </c>
      <c r="I98" s="756">
        <v>123</v>
      </c>
      <c r="J98" s="757">
        <v>445</v>
      </c>
      <c r="K98" s="748">
        <v>11480</v>
      </c>
      <c r="L98" s="736"/>
    </row>
    <row r="99" spans="1:12">
      <c r="A99" s="1100" t="s">
        <v>245</v>
      </c>
      <c r="B99" s="745" t="s">
        <v>246</v>
      </c>
      <c r="C99" s="755">
        <v>4291</v>
      </c>
      <c r="D99" s="756">
        <v>3611</v>
      </c>
      <c r="E99" s="756">
        <v>221</v>
      </c>
      <c r="F99" s="757">
        <v>459</v>
      </c>
      <c r="G99" s="755">
        <v>2369</v>
      </c>
      <c r="H99" s="756">
        <v>1905</v>
      </c>
      <c r="I99" s="756">
        <v>155</v>
      </c>
      <c r="J99" s="757">
        <v>309</v>
      </c>
      <c r="K99" s="748">
        <v>6660</v>
      </c>
      <c r="L99" s="736"/>
    </row>
    <row r="100" spans="1:12">
      <c r="A100" s="1100" t="s">
        <v>247</v>
      </c>
      <c r="B100" s="745" t="s">
        <v>248</v>
      </c>
      <c r="C100" s="755">
        <v>2685</v>
      </c>
      <c r="D100" s="756">
        <v>1499</v>
      </c>
      <c r="E100" s="756">
        <v>895</v>
      </c>
      <c r="F100" s="757">
        <v>291</v>
      </c>
      <c r="G100" s="755">
        <v>2251</v>
      </c>
      <c r="H100" s="756">
        <v>1199</v>
      </c>
      <c r="I100" s="756">
        <v>810</v>
      </c>
      <c r="J100" s="757">
        <v>242</v>
      </c>
      <c r="K100" s="748">
        <v>4936</v>
      </c>
      <c r="L100" s="736"/>
    </row>
    <row r="101" spans="1:12">
      <c r="A101" s="1100" t="s">
        <v>14</v>
      </c>
      <c r="B101" s="745" t="s">
        <v>15</v>
      </c>
      <c r="C101" s="755">
        <v>8162</v>
      </c>
      <c r="D101" s="756">
        <v>2475</v>
      </c>
      <c r="E101" s="756">
        <v>3669</v>
      </c>
      <c r="F101" s="757">
        <v>2018</v>
      </c>
      <c r="G101" s="755">
        <v>5682</v>
      </c>
      <c r="H101" s="756">
        <v>1969</v>
      </c>
      <c r="I101" s="756">
        <v>2374</v>
      </c>
      <c r="J101" s="757">
        <v>1339</v>
      </c>
      <c r="K101" s="748">
        <v>13844</v>
      </c>
      <c r="L101" s="736"/>
    </row>
    <row r="102" spans="1:12">
      <c r="A102" s="1100" t="s">
        <v>35</v>
      </c>
      <c r="B102" s="745" t="s">
        <v>36</v>
      </c>
      <c r="C102" s="755">
        <v>4197</v>
      </c>
      <c r="D102" s="756">
        <v>3676</v>
      </c>
      <c r="E102" s="756">
        <v>409</v>
      </c>
      <c r="F102" s="757">
        <v>112</v>
      </c>
      <c r="G102" s="755">
        <v>2458</v>
      </c>
      <c r="H102" s="756">
        <v>1970</v>
      </c>
      <c r="I102" s="756">
        <v>310</v>
      </c>
      <c r="J102" s="757">
        <v>178</v>
      </c>
      <c r="K102" s="748">
        <v>6655</v>
      </c>
      <c r="L102" s="736"/>
    </row>
    <row r="103" spans="1:12">
      <c r="A103" s="1100" t="s">
        <v>53</v>
      </c>
      <c r="B103" s="745" t="s">
        <v>54</v>
      </c>
      <c r="C103" s="755">
        <v>5283</v>
      </c>
      <c r="D103" s="756">
        <v>1835</v>
      </c>
      <c r="E103" s="756">
        <v>2846</v>
      </c>
      <c r="F103" s="757">
        <v>602</v>
      </c>
      <c r="G103" s="755">
        <v>3053</v>
      </c>
      <c r="H103" s="756">
        <v>741</v>
      </c>
      <c r="I103" s="756">
        <v>1905</v>
      </c>
      <c r="J103" s="757">
        <v>407</v>
      </c>
      <c r="K103" s="748">
        <v>8336</v>
      </c>
      <c r="L103" s="736"/>
    </row>
    <row r="104" spans="1:12">
      <c r="A104" s="1100" t="s">
        <v>55</v>
      </c>
      <c r="B104" s="745" t="s">
        <v>56</v>
      </c>
      <c r="C104" s="755">
        <v>17367</v>
      </c>
      <c r="D104" s="756">
        <v>5673</v>
      </c>
      <c r="E104" s="756">
        <v>10160</v>
      </c>
      <c r="F104" s="757">
        <v>1534</v>
      </c>
      <c r="G104" s="755">
        <v>14579</v>
      </c>
      <c r="H104" s="756">
        <v>3753</v>
      </c>
      <c r="I104" s="756">
        <v>9302</v>
      </c>
      <c r="J104" s="757">
        <v>1524</v>
      </c>
      <c r="K104" s="748">
        <v>31946</v>
      </c>
      <c r="L104" s="736"/>
    </row>
    <row r="105" spans="1:12">
      <c r="A105" s="1100" t="s">
        <v>67</v>
      </c>
      <c r="B105" s="745" t="s">
        <v>68</v>
      </c>
      <c r="C105" s="755">
        <v>10842</v>
      </c>
      <c r="D105" s="756">
        <v>2649</v>
      </c>
      <c r="E105" s="756">
        <v>6840</v>
      </c>
      <c r="F105" s="757">
        <v>1353</v>
      </c>
      <c r="G105" s="755">
        <v>6712</v>
      </c>
      <c r="H105" s="756">
        <v>1296</v>
      </c>
      <c r="I105" s="756">
        <v>4618</v>
      </c>
      <c r="J105" s="757">
        <v>798</v>
      </c>
      <c r="K105" s="748">
        <v>17554</v>
      </c>
      <c r="L105" s="736"/>
    </row>
    <row r="106" spans="1:12">
      <c r="A106" s="1100" t="s">
        <v>83</v>
      </c>
      <c r="B106" s="745" t="s">
        <v>84</v>
      </c>
      <c r="C106" s="755">
        <v>2065</v>
      </c>
      <c r="D106" s="756">
        <v>218</v>
      </c>
      <c r="E106" s="756">
        <v>1671</v>
      </c>
      <c r="F106" s="757">
        <v>176</v>
      </c>
      <c r="G106" s="755">
        <v>1357</v>
      </c>
      <c r="H106" s="756">
        <v>103</v>
      </c>
      <c r="I106" s="756">
        <v>1098</v>
      </c>
      <c r="J106" s="757">
        <v>156</v>
      </c>
      <c r="K106" s="748">
        <v>3422</v>
      </c>
      <c r="L106" s="736"/>
    </row>
    <row r="107" spans="1:12">
      <c r="A107" s="1100" t="s">
        <v>89</v>
      </c>
      <c r="B107" s="745" t="s">
        <v>90</v>
      </c>
      <c r="C107" s="755">
        <v>4112</v>
      </c>
      <c r="D107" s="756">
        <v>1731</v>
      </c>
      <c r="E107" s="756">
        <v>1694</v>
      </c>
      <c r="F107" s="757">
        <v>687</v>
      </c>
      <c r="G107" s="755">
        <v>2844</v>
      </c>
      <c r="H107" s="756">
        <v>852</v>
      </c>
      <c r="I107" s="756">
        <v>1421</v>
      </c>
      <c r="J107" s="757">
        <v>571</v>
      </c>
      <c r="K107" s="748">
        <v>6956</v>
      </c>
      <c r="L107" s="736"/>
    </row>
    <row r="108" spans="1:12">
      <c r="A108" s="1100" t="s">
        <v>91</v>
      </c>
      <c r="B108" s="745" t="s">
        <v>92</v>
      </c>
      <c r="C108" s="755">
        <v>1776</v>
      </c>
      <c r="D108" s="756">
        <v>1421</v>
      </c>
      <c r="E108" s="756">
        <v>151</v>
      </c>
      <c r="F108" s="757">
        <v>204</v>
      </c>
      <c r="G108" s="755">
        <v>1017</v>
      </c>
      <c r="H108" s="756">
        <v>821</v>
      </c>
      <c r="I108" s="756">
        <v>116</v>
      </c>
      <c r="J108" s="757">
        <v>80</v>
      </c>
      <c r="K108" s="748">
        <v>2793</v>
      </c>
      <c r="L108" s="736"/>
    </row>
    <row r="109" spans="1:12">
      <c r="A109" s="1100" t="s">
        <v>107</v>
      </c>
      <c r="B109" s="745" t="s">
        <v>108</v>
      </c>
      <c r="C109" s="755">
        <v>16627</v>
      </c>
      <c r="D109" s="756">
        <v>3783</v>
      </c>
      <c r="E109" s="756">
        <v>11321</v>
      </c>
      <c r="F109" s="757">
        <v>1523</v>
      </c>
      <c r="G109" s="755">
        <v>13015</v>
      </c>
      <c r="H109" s="756">
        <v>2262</v>
      </c>
      <c r="I109" s="756">
        <v>9218</v>
      </c>
      <c r="J109" s="757">
        <v>1535</v>
      </c>
      <c r="K109" s="748">
        <v>29642</v>
      </c>
      <c r="L109" s="736"/>
    </row>
    <row r="110" spans="1:12">
      <c r="A110" s="1100" t="s">
        <v>117</v>
      </c>
      <c r="B110" s="745" t="s">
        <v>118</v>
      </c>
      <c r="C110" s="755">
        <v>5310</v>
      </c>
      <c r="D110" s="756">
        <v>2097</v>
      </c>
      <c r="E110" s="756">
        <v>2637</v>
      </c>
      <c r="F110" s="757">
        <v>576</v>
      </c>
      <c r="G110" s="755">
        <v>3928</v>
      </c>
      <c r="H110" s="756">
        <v>1291</v>
      </c>
      <c r="I110" s="756">
        <v>2177</v>
      </c>
      <c r="J110" s="757">
        <v>460</v>
      </c>
      <c r="K110" s="748">
        <v>9238</v>
      </c>
      <c r="L110" s="736"/>
    </row>
    <row r="111" spans="1:12">
      <c r="A111" s="1100" t="s">
        <v>139</v>
      </c>
      <c r="B111" s="745" t="s">
        <v>140</v>
      </c>
      <c r="C111" s="755">
        <v>10294</v>
      </c>
      <c r="D111" s="756">
        <v>3276</v>
      </c>
      <c r="E111" s="756">
        <v>5885</v>
      </c>
      <c r="F111" s="757">
        <v>1133</v>
      </c>
      <c r="G111" s="755">
        <v>7227</v>
      </c>
      <c r="H111" s="756">
        <v>1752</v>
      </c>
      <c r="I111" s="756">
        <v>4534</v>
      </c>
      <c r="J111" s="757">
        <v>941</v>
      </c>
      <c r="K111" s="748">
        <v>17521</v>
      </c>
      <c r="L111" s="736"/>
    </row>
    <row r="112" spans="1:12">
      <c r="A112" s="1100" t="s">
        <v>143</v>
      </c>
      <c r="B112" s="745" t="s">
        <v>144</v>
      </c>
      <c r="C112" s="755">
        <v>3508</v>
      </c>
      <c r="D112" s="756">
        <v>1528</v>
      </c>
      <c r="E112" s="756">
        <v>894</v>
      </c>
      <c r="F112" s="757">
        <v>1086</v>
      </c>
      <c r="G112" s="755">
        <v>3680</v>
      </c>
      <c r="H112" s="756">
        <v>1349</v>
      </c>
      <c r="I112" s="756">
        <v>743</v>
      </c>
      <c r="J112" s="757">
        <v>1588</v>
      </c>
      <c r="K112" s="748">
        <v>7188</v>
      </c>
      <c r="L112" s="736"/>
    </row>
    <row r="113" spans="1:13">
      <c r="A113" s="1100" t="s">
        <v>145</v>
      </c>
      <c r="B113" s="745" t="s">
        <v>146</v>
      </c>
      <c r="C113" s="755">
        <v>1146</v>
      </c>
      <c r="D113" s="756">
        <v>643</v>
      </c>
      <c r="E113" s="756">
        <v>178</v>
      </c>
      <c r="F113" s="757">
        <v>325</v>
      </c>
      <c r="G113" s="755">
        <v>1095</v>
      </c>
      <c r="H113" s="756">
        <v>562</v>
      </c>
      <c r="I113" s="756">
        <v>195</v>
      </c>
      <c r="J113" s="757">
        <v>338</v>
      </c>
      <c r="K113" s="748">
        <v>2241</v>
      </c>
      <c r="L113" s="736"/>
    </row>
    <row r="114" spans="1:13">
      <c r="A114" s="1100" t="s">
        <v>159</v>
      </c>
      <c r="B114" s="745" t="s">
        <v>160</v>
      </c>
      <c r="C114" s="755">
        <v>27379</v>
      </c>
      <c r="D114" s="756">
        <v>5295</v>
      </c>
      <c r="E114" s="756">
        <v>18419</v>
      </c>
      <c r="F114" s="757">
        <v>3665</v>
      </c>
      <c r="G114" s="755">
        <v>20949</v>
      </c>
      <c r="H114" s="756">
        <v>3075</v>
      </c>
      <c r="I114" s="756">
        <v>14882</v>
      </c>
      <c r="J114" s="757">
        <v>2992</v>
      </c>
      <c r="K114" s="748">
        <v>48328</v>
      </c>
      <c r="L114" s="736"/>
    </row>
    <row r="115" spans="1:13">
      <c r="A115" s="1100" t="s">
        <v>161</v>
      </c>
      <c r="B115" s="745" t="s">
        <v>162</v>
      </c>
      <c r="C115" s="755">
        <v>37461</v>
      </c>
      <c r="D115" s="756">
        <v>6694</v>
      </c>
      <c r="E115" s="756">
        <v>26854</v>
      </c>
      <c r="F115" s="757">
        <v>3913</v>
      </c>
      <c r="G115" s="755">
        <v>26772</v>
      </c>
      <c r="H115" s="756">
        <v>3397</v>
      </c>
      <c r="I115" s="756">
        <v>20306</v>
      </c>
      <c r="J115" s="757">
        <v>3069</v>
      </c>
      <c r="K115" s="748">
        <v>64233</v>
      </c>
      <c r="L115" s="736"/>
    </row>
    <row r="116" spans="1:13">
      <c r="A116" s="1100" t="s">
        <v>167</v>
      </c>
      <c r="B116" s="745" t="s">
        <v>168</v>
      </c>
      <c r="C116" s="755">
        <v>955</v>
      </c>
      <c r="D116" s="756">
        <v>789</v>
      </c>
      <c r="E116" s="756">
        <v>76</v>
      </c>
      <c r="F116" s="757">
        <v>90</v>
      </c>
      <c r="G116" s="755">
        <v>522</v>
      </c>
      <c r="H116" s="756">
        <v>396</v>
      </c>
      <c r="I116" s="756">
        <v>58</v>
      </c>
      <c r="J116" s="757">
        <v>68</v>
      </c>
      <c r="K116" s="748">
        <v>1477</v>
      </c>
      <c r="L116" s="736"/>
    </row>
    <row r="117" spans="1:13">
      <c r="A117" s="1100" t="s">
        <v>177</v>
      </c>
      <c r="B117" s="745" t="s">
        <v>178</v>
      </c>
      <c r="C117" s="755">
        <v>9258</v>
      </c>
      <c r="D117" s="756">
        <v>726</v>
      </c>
      <c r="E117" s="756">
        <v>7470</v>
      </c>
      <c r="F117" s="757">
        <v>1062</v>
      </c>
      <c r="G117" s="755">
        <v>5447</v>
      </c>
      <c r="H117" s="756">
        <v>312</v>
      </c>
      <c r="I117" s="756">
        <v>4498</v>
      </c>
      <c r="J117" s="757">
        <v>637</v>
      </c>
      <c r="K117" s="748">
        <v>14705</v>
      </c>
      <c r="L117" s="736"/>
    </row>
    <row r="118" spans="1:13">
      <c r="A118" s="1100" t="s">
        <v>181</v>
      </c>
      <c r="B118" s="745" t="s">
        <v>182</v>
      </c>
      <c r="C118" s="755">
        <v>17171</v>
      </c>
      <c r="D118" s="756">
        <v>2842</v>
      </c>
      <c r="E118" s="756">
        <v>12377</v>
      </c>
      <c r="F118" s="757">
        <v>1952</v>
      </c>
      <c r="G118" s="755">
        <v>12724</v>
      </c>
      <c r="H118" s="756">
        <v>1540</v>
      </c>
      <c r="I118" s="756">
        <v>9965</v>
      </c>
      <c r="J118" s="757">
        <v>1219</v>
      </c>
      <c r="K118" s="748">
        <v>29895</v>
      </c>
      <c r="L118" s="736"/>
    </row>
    <row r="119" spans="1:13">
      <c r="A119" s="1100" t="s">
        <v>193</v>
      </c>
      <c r="B119" s="745" t="s">
        <v>194</v>
      </c>
      <c r="C119" s="755">
        <v>1635</v>
      </c>
      <c r="D119" s="756">
        <v>1276</v>
      </c>
      <c r="E119" s="756">
        <v>293</v>
      </c>
      <c r="F119" s="757">
        <v>66</v>
      </c>
      <c r="G119" s="755">
        <v>1012</v>
      </c>
      <c r="H119" s="756">
        <v>688</v>
      </c>
      <c r="I119" s="756">
        <v>198</v>
      </c>
      <c r="J119" s="757">
        <v>126</v>
      </c>
      <c r="K119" s="748">
        <v>2647</v>
      </c>
      <c r="L119" s="736"/>
    </row>
    <row r="120" spans="1:13">
      <c r="A120" s="1100" t="s">
        <v>197</v>
      </c>
      <c r="B120" s="745" t="s">
        <v>198</v>
      </c>
      <c r="C120" s="755">
        <v>42255</v>
      </c>
      <c r="D120" s="756">
        <v>4583</v>
      </c>
      <c r="E120" s="756">
        <v>32383</v>
      </c>
      <c r="F120" s="757">
        <v>5289</v>
      </c>
      <c r="G120" s="755">
        <v>25729</v>
      </c>
      <c r="H120" s="756">
        <v>1594</v>
      </c>
      <c r="I120" s="756">
        <v>20082</v>
      </c>
      <c r="J120" s="757">
        <v>4053</v>
      </c>
      <c r="K120" s="748">
        <v>67984</v>
      </c>
      <c r="L120" s="736"/>
    </row>
    <row r="121" spans="1:13">
      <c r="A121" s="1100" t="s">
        <v>201</v>
      </c>
      <c r="B121" s="745" t="s">
        <v>202</v>
      </c>
      <c r="C121" s="755">
        <v>19240</v>
      </c>
      <c r="D121" s="756">
        <v>9232</v>
      </c>
      <c r="E121" s="756">
        <v>7738</v>
      </c>
      <c r="F121" s="757">
        <v>2270</v>
      </c>
      <c r="G121" s="755">
        <v>12738</v>
      </c>
      <c r="H121" s="756">
        <v>4815</v>
      </c>
      <c r="I121" s="756">
        <v>6198</v>
      </c>
      <c r="J121" s="757">
        <v>1725</v>
      </c>
      <c r="K121" s="748">
        <v>31978</v>
      </c>
      <c r="L121" s="736"/>
    </row>
    <row r="122" spans="1:13">
      <c r="A122" s="1100" t="s">
        <v>223</v>
      </c>
      <c r="B122" s="745" t="s">
        <v>224</v>
      </c>
      <c r="C122" s="755">
        <v>9608</v>
      </c>
      <c r="D122" s="756">
        <v>1799</v>
      </c>
      <c r="E122" s="756">
        <v>6641</v>
      </c>
      <c r="F122" s="757">
        <v>1168</v>
      </c>
      <c r="G122" s="755">
        <v>6941</v>
      </c>
      <c r="H122" s="756">
        <v>1134</v>
      </c>
      <c r="I122" s="756">
        <v>5035</v>
      </c>
      <c r="J122" s="757">
        <v>772</v>
      </c>
      <c r="K122" s="748">
        <v>16549</v>
      </c>
      <c r="L122" s="736"/>
    </row>
    <row r="123" spans="1:13">
      <c r="A123" s="1100" t="s">
        <v>231</v>
      </c>
      <c r="B123" s="745" t="s">
        <v>232</v>
      </c>
      <c r="C123" s="755">
        <v>27476</v>
      </c>
      <c r="D123" s="756">
        <v>10992</v>
      </c>
      <c r="E123" s="756">
        <v>11907</v>
      </c>
      <c r="F123" s="757">
        <v>4577</v>
      </c>
      <c r="G123" s="755">
        <v>21346</v>
      </c>
      <c r="H123" s="756">
        <v>6514</v>
      </c>
      <c r="I123" s="756">
        <v>10810</v>
      </c>
      <c r="J123" s="757">
        <v>4022</v>
      </c>
      <c r="K123" s="748">
        <v>48822</v>
      </c>
      <c r="L123" s="736"/>
    </row>
    <row r="124" spans="1:13">
      <c r="A124" s="1100" t="s">
        <v>239</v>
      </c>
      <c r="B124" s="745" t="s">
        <v>240</v>
      </c>
      <c r="C124" s="755">
        <v>1070</v>
      </c>
      <c r="D124" s="756">
        <v>394</v>
      </c>
      <c r="E124" s="756">
        <v>521</v>
      </c>
      <c r="F124" s="757">
        <v>155</v>
      </c>
      <c r="G124" s="755">
        <v>815</v>
      </c>
      <c r="H124" s="756">
        <v>266</v>
      </c>
      <c r="I124" s="756">
        <v>420</v>
      </c>
      <c r="J124" s="757">
        <v>129</v>
      </c>
      <c r="K124" s="748">
        <v>1885</v>
      </c>
      <c r="L124" s="736"/>
    </row>
    <row r="125" spans="1:13">
      <c r="A125" s="1100" t="s">
        <v>241</v>
      </c>
      <c r="B125" s="745" t="s">
        <v>242</v>
      </c>
      <c r="C125" s="755">
        <v>4428</v>
      </c>
      <c r="D125" s="756">
        <v>2903</v>
      </c>
      <c r="E125" s="756">
        <v>759</v>
      </c>
      <c r="F125" s="757">
        <v>766</v>
      </c>
      <c r="G125" s="755">
        <v>3083</v>
      </c>
      <c r="H125" s="756">
        <v>1895</v>
      </c>
      <c r="I125" s="756">
        <v>605</v>
      </c>
      <c r="J125" s="757">
        <v>583</v>
      </c>
      <c r="K125" s="748">
        <v>7511</v>
      </c>
      <c r="L125" s="736"/>
    </row>
    <row r="126" spans="1:13">
      <c r="A126" s="1101" t="s">
        <v>8</v>
      </c>
      <c r="B126" s="746" t="s">
        <v>9</v>
      </c>
      <c r="C126" s="755">
        <f>SUM(C6:C125)</f>
        <v>741768</v>
      </c>
      <c r="D126" s="756">
        <f>SUM(D6:D125)</f>
        <v>344768</v>
      </c>
      <c r="E126" s="756">
        <f>SUM(E6:E125)</f>
        <v>292560</v>
      </c>
      <c r="F126" s="757">
        <f>SUM(F6:F125)</f>
        <v>104440</v>
      </c>
      <c r="G126" s="755">
        <v>486216</v>
      </c>
      <c r="H126" s="756">
        <f>SUM(H6:H125)</f>
        <v>217138</v>
      </c>
      <c r="I126" s="756">
        <f>SUM(I6:I125)</f>
        <v>221009</v>
      </c>
      <c r="J126" s="757">
        <f>SUM(J6:J125)</f>
        <v>81172</v>
      </c>
      <c r="K126" s="755">
        <f>SUM(K6:K125)</f>
        <v>1261087</v>
      </c>
      <c r="L126" s="736"/>
    </row>
    <row r="127" spans="1:13">
      <c r="B127" s="741"/>
      <c r="C127" s="742"/>
      <c r="D127" s="742"/>
      <c r="E127" s="742"/>
      <c r="F127" s="742"/>
      <c r="G127" s="742"/>
      <c r="H127" s="742"/>
      <c r="I127" s="742"/>
      <c r="J127" s="742"/>
      <c r="K127" s="742"/>
      <c r="L127" s="736"/>
      <c r="M127" s="736"/>
    </row>
    <row r="128" spans="1:13">
      <c r="B128" s="737"/>
      <c r="C128" s="738"/>
      <c r="D128" s="738"/>
      <c r="E128" s="738"/>
      <c r="F128" s="738"/>
      <c r="G128" s="739"/>
      <c r="H128" s="739"/>
      <c r="I128" s="739"/>
      <c r="J128" s="739"/>
    </row>
    <row r="130" spans="1:11">
      <c r="A130" s="1321" t="s">
        <v>991</v>
      </c>
      <c r="B130" s="1321"/>
      <c r="C130" s="1321"/>
      <c r="D130" s="1321"/>
      <c r="E130" s="1321"/>
      <c r="F130" s="1321"/>
      <c r="G130" s="1321"/>
      <c r="H130" s="1321"/>
      <c r="I130" s="1321"/>
      <c r="J130" s="1321"/>
      <c r="K130" s="1321"/>
    </row>
    <row r="132" spans="1:11" s="519" customFormat="1">
      <c r="A132" s="519" t="s">
        <v>250</v>
      </c>
    </row>
    <row r="133" spans="1:11" s="519" customFormat="1">
      <c r="A133" s="536" t="s">
        <v>251</v>
      </c>
      <c r="B133" s="407" t="s">
        <v>252</v>
      </c>
    </row>
  </sheetData>
  <mergeCells count="5">
    <mergeCell ref="B3:B5"/>
    <mergeCell ref="C3:K3"/>
    <mergeCell ref="C4:F4"/>
    <mergeCell ref="G4:J4"/>
    <mergeCell ref="A130:K130"/>
  </mergeCells>
  <hyperlinks>
    <hyperlink ref="B133" r:id="rId1"/>
  </hyperlinks>
  <pageMargins left="0.75" right="0.75" top="1" bottom="1" header="0.5" footer="0.5"/>
  <pageSetup orientation="portrait" r:id="rId2"/>
</worksheet>
</file>

<file path=xl/worksheets/sheet11.xml><?xml version="1.0" encoding="utf-8"?>
<worksheet xmlns="http://schemas.openxmlformats.org/spreadsheetml/2006/main" xmlns:r="http://schemas.openxmlformats.org/officeDocument/2006/relationships">
  <dimension ref="A1:M133"/>
  <sheetViews>
    <sheetView workbookViewId="0">
      <pane ySplit="6" topLeftCell="A98" activePane="bottomLeft" state="frozen"/>
      <selection pane="bottomLeft" activeCell="A130" sqref="A130:K130"/>
    </sheetView>
  </sheetViews>
  <sheetFormatPr defaultRowHeight="12.75"/>
  <cols>
    <col min="1" max="1" width="4.5" style="759" bestFit="1" customWidth="1"/>
    <col min="2" max="2" width="25.5" style="758" customWidth="1"/>
    <col min="3" max="3" width="9.125" style="758" bestFit="1" customWidth="1"/>
    <col min="4" max="4" width="11" style="758" customWidth="1"/>
    <col min="5" max="5" width="8.25" style="758" customWidth="1"/>
    <col min="6" max="6" width="5.625" style="758" bestFit="1" customWidth="1"/>
    <col min="7" max="7" width="8.25" style="758" customWidth="1"/>
    <col min="8" max="8" width="10.125" style="758" customWidth="1"/>
    <col min="9" max="10" width="9" style="758"/>
    <col min="11" max="11" width="6.625" style="758" bestFit="1" customWidth="1"/>
    <col min="12" max="16384" width="9" style="758"/>
  </cols>
  <sheetData>
    <row r="1" spans="1:13" ht="15.75" customHeight="1">
      <c r="A1" s="1322" t="s">
        <v>989</v>
      </c>
      <c r="B1" s="1322"/>
      <c r="C1" s="1322"/>
      <c r="D1" s="1322"/>
      <c r="E1" s="1322"/>
      <c r="F1" s="1322"/>
      <c r="G1" s="1322"/>
      <c r="H1" s="1322"/>
      <c r="I1" s="1322"/>
      <c r="J1" s="1322"/>
      <c r="K1" s="1322"/>
    </row>
    <row r="3" spans="1:13">
      <c r="A3" s="760"/>
      <c r="B3" s="761"/>
      <c r="C3" s="766"/>
      <c r="D3" s="766"/>
      <c r="E3" s="766"/>
      <c r="F3" s="766"/>
      <c r="G3" s="760"/>
      <c r="H3" s="760"/>
      <c r="I3" s="760"/>
      <c r="J3" s="760"/>
      <c r="K3" s="760"/>
    </row>
    <row r="4" spans="1:13" ht="13.5" thickBot="1">
      <c r="A4" s="760"/>
      <c r="B4" s="1329" t="s">
        <v>837</v>
      </c>
      <c r="C4" s="1331" t="s">
        <v>596</v>
      </c>
      <c r="D4" s="1332"/>
      <c r="E4" s="1332"/>
      <c r="F4" s="1332"/>
      <c r="G4" s="1333"/>
      <c r="H4" s="1333"/>
      <c r="I4" s="1333"/>
      <c r="J4" s="1333"/>
      <c r="K4" s="1334"/>
    </row>
    <row r="5" spans="1:13" ht="14.25" thickTop="1" thickBot="1">
      <c r="A5" s="760"/>
      <c r="B5" s="1330"/>
      <c r="C5" s="1323" t="s">
        <v>672</v>
      </c>
      <c r="D5" s="1324"/>
      <c r="E5" s="1324"/>
      <c r="F5" s="1325"/>
      <c r="G5" s="1326" t="s">
        <v>7</v>
      </c>
      <c r="H5" s="1327"/>
      <c r="I5" s="1327"/>
      <c r="J5" s="1328"/>
      <c r="K5" s="760"/>
    </row>
    <row r="6" spans="1:13" ht="39.75" thickTop="1" thickBot="1">
      <c r="A6" s="767" t="s">
        <v>4</v>
      </c>
      <c r="B6" s="768" t="s">
        <v>5</v>
      </c>
      <c r="C6" s="767" t="s">
        <v>838</v>
      </c>
      <c r="D6" s="769" t="s">
        <v>2</v>
      </c>
      <c r="E6" s="769" t="s">
        <v>888</v>
      </c>
      <c r="F6" s="770" t="s">
        <v>668</v>
      </c>
      <c r="G6" s="771" t="s">
        <v>675</v>
      </c>
      <c r="H6" s="772" t="s">
        <v>2</v>
      </c>
      <c r="I6" s="773" t="s">
        <v>889</v>
      </c>
      <c r="J6" s="772" t="s">
        <v>668</v>
      </c>
      <c r="K6" s="774" t="s">
        <v>328</v>
      </c>
    </row>
    <row r="7" spans="1:13">
      <c r="A7" s="762" t="s">
        <v>10</v>
      </c>
      <c r="B7" s="775" t="s">
        <v>11</v>
      </c>
      <c r="C7" s="776">
        <v>392</v>
      </c>
      <c r="D7" s="776">
        <v>168</v>
      </c>
      <c r="E7" s="776">
        <v>218</v>
      </c>
      <c r="F7" s="776">
        <v>6</v>
      </c>
      <c r="G7" s="777">
        <v>704</v>
      </c>
      <c r="H7" s="776">
        <v>246</v>
      </c>
      <c r="I7" s="776">
        <v>439</v>
      </c>
      <c r="J7" s="776">
        <v>19</v>
      </c>
      <c r="K7" s="777">
        <v>1096</v>
      </c>
      <c r="M7" s="763"/>
    </row>
    <row r="8" spans="1:13">
      <c r="A8" s="762" t="s">
        <v>12</v>
      </c>
      <c r="B8" s="775" t="s">
        <v>13</v>
      </c>
      <c r="C8" s="777">
        <v>313</v>
      </c>
      <c r="D8" s="777">
        <v>140</v>
      </c>
      <c r="E8" s="777">
        <v>115</v>
      </c>
      <c r="F8" s="777">
        <v>58</v>
      </c>
      <c r="G8" s="777">
        <v>542</v>
      </c>
      <c r="H8" s="776">
        <v>211</v>
      </c>
      <c r="I8" s="776">
        <v>210</v>
      </c>
      <c r="J8" s="776">
        <v>121</v>
      </c>
      <c r="K8" s="777">
        <v>855</v>
      </c>
    </row>
    <row r="9" spans="1:13">
      <c r="A9" s="762" t="s">
        <v>16</v>
      </c>
      <c r="B9" s="775" t="s">
        <v>364</v>
      </c>
      <c r="C9" s="777">
        <v>253</v>
      </c>
      <c r="D9" s="777">
        <v>222</v>
      </c>
      <c r="E9" s="777">
        <v>22</v>
      </c>
      <c r="F9" s="777">
        <v>9</v>
      </c>
      <c r="G9" s="777">
        <v>391</v>
      </c>
      <c r="H9" s="776">
        <v>277</v>
      </c>
      <c r="I9" s="776">
        <v>37</v>
      </c>
      <c r="J9" s="776">
        <v>77</v>
      </c>
      <c r="K9" s="777">
        <v>644</v>
      </c>
    </row>
    <row r="10" spans="1:13">
      <c r="A10" s="762" t="s">
        <v>18</v>
      </c>
      <c r="B10" s="775" t="s">
        <v>19</v>
      </c>
      <c r="C10" s="777">
        <v>179</v>
      </c>
      <c r="D10" s="777">
        <v>107</v>
      </c>
      <c r="E10" s="777">
        <v>65</v>
      </c>
      <c r="F10" s="777">
        <v>7</v>
      </c>
      <c r="G10" s="777">
        <v>255</v>
      </c>
      <c r="H10" s="776">
        <v>137</v>
      </c>
      <c r="I10" s="776">
        <v>103</v>
      </c>
      <c r="J10" s="776">
        <v>15</v>
      </c>
      <c r="K10" s="777">
        <v>434</v>
      </c>
    </row>
    <row r="11" spans="1:13">
      <c r="A11" s="762" t="s">
        <v>20</v>
      </c>
      <c r="B11" s="775" t="s">
        <v>21</v>
      </c>
      <c r="C11" s="777">
        <v>204</v>
      </c>
      <c r="D11" s="777">
        <v>133</v>
      </c>
      <c r="E11" s="777">
        <v>65</v>
      </c>
      <c r="F11" s="777">
        <v>6</v>
      </c>
      <c r="G11" s="777">
        <v>369</v>
      </c>
      <c r="H11" s="776">
        <v>203</v>
      </c>
      <c r="I11" s="776">
        <v>134</v>
      </c>
      <c r="J11" s="776">
        <v>32</v>
      </c>
      <c r="K11" s="777">
        <v>573</v>
      </c>
    </row>
    <row r="12" spans="1:13">
      <c r="A12" s="762" t="s">
        <v>22</v>
      </c>
      <c r="B12" s="775" t="s">
        <v>23</v>
      </c>
      <c r="C12" s="777">
        <v>172</v>
      </c>
      <c r="D12" s="777">
        <v>94</v>
      </c>
      <c r="E12" s="777">
        <v>76</v>
      </c>
      <c r="F12" s="777">
        <v>2</v>
      </c>
      <c r="G12" s="777">
        <v>284</v>
      </c>
      <c r="H12" s="776">
        <v>120</v>
      </c>
      <c r="I12" s="776">
        <v>144</v>
      </c>
      <c r="J12" s="776">
        <v>20</v>
      </c>
      <c r="K12" s="777">
        <v>456</v>
      </c>
    </row>
    <row r="13" spans="1:13">
      <c r="A13" s="762" t="s">
        <v>24</v>
      </c>
      <c r="B13" s="775" t="s">
        <v>25</v>
      </c>
      <c r="C13" s="777">
        <v>674</v>
      </c>
      <c r="D13" s="777">
        <v>279</v>
      </c>
      <c r="E13" s="777">
        <v>264</v>
      </c>
      <c r="F13" s="777">
        <v>131</v>
      </c>
      <c r="G13" s="777">
        <v>959</v>
      </c>
      <c r="H13" s="776">
        <v>350</v>
      </c>
      <c r="I13" s="776">
        <v>391</v>
      </c>
      <c r="J13" s="776">
        <v>218</v>
      </c>
      <c r="K13" s="777">
        <v>1633</v>
      </c>
    </row>
    <row r="14" spans="1:13">
      <c r="A14" s="762" t="s">
        <v>26</v>
      </c>
      <c r="B14" s="775" t="s">
        <v>1114</v>
      </c>
      <c r="C14" s="777">
        <v>1262</v>
      </c>
      <c r="D14" s="777">
        <v>949</v>
      </c>
      <c r="E14" s="777">
        <v>247</v>
      </c>
      <c r="F14" s="777">
        <v>66</v>
      </c>
      <c r="G14" s="777">
        <v>2083</v>
      </c>
      <c r="H14" s="776">
        <v>1401</v>
      </c>
      <c r="I14" s="776">
        <v>488</v>
      </c>
      <c r="J14" s="776">
        <v>194</v>
      </c>
      <c r="K14" s="777">
        <v>3345</v>
      </c>
    </row>
    <row r="15" spans="1:13">
      <c r="A15" s="762" t="s">
        <v>27</v>
      </c>
      <c r="B15" s="775" t="s">
        <v>28</v>
      </c>
      <c r="C15" s="777">
        <v>11</v>
      </c>
      <c r="D15" s="777">
        <v>10</v>
      </c>
      <c r="E15" s="777">
        <v>1</v>
      </c>
      <c r="F15" s="777">
        <v>0</v>
      </c>
      <c r="G15" s="777">
        <v>29</v>
      </c>
      <c r="H15" s="776">
        <v>21</v>
      </c>
      <c r="I15" s="776">
        <v>5</v>
      </c>
      <c r="J15" s="776">
        <v>3</v>
      </c>
      <c r="K15" s="777">
        <v>40</v>
      </c>
    </row>
    <row r="16" spans="1:13">
      <c r="A16" s="762" t="s">
        <v>29</v>
      </c>
      <c r="B16" s="775" t="s">
        <v>366</v>
      </c>
      <c r="C16" s="777">
        <v>493</v>
      </c>
      <c r="D16" s="777">
        <v>402</v>
      </c>
      <c r="E16" s="777">
        <v>74</v>
      </c>
      <c r="F16" s="777">
        <v>17</v>
      </c>
      <c r="G16" s="777">
        <v>776</v>
      </c>
      <c r="H16" s="776">
        <v>570</v>
      </c>
      <c r="I16" s="776">
        <v>145</v>
      </c>
      <c r="J16" s="776">
        <v>61</v>
      </c>
      <c r="K16" s="777">
        <v>1269</v>
      </c>
    </row>
    <row r="17" spans="1:12">
      <c r="A17" s="762" t="s">
        <v>31</v>
      </c>
      <c r="B17" s="775" t="s">
        <v>32</v>
      </c>
      <c r="C17" s="777">
        <v>51</v>
      </c>
      <c r="D17" s="777">
        <v>40</v>
      </c>
      <c r="E17" s="777">
        <v>1</v>
      </c>
      <c r="F17" s="777">
        <v>10</v>
      </c>
      <c r="G17" s="777">
        <v>69</v>
      </c>
      <c r="H17" s="776">
        <v>51</v>
      </c>
      <c r="I17" s="776">
        <v>5</v>
      </c>
      <c r="J17" s="776">
        <v>13</v>
      </c>
      <c r="K17" s="777">
        <v>120</v>
      </c>
    </row>
    <row r="18" spans="1:12">
      <c r="A18" s="762" t="s">
        <v>33</v>
      </c>
      <c r="B18" s="775" t="s">
        <v>34</v>
      </c>
      <c r="C18" s="777">
        <v>79</v>
      </c>
      <c r="D18" s="777">
        <v>69</v>
      </c>
      <c r="E18" s="777">
        <v>7</v>
      </c>
      <c r="F18" s="777">
        <v>3</v>
      </c>
      <c r="G18" s="777">
        <v>144</v>
      </c>
      <c r="H18" s="776">
        <v>122</v>
      </c>
      <c r="I18" s="776">
        <v>15</v>
      </c>
      <c r="J18" s="776">
        <v>7</v>
      </c>
      <c r="K18" s="777">
        <v>223</v>
      </c>
    </row>
    <row r="19" spans="1:12">
      <c r="A19" s="762" t="s">
        <v>37</v>
      </c>
      <c r="B19" s="775" t="s">
        <v>38</v>
      </c>
      <c r="C19" s="777">
        <v>224</v>
      </c>
      <c r="D19" s="777">
        <v>39</v>
      </c>
      <c r="E19" s="777">
        <v>178</v>
      </c>
      <c r="F19" s="777">
        <v>7</v>
      </c>
      <c r="G19" s="777">
        <v>385</v>
      </c>
      <c r="H19" s="776">
        <v>52</v>
      </c>
      <c r="I19" s="776">
        <v>317</v>
      </c>
      <c r="J19" s="776">
        <v>16</v>
      </c>
      <c r="K19" s="777">
        <v>609</v>
      </c>
      <c r="L19" s="763"/>
    </row>
    <row r="20" spans="1:12">
      <c r="A20" s="762" t="s">
        <v>39</v>
      </c>
      <c r="B20" s="775" t="s">
        <v>40</v>
      </c>
      <c r="C20" s="777">
        <v>325</v>
      </c>
      <c r="D20" s="777">
        <v>314</v>
      </c>
      <c r="E20" s="777">
        <v>1</v>
      </c>
      <c r="F20" s="777">
        <v>10</v>
      </c>
      <c r="G20" s="777">
        <v>418</v>
      </c>
      <c r="H20" s="776">
        <v>390</v>
      </c>
      <c r="I20" s="776">
        <v>1</v>
      </c>
      <c r="J20" s="776">
        <v>27</v>
      </c>
      <c r="K20" s="777">
        <v>743</v>
      </c>
      <c r="L20" s="763"/>
    </row>
    <row r="21" spans="1:12">
      <c r="A21" s="762" t="s">
        <v>41</v>
      </c>
      <c r="B21" s="775" t="s">
        <v>42</v>
      </c>
      <c r="C21" s="777">
        <v>182</v>
      </c>
      <c r="D21" s="777">
        <v>70</v>
      </c>
      <c r="E21" s="777">
        <v>107</v>
      </c>
      <c r="F21" s="777">
        <v>5</v>
      </c>
      <c r="G21" s="777">
        <v>250</v>
      </c>
      <c r="H21" s="776">
        <v>90</v>
      </c>
      <c r="I21" s="776">
        <v>139</v>
      </c>
      <c r="J21" s="776">
        <v>21</v>
      </c>
      <c r="K21" s="777">
        <v>432</v>
      </c>
      <c r="L21" s="763"/>
    </row>
    <row r="22" spans="1:12">
      <c r="A22" s="762" t="s">
        <v>43</v>
      </c>
      <c r="B22" s="775" t="s">
        <v>44</v>
      </c>
      <c r="C22" s="777">
        <v>605</v>
      </c>
      <c r="D22" s="777">
        <v>402</v>
      </c>
      <c r="E22" s="777">
        <v>165</v>
      </c>
      <c r="F22" s="777">
        <v>38</v>
      </c>
      <c r="G22" s="777">
        <v>893</v>
      </c>
      <c r="H22" s="776">
        <v>533</v>
      </c>
      <c r="I22" s="776">
        <v>267</v>
      </c>
      <c r="J22" s="776">
        <v>93</v>
      </c>
      <c r="K22" s="777">
        <v>1498</v>
      </c>
      <c r="L22" s="763"/>
    </row>
    <row r="23" spans="1:12">
      <c r="A23" s="762" t="s">
        <v>45</v>
      </c>
      <c r="B23" s="775" t="s">
        <v>46</v>
      </c>
      <c r="C23" s="777">
        <v>434</v>
      </c>
      <c r="D23" s="777">
        <v>221</v>
      </c>
      <c r="E23" s="777">
        <v>172</v>
      </c>
      <c r="F23" s="777">
        <v>41</v>
      </c>
      <c r="G23" s="777">
        <v>714</v>
      </c>
      <c r="H23" s="776">
        <v>309</v>
      </c>
      <c r="I23" s="776">
        <v>315</v>
      </c>
      <c r="J23" s="776">
        <v>90</v>
      </c>
      <c r="K23" s="777">
        <v>1148</v>
      </c>
      <c r="L23" s="763"/>
    </row>
    <row r="24" spans="1:12">
      <c r="A24" s="762" t="s">
        <v>47</v>
      </c>
      <c r="B24" s="775" t="s">
        <v>48</v>
      </c>
      <c r="C24" s="777">
        <v>262</v>
      </c>
      <c r="D24" s="777">
        <v>241</v>
      </c>
      <c r="E24" s="777">
        <v>4</v>
      </c>
      <c r="F24" s="777">
        <v>17</v>
      </c>
      <c r="G24" s="777">
        <v>413</v>
      </c>
      <c r="H24" s="776">
        <v>373</v>
      </c>
      <c r="I24" s="776">
        <v>13</v>
      </c>
      <c r="J24" s="776">
        <v>27</v>
      </c>
      <c r="K24" s="777">
        <v>675</v>
      </c>
      <c r="L24" s="763"/>
    </row>
    <row r="25" spans="1:12">
      <c r="A25" s="762" t="s">
        <v>49</v>
      </c>
      <c r="B25" s="775" t="s">
        <v>279</v>
      </c>
      <c r="C25" s="777">
        <v>57</v>
      </c>
      <c r="D25" s="777">
        <v>17</v>
      </c>
      <c r="E25" s="777">
        <v>35</v>
      </c>
      <c r="F25" s="777">
        <v>5</v>
      </c>
      <c r="G25" s="777">
        <v>88</v>
      </c>
      <c r="H25" s="776">
        <v>23</v>
      </c>
      <c r="I25" s="776">
        <v>53</v>
      </c>
      <c r="J25" s="776">
        <v>12</v>
      </c>
      <c r="K25" s="777">
        <v>145</v>
      </c>
      <c r="L25" s="763"/>
    </row>
    <row r="26" spans="1:12">
      <c r="A26" s="762" t="s">
        <v>51</v>
      </c>
      <c r="B26" s="775" t="s">
        <v>52</v>
      </c>
      <c r="C26" s="777">
        <v>177</v>
      </c>
      <c r="D26" s="777">
        <v>74</v>
      </c>
      <c r="E26" s="777">
        <v>95</v>
      </c>
      <c r="F26" s="777">
        <v>8</v>
      </c>
      <c r="G26" s="777">
        <v>275</v>
      </c>
      <c r="H26" s="776">
        <v>85</v>
      </c>
      <c r="I26" s="776">
        <v>164</v>
      </c>
      <c r="J26" s="776">
        <v>26</v>
      </c>
      <c r="K26" s="777">
        <v>452</v>
      </c>
      <c r="L26" s="763"/>
    </row>
    <row r="27" spans="1:12">
      <c r="A27" s="762" t="s">
        <v>57</v>
      </c>
      <c r="B27" s="775" t="s">
        <v>362</v>
      </c>
      <c r="C27" s="777">
        <v>2181</v>
      </c>
      <c r="D27" s="777">
        <v>898</v>
      </c>
      <c r="E27" s="777">
        <v>1024</v>
      </c>
      <c r="F27" s="777">
        <v>259</v>
      </c>
      <c r="G27" s="777">
        <v>3821</v>
      </c>
      <c r="H27" s="776">
        <v>1368</v>
      </c>
      <c r="I27" s="776">
        <v>1884</v>
      </c>
      <c r="J27" s="776">
        <v>569</v>
      </c>
      <c r="K27" s="777">
        <v>6002</v>
      </c>
      <c r="L27" s="763"/>
    </row>
    <row r="28" spans="1:12">
      <c r="A28" s="762" t="s">
        <v>59</v>
      </c>
      <c r="B28" s="775" t="s">
        <v>60</v>
      </c>
      <c r="C28" s="777">
        <v>46</v>
      </c>
      <c r="D28" s="777">
        <v>38</v>
      </c>
      <c r="E28" s="777">
        <v>3</v>
      </c>
      <c r="F28" s="777">
        <v>5</v>
      </c>
      <c r="G28" s="777">
        <v>75</v>
      </c>
      <c r="H28" s="776">
        <v>56</v>
      </c>
      <c r="I28" s="776">
        <v>14</v>
      </c>
      <c r="J28" s="776">
        <v>5</v>
      </c>
      <c r="K28" s="777">
        <v>121</v>
      </c>
      <c r="L28" s="763"/>
    </row>
    <row r="29" spans="1:12">
      <c r="A29" s="762" t="s">
        <v>61</v>
      </c>
      <c r="B29" s="775" t="s">
        <v>62</v>
      </c>
      <c r="C29" s="777">
        <v>26</v>
      </c>
      <c r="D29" s="777">
        <v>23</v>
      </c>
      <c r="E29" s="777">
        <v>1</v>
      </c>
      <c r="F29" s="777">
        <v>2</v>
      </c>
      <c r="G29" s="777">
        <v>41</v>
      </c>
      <c r="H29" s="776">
        <v>35</v>
      </c>
      <c r="I29" s="776">
        <v>1</v>
      </c>
      <c r="J29" s="776">
        <v>5</v>
      </c>
      <c r="K29" s="777">
        <v>67</v>
      </c>
      <c r="L29" s="763"/>
    </row>
    <row r="30" spans="1:12">
      <c r="A30" s="762" t="s">
        <v>63</v>
      </c>
      <c r="B30" s="775" t="s">
        <v>64</v>
      </c>
      <c r="C30" s="777">
        <v>404</v>
      </c>
      <c r="D30" s="777">
        <v>186</v>
      </c>
      <c r="E30" s="777">
        <v>187</v>
      </c>
      <c r="F30" s="777">
        <v>31</v>
      </c>
      <c r="G30" s="777">
        <v>655</v>
      </c>
      <c r="H30" s="776">
        <v>253</v>
      </c>
      <c r="I30" s="776">
        <v>285</v>
      </c>
      <c r="J30" s="776">
        <v>117</v>
      </c>
      <c r="K30" s="777">
        <v>1059</v>
      </c>
      <c r="L30" s="763"/>
    </row>
    <row r="31" spans="1:12">
      <c r="A31" s="762" t="s">
        <v>65</v>
      </c>
      <c r="B31" s="775" t="s">
        <v>66</v>
      </c>
      <c r="C31" s="777">
        <v>130</v>
      </c>
      <c r="D31" s="777">
        <v>59</v>
      </c>
      <c r="E31" s="777">
        <v>66</v>
      </c>
      <c r="F31" s="777">
        <v>5</v>
      </c>
      <c r="G31" s="777">
        <v>216</v>
      </c>
      <c r="H31" s="776">
        <v>76</v>
      </c>
      <c r="I31" s="776">
        <v>125</v>
      </c>
      <c r="J31" s="776">
        <v>15</v>
      </c>
      <c r="K31" s="777">
        <v>346</v>
      </c>
      <c r="L31" s="763"/>
    </row>
    <row r="32" spans="1:12">
      <c r="A32" s="762" t="s">
        <v>69</v>
      </c>
      <c r="B32" s="775" t="s">
        <v>70</v>
      </c>
      <c r="C32" s="777">
        <v>207</v>
      </c>
      <c r="D32" s="777">
        <v>202</v>
      </c>
      <c r="E32" s="777">
        <v>3</v>
      </c>
      <c r="F32" s="777">
        <v>2</v>
      </c>
      <c r="G32" s="777">
        <v>273</v>
      </c>
      <c r="H32" s="776">
        <v>262</v>
      </c>
      <c r="I32" s="776">
        <v>4</v>
      </c>
      <c r="J32" s="776">
        <v>7</v>
      </c>
      <c r="K32" s="777">
        <v>480</v>
      </c>
      <c r="L32" s="763"/>
    </row>
    <row r="33" spans="1:12">
      <c r="A33" s="762" t="s">
        <v>71</v>
      </c>
      <c r="B33" s="775" t="s">
        <v>72</v>
      </c>
      <c r="C33" s="777">
        <v>291</v>
      </c>
      <c r="D33" s="777">
        <v>144</v>
      </c>
      <c r="E33" s="777">
        <v>133</v>
      </c>
      <c r="F33" s="777">
        <v>14</v>
      </c>
      <c r="G33" s="777">
        <v>482</v>
      </c>
      <c r="H33" s="776">
        <v>197</v>
      </c>
      <c r="I33" s="776">
        <v>222</v>
      </c>
      <c r="J33" s="776">
        <v>63</v>
      </c>
      <c r="K33" s="777">
        <v>773</v>
      </c>
      <c r="L33" s="763"/>
    </row>
    <row r="34" spans="1:12">
      <c r="A34" s="762" t="s">
        <v>73</v>
      </c>
      <c r="B34" s="775" t="s">
        <v>74</v>
      </c>
      <c r="C34" s="777">
        <v>168</v>
      </c>
      <c r="D34" s="777">
        <v>45</v>
      </c>
      <c r="E34" s="777">
        <v>111</v>
      </c>
      <c r="F34" s="777">
        <v>12</v>
      </c>
      <c r="G34" s="777">
        <v>298</v>
      </c>
      <c r="H34" s="776">
        <v>64</v>
      </c>
      <c r="I34" s="776">
        <v>183</v>
      </c>
      <c r="J34" s="776">
        <v>51</v>
      </c>
      <c r="K34" s="777">
        <v>466</v>
      </c>
      <c r="L34" s="763"/>
    </row>
    <row r="35" spans="1:12">
      <c r="A35" s="762" t="s">
        <v>75</v>
      </c>
      <c r="B35" s="775" t="s">
        <v>363</v>
      </c>
      <c r="C35" s="777">
        <v>3625</v>
      </c>
      <c r="D35" s="777">
        <v>1441</v>
      </c>
      <c r="E35" s="777">
        <v>1266</v>
      </c>
      <c r="F35" s="777">
        <v>918</v>
      </c>
      <c r="G35" s="777">
        <v>5602</v>
      </c>
      <c r="H35" s="776">
        <v>2019</v>
      </c>
      <c r="I35" s="776">
        <v>2128</v>
      </c>
      <c r="J35" s="776">
        <v>1455</v>
      </c>
      <c r="K35" s="777">
        <v>9227</v>
      </c>
      <c r="L35" s="763"/>
    </row>
    <row r="36" spans="1:12">
      <c r="A36" s="762" t="s">
        <v>77</v>
      </c>
      <c r="B36" s="775" t="s">
        <v>78</v>
      </c>
      <c r="C36" s="777">
        <v>245</v>
      </c>
      <c r="D36" s="777">
        <v>141</v>
      </c>
      <c r="E36" s="777">
        <v>82</v>
      </c>
      <c r="F36" s="777">
        <v>22</v>
      </c>
      <c r="G36" s="777">
        <v>401</v>
      </c>
      <c r="H36" s="776">
        <v>181</v>
      </c>
      <c r="I36" s="776">
        <v>148</v>
      </c>
      <c r="J36" s="776">
        <v>72</v>
      </c>
      <c r="K36" s="777">
        <v>646</v>
      </c>
      <c r="L36" s="763"/>
    </row>
    <row r="37" spans="1:12">
      <c r="A37" s="762" t="s">
        <v>79</v>
      </c>
      <c r="B37" s="775" t="s">
        <v>80</v>
      </c>
      <c r="C37" s="777">
        <v>125</v>
      </c>
      <c r="D37" s="777">
        <v>100</v>
      </c>
      <c r="E37" s="777">
        <v>10</v>
      </c>
      <c r="F37" s="777">
        <v>15</v>
      </c>
      <c r="G37" s="777">
        <v>192</v>
      </c>
      <c r="H37" s="776">
        <v>148</v>
      </c>
      <c r="I37" s="776">
        <v>16</v>
      </c>
      <c r="J37" s="776">
        <v>28</v>
      </c>
      <c r="K37" s="777">
        <v>317</v>
      </c>
      <c r="L37" s="763"/>
    </row>
    <row r="38" spans="1:12">
      <c r="A38" s="762" t="s">
        <v>81</v>
      </c>
      <c r="B38" s="775" t="s">
        <v>82</v>
      </c>
      <c r="C38" s="777">
        <v>74</v>
      </c>
      <c r="D38" s="777">
        <v>39</v>
      </c>
      <c r="E38" s="777">
        <v>35</v>
      </c>
      <c r="F38" s="777">
        <v>0</v>
      </c>
      <c r="G38" s="777">
        <v>165</v>
      </c>
      <c r="H38" s="776">
        <v>78</v>
      </c>
      <c r="I38" s="776">
        <v>80</v>
      </c>
      <c r="J38" s="776">
        <v>7</v>
      </c>
      <c r="K38" s="777">
        <v>239</v>
      </c>
      <c r="L38" s="763"/>
    </row>
    <row r="39" spans="1:12">
      <c r="A39" s="762" t="s">
        <v>85</v>
      </c>
      <c r="B39" s="775" t="s">
        <v>86</v>
      </c>
      <c r="C39" s="777">
        <v>561</v>
      </c>
      <c r="D39" s="777">
        <v>434</v>
      </c>
      <c r="E39" s="777">
        <v>87</v>
      </c>
      <c r="F39" s="777">
        <v>40</v>
      </c>
      <c r="G39" s="777">
        <v>837</v>
      </c>
      <c r="H39" s="776">
        <v>550</v>
      </c>
      <c r="I39" s="776">
        <v>154</v>
      </c>
      <c r="J39" s="776">
        <v>133</v>
      </c>
      <c r="K39" s="777">
        <v>1398</v>
      </c>
      <c r="L39" s="763"/>
    </row>
    <row r="40" spans="1:12">
      <c r="A40" s="762" t="s">
        <v>87</v>
      </c>
      <c r="B40" s="775" t="s">
        <v>88</v>
      </c>
      <c r="C40" s="777">
        <v>434</v>
      </c>
      <c r="D40" s="777">
        <v>354</v>
      </c>
      <c r="E40" s="777">
        <v>44</v>
      </c>
      <c r="F40" s="777">
        <v>36</v>
      </c>
      <c r="G40" s="777">
        <v>699</v>
      </c>
      <c r="H40" s="776">
        <v>508</v>
      </c>
      <c r="I40" s="776">
        <v>102</v>
      </c>
      <c r="J40" s="776">
        <v>89</v>
      </c>
      <c r="K40" s="777">
        <v>1133</v>
      </c>
      <c r="L40" s="763"/>
    </row>
    <row r="41" spans="1:12">
      <c r="A41" s="762" t="s">
        <v>93</v>
      </c>
      <c r="B41" s="775" t="s">
        <v>94</v>
      </c>
      <c r="C41" s="777">
        <v>122</v>
      </c>
      <c r="D41" s="777">
        <v>119</v>
      </c>
      <c r="E41" s="777">
        <v>2</v>
      </c>
      <c r="F41" s="777">
        <v>1</v>
      </c>
      <c r="G41" s="777">
        <v>203</v>
      </c>
      <c r="H41" s="776">
        <v>191</v>
      </c>
      <c r="I41" s="776">
        <v>8</v>
      </c>
      <c r="J41" s="776">
        <v>4</v>
      </c>
      <c r="K41" s="777">
        <v>325</v>
      </c>
      <c r="L41" s="763"/>
    </row>
    <row r="42" spans="1:12">
      <c r="A42" s="762" t="s">
        <v>95</v>
      </c>
      <c r="B42" s="775" t="s">
        <v>96</v>
      </c>
      <c r="C42" s="777">
        <v>219</v>
      </c>
      <c r="D42" s="777">
        <v>168</v>
      </c>
      <c r="E42" s="777">
        <v>42</v>
      </c>
      <c r="F42" s="777">
        <v>9</v>
      </c>
      <c r="G42" s="777">
        <v>374</v>
      </c>
      <c r="H42" s="776">
        <v>272</v>
      </c>
      <c r="I42" s="776">
        <v>88</v>
      </c>
      <c r="J42" s="776">
        <v>14</v>
      </c>
      <c r="K42" s="777">
        <v>593</v>
      </c>
      <c r="L42" s="763"/>
    </row>
    <row r="43" spans="1:12">
      <c r="A43" s="762" t="s">
        <v>97</v>
      </c>
      <c r="B43" s="775" t="s">
        <v>98</v>
      </c>
      <c r="C43" s="777">
        <v>107</v>
      </c>
      <c r="D43" s="777">
        <v>44</v>
      </c>
      <c r="E43" s="777">
        <v>59</v>
      </c>
      <c r="F43" s="777">
        <v>4</v>
      </c>
      <c r="G43" s="777">
        <v>158</v>
      </c>
      <c r="H43" s="776">
        <v>59</v>
      </c>
      <c r="I43" s="776">
        <v>87</v>
      </c>
      <c r="J43" s="776">
        <v>12</v>
      </c>
      <c r="K43" s="777">
        <v>265</v>
      </c>
      <c r="L43" s="763"/>
    </row>
    <row r="44" spans="1:12">
      <c r="A44" s="762" t="s">
        <v>99</v>
      </c>
      <c r="B44" s="775" t="s">
        <v>100</v>
      </c>
      <c r="C44" s="777">
        <v>110</v>
      </c>
      <c r="D44" s="777">
        <v>106</v>
      </c>
      <c r="E44" s="777">
        <v>4</v>
      </c>
      <c r="F44" s="777">
        <v>0</v>
      </c>
      <c r="G44" s="777">
        <v>164</v>
      </c>
      <c r="H44" s="776">
        <v>148</v>
      </c>
      <c r="I44" s="776">
        <v>12</v>
      </c>
      <c r="J44" s="776">
        <v>4</v>
      </c>
      <c r="K44" s="777">
        <v>274</v>
      </c>
      <c r="L44" s="763"/>
    </row>
    <row r="45" spans="1:12">
      <c r="A45" s="762" t="s">
        <v>101</v>
      </c>
      <c r="B45" s="775" t="s">
        <v>102</v>
      </c>
      <c r="C45" s="777">
        <v>114</v>
      </c>
      <c r="D45" s="777">
        <v>81</v>
      </c>
      <c r="E45" s="777">
        <v>27</v>
      </c>
      <c r="F45" s="777">
        <v>6</v>
      </c>
      <c r="G45" s="777">
        <v>189</v>
      </c>
      <c r="H45" s="776">
        <v>115</v>
      </c>
      <c r="I45" s="776">
        <v>41</v>
      </c>
      <c r="J45" s="776">
        <v>33</v>
      </c>
      <c r="K45" s="777">
        <v>303</v>
      </c>
      <c r="L45" s="763"/>
    </row>
    <row r="46" spans="1:12">
      <c r="A46" s="762" t="s">
        <v>103</v>
      </c>
      <c r="B46" s="775" t="s">
        <v>329</v>
      </c>
      <c r="C46" s="777">
        <v>301</v>
      </c>
      <c r="D46" s="777">
        <v>29</v>
      </c>
      <c r="E46" s="777">
        <v>268</v>
      </c>
      <c r="F46" s="777">
        <v>4</v>
      </c>
      <c r="G46" s="777">
        <v>592</v>
      </c>
      <c r="H46" s="776">
        <v>43</v>
      </c>
      <c r="I46" s="776">
        <v>538</v>
      </c>
      <c r="J46" s="776">
        <v>11</v>
      </c>
      <c r="K46" s="777">
        <v>893</v>
      </c>
      <c r="L46" s="763"/>
    </row>
    <row r="47" spans="1:12">
      <c r="A47" s="762" t="s">
        <v>105</v>
      </c>
      <c r="B47" s="775" t="s">
        <v>106</v>
      </c>
      <c r="C47" s="777">
        <v>517</v>
      </c>
      <c r="D47" s="777">
        <v>176</v>
      </c>
      <c r="E47" s="777">
        <v>308</v>
      </c>
      <c r="F47" s="777">
        <v>33</v>
      </c>
      <c r="G47" s="777">
        <v>807</v>
      </c>
      <c r="H47" s="776">
        <v>207</v>
      </c>
      <c r="I47" s="776">
        <v>516</v>
      </c>
      <c r="J47" s="776">
        <v>84</v>
      </c>
      <c r="K47" s="777">
        <v>1324</v>
      </c>
      <c r="L47" s="763"/>
    </row>
    <row r="48" spans="1:12">
      <c r="A48" s="762" t="s">
        <v>109</v>
      </c>
      <c r="B48" s="775" t="s">
        <v>110</v>
      </c>
      <c r="C48" s="777">
        <v>382</v>
      </c>
      <c r="D48" s="777">
        <v>222</v>
      </c>
      <c r="E48" s="777">
        <v>129</v>
      </c>
      <c r="F48" s="777">
        <v>31</v>
      </c>
      <c r="G48" s="777">
        <v>606</v>
      </c>
      <c r="H48" s="776">
        <v>283</v>
      </c>
      <c r="I48" s="776">
        <v>231</v>
      </c>
      <c r="J48" s="776">
        <v>92</v>
      </c>
      <c r="K48" s="777">
        <v>988</v>
      </c>
      <c r="L48" s="763"/>
    </row>
    <row r="49" spans="1:12">
      <c r="A49" s="762" t="s">
        <v>111</v>
      </c>
      <c r="B49" s="775" t="s">
        <v>112</v>
      </c>
      <c r="C49" s="777">
        <v>2937</v>
      </c>
      <c r="D49" s="777">
        <v>526</v>
      </c>
      <c r="E49" s="777">
        <v>1840</v>
      </c>
      <c r="F49" s="777">
        <v>571</v>
      </c>
      <c r="G49" s="777">
        <v>5016</v>
      </c>
      <c r="H49" s="776">
        <v>740</v>
      </c>
      <c r="I49" s="776">
        <v>3212</v>
      </c>
      <c r="J49" s="776">
        <v>1064</v>
      </c>
      <c r="K49" s="777">
        <v>7953</v>
      </c>
      <c r="L49" s="763"/>
    </row>
    <row r="50" spans="1:12">
      <c r="A50" s="762" t="s">
        <v>113</v>
      </c>
      <c r="B50" s="775" t="s">
        <v>367</v>
      </c>
      <c r="C50" s="777">
        <v>1127</v>
      </c>
      <c r="D50" s="777">
        <v>529</v>
      </c>
      <c r="E50" s="777">
        <v>500</v>
      </c>
      <c r="F50" s="777">
        <v>98</v>
      </c>
      <c r="G50" s="777">
        <v>1805</v>
      </c>
      <c r="H50" s="776">
        <v>718</v>
      </c>
      <c r="I50" s="776">
        <v>807</v>
      </c>
      <c r="J50" s="776">
        <v>280</v>
      </c>
      <c r="K50" s="777">
        <v>2932</v>
      </c>
      <c r="L50" s="763"/>
    </row>
    <row r="51" spans="1:12">
      <c r="A51" s="762" t="s">
        <v>115</v>
      </c>
      <c r="B51" s="775" t="s">
        <v>116</v>
      </c>
      <c r="C51" s="777">
        <v>2</v>
      </c>
      <c r="D51" s="777">
        <v>1</v>
      </c>
      <c r="E51" s="777">
        <v>0</v>
      </c>
      <c r="F51" s="777">
        <v>1</v>
      </c>
      <c r="G51" s="777">
        <v>4</v>
      </c>
      <c r="H51" s="776">
        <v>3</v>
      </c>
      <c r="I51" s="776">
        <v>0</v>
      </c>
      <c r="J51" s="776">
        <v>1</v>
      </c>
      <c r="K51" s="777">
        <v>6</v>
      </c>
      <c r="L51" s="763"/>
    </row>
    <row r="52" spans="1:12">
      <c r="A52" s="762" t="s">
        <v>119</v>
      </c>
      <c r="B52" s="775" t="s">
        <v>283</v>
      </c>
      <c r="C52" s="777">
        <v>311</v>
      </c>
      <c r="D52" s="777">
        <v>105</v>
      </c>
      <c r="E52" s="777">
        <v>181</v>
      </c>
      <c r="F52" s="777">
        <v>25</v>
      </c>
      <c r="G52" s="777">
        <v>521</v>
      </c>
      <c r="H52" s="776">
        <v>121</v>
      </c>
      <c r="I52" s="776">
        <v>334</v>
      </c>
      <c r="J52" s="776">
        <v>66</v>
      </c>
      <c r="K52" s="777">
        <v>832</v>
      </c>
      <c r="L52" s="763"/>
    </row>
    <row r="53" spans="1:12">
      <c r="A53" s="762" t="s">
        <v>121</v>
      </c>
      <c r="B53" s="775" t="s">
        <v>122</v>
      </c>
      <c r="C53" s="777">
        <v>312</v>
      </c>
      <c r="D53" s="777">
        <v>127</v>
      </c>
      <c r="E53" s="777">
        <v>165</v>
      </c>
      <c r="F53" s="777">
        <v>20</v>
      </c>
      <c r="G53" s="777">
        <v>508</v>
      </c>
      <c r="H53" s="776">
        <v>164</v>
      </c>
      <c r="I53" s="776">
        <v>270</v>
      </c>
      <c r="J53" s="776">
        <v>74</v>
      </c>
      <c r="K53" s="777">
        <v>820</v>
      </c>
      <c r="L53" s="763"/>
    </row>
    <row r="54" spans="1:12">
      <c r="A54" s="762" t="s">
        <v>123</v>
      </c>
      <c r="B54" s="775" t="s">
        <v>351</v>
      </c>
      <c r="C54" s="777">
        <v>63</v>
      </c>
      <c r="D54" s="777">
        <v>24</v>
      </c>
      <c r="E54" s="777">
        <v>34</v>
      </c>
      <c r="F54" s="777">
        <v>5</v>
      </c>
      <c r="G54" s="777">
        <v>99</v>
      </c>
      <c r="H54" s="776">
        <v>27</v>
      </c>
      <c r="I54" s="776">
        <v>60</v>
      </c>
      <c r="J54" s="776">
        <v>12</v>
      </c>
      <c r="K54" s="777">
        <v>162</v>
      </c>
      <c r="L54" s="763"/>
    </row>
    <row r="55" spans="1:12">
      <c r="A55" s="762" t="s">
        <v>125</v>
      </c>
      <c r="B55" s="775" t="s">
        <v>126</v>
      </c>
      <c r="C55" s="777">
        <v>106</v>
      </c>
      <c r="D55" s="777">
        <v>49</v>
      </c>
      <c r="E55" s="777">
        <v>50</v>
      </c>
      <c r="F55" s="777">
        <v>7</v>
      </c>
      <c r="G55" s="777">
        <v>224</v>
      </c>
      <c r="H55" s="776">
        <v>83</v>
      </c>
      <c r="I55" s="776">
        <v>109</v>
      </c>
      <c r="J55" s="776">
        <v>32</v>
      </c>
      <c r="K55" s="777">
        <v>330</v>
      </c>
      <c r="L55" s="763"/>
    </row>
    <row r="56" spans="1:12">
      <c r="A56" s="762" t="s">
        <v>127</v>
      </c>
      <c r="B56" s="775" t="s">
        <v>128</v>
      </c>
      <c r="C56" s="777">
        <v>103</v>
      </c>
      <c r="D56" s="777">
        <v>55</v>
      </c>
      <c r="E56" s="777">
        <v>44</v>
      </c>
      <c r="F56" s="777">
        <v>4</v>
      </c>
      <c r="G56" s="777">
        <v>192</v>
      </c>
      <c r="H56" s="776">
        <v>100</v>
      </c>
      <c r="I56" s="776">
        <v>86</v>
      </c>
      <c r="J56" s="776">
        <v>6</v>
      </c>
      <c r="K56" s="777">
        <v>295</v>
      </c>
      <c r="L56" s="763"/>
    </row>
    <row r="57" spans="1:12">
      <c r="A57" s="762" t="s">
        <v>129</v>
      </c>
      <c r="B57" s="775" t="s">
        <v>130</v>
      </c>
      <c r="C57" s="777">
        <v>91</v>
      </c>
      <c r="D57" s="777">
        <v>17</v>
      </c>
      <c r="E57" s="777">
        <v>74</v>
      </c>
      <c r="F57" s="777">
        <v>0</v>
      </c>
      <c r="G57" s="777">
        <v>159</v>
      </c>
      <c r="H57" s="776">
        <v>20</v>
      </c>
      <c r="I57" s="776">
        <v>136</v>
      </c>
      <c r="J57" s="776">
        <v>3</v>
      </c>
      <c r="K57" s="777">
        <v>250</v>
      </c>
      <c r="L57" s="763"/>
    </row>
    <row r="58" spans="1:12">
      <c r="A58" s="762" t="s">
        <v>131</v>
      </c>
      <c r="B58" s="775" t="s">
        <v>132</v>
      </c>
      <c r="C58" s="777">
        <v>588</v>
      </c>
      <c r="D58" s="777">
        <v>569</v>
      </c>
      <c r="E58" s="777">
        <v>8</v>
      </c>
      <c r="F58" s="777">
        <v>11</v>
      </c>
      <c r="G58" s="777">
        <v>838</v>
      </c>
      <c r="H58" s="776">
        <v>782</v>
      </c>
      <c r="I58" s="776">
        <v>18</v>
      </c>
      <c r="J58" s="776">
        <v>38</v>
      </c>
      <c r="K58" s="777">
        <v>1426</v>
      </c>
      <c r="L58" s="763"/>
    </row>
    <row r="59" spans="1:12">
      <c r="A59" s="762" t="s">
        <v>133</v>
      </c>
      <c r="B59" s="775" t="s">
        <v>134</v>
      </c>
      <c r="C59" s="777">
        <v>590</v>
      </c>
      <c r="D59" s="777">
        <v>300</v>
      </c>
      <c r="E59" s="777">
        <v>182</v>
      </c>
      <c r="F59" s="777">
        <v>108</v>
      </c>
      <c r="G59" s="777">
        <v>964</v>
      </c>
      <c r="H59" s="776">
        <v>402</v>
      </c>
      <c r="I59" s="776">
        <v>367</v>
      </c>
      <c r="J59" s="776">
        <v>195</v>
      </c>
      <c r="K59" s="777">
        <v>1554</v>
      </c>
      <c r="L59" s="763"/>
    </row>
    <row r="60" spans="1:12">
      <c r="A60" s="762" t="s">
        <v>135</v>
      </c>
      <c r="B60" s="775" t="s">
        <v>136</v>
      </c>
      <c r="C60" s="777">
        <v>239</v>
      </c>
      <c r="D60" s="777">
        <v>146</v>
      </c>
      <c r="E60" s="777">
        <v>75</v>
      </c>
      <c r="F60" s="777">
        <v>18</v>
      </c>
      <c r="G60" s="777">
        <v>412</v>
      </c>
      <c r="H60" s="776">
        <v>208</v>
      </c>
      <c r="I60" s="776">
        <v>141</v>
      </c>
      <c r="J60" s="776">
        <v>63</v>
      </c>
      <c r="K60" s="777">
        <v>651</v>
      </c>
      <c r="L60" s="763"/>
    </row>
    <row r="61" spans="1:12">
      <c r="A61" s="762" t="s">
        <v>137</v>
      </c>
      <c r="B61" s="775" t="s">
        <v>138</v>
      </c>
      <c r="C61" s="777">
        <v>125</v>
      </c>
      <c r="D61" s="777">
        <v>40</v>
      </c>
      <c r="E61" s="777">
        <v>81</v>
      </c>
      <c r="F61" s="777">
        <v>4</v>
      </c>
      <c r="G61" s="777">
        <v>224</v>
      </c>
      <c r="H61" s="776">
        <v>59</v>
      </c>
      <c r="I61" s="776">
        <v>146</v>
      </c>
      <c r="J61" s="776">
        <v>19</v>
      </c>
      <c r="K61" s="777">
        <v>349</v>
      </c>
      <c r="L61" s="763"/>
    </row>
    <row r="62" spans="1:12">
      <c r="A62" s="762" t="s">
        <v>141</v>
      </c>
      <c r="B62" s="775" t="s">
        <v>142</v>
      </c>
      <c r="C62" s="777">
        <v>62</v>
      </c>
      <c r="D62" s="777">
        <v>48</v>
      </c>
      <c r="E62" s="777">
        <v>13</v>
      </c>
      <c r="F62" s="777">
        <v>1</v>
      </c>
      <c r="G62" s="777">
        <v>111</v>
      </c>
      <c r="H62" s="776">
        <v>74</v>
      </c>
      <c r="I62" s="776">
        <v>32</v>
      </c>
      <c r="J62" s="776">
        <v>5</v>
      </c>
      <c r="K62" s="777">
        <v>173</v>
      </c>
      <c r="L62" s="763"/>
    </row>
    <row r="63" spans="1:12">
      <c r="A63" s="762" t="s">
        <v>147</v>
      </c>
      <c r="B63" s="775" t="s">
        <v>148</v>
      </c>
      <c r="C63" s="777">
        <v>44</v>
      </c>
      <c r="D63" s="777">
        <v>34</v>
      </c>
      <c r="E63" s="777">
        <v>10</v>
      </c>
      <c r="F63" s="777">
        <v>0</v>
      </c>
      <c r="G63" s="777">
        <v>77</v>
      </c>
      <c r="H63" s="776">
        <v>60</v>
      </c>
      <c r="I63" s="776">
        <v>16</v>
      </c>
      <c r="J63" s="776">
        <v>1</v>
      </c>
      <c r="K63" s="777">
        <v>121</v>
      </c>
      <c r="L63" s="763"/>
    </row>
    <row r="64" spans="1:12">
      <c r="A64" s="762" t="s">
        <v>149</v>
      </c>
      <c r="B64" s="775" t="s">
        <v>150</v>
      </c>
      <c r="C64" s="777">
        <v>321</v>
      </c>
      <c r="D64" s="777">
        <v>99</v>
      </c>
      <c r="E64" s="777">
        <v>220</v>
      </c>
      <c r="F64" s="777">
        <v>2</v>
      </c>
      <c r="G64" s="777">
        <v>599</v>
      </c>
      <c r="H64" s="776">
        <v>137</v>
      </c>
      <c r="I64" s="776">
        <v>440</v>
      </c>
      <c r="J64" s="776">
        <v>22</v>
      </c>
      <c r="K64" s="777">
        <v>920</v>
      </c>
      <c r="L64" s="763"/>
    </row>
    <row r="65" spans="1:12">
      <c r="A65" s="762" t="s">
        <v>151</v>
      </c>
      <c r="B65" s="775" t="s">
        <v>152</v>
      </c>
      <c r="C65" s="777">
        <v>91</v>
      </c>
      <c r="D65" s="777">
        <v>54</v>
      </c>
      <c r="E65" s="777">
        <v>33</v>
      </c>
      <c r="F65" s="777">
        <v>4</v>
      </c>
      <c r="G65" s="777">
        <v>131</v>
      </c>
      <c r="H65" s="776">
        <v>76</v>
      </c>
      <c r="I65" s="776">
        <v>45</v>
      </c>
      <c r="J65" s="776">
        <v>10</v>
      </c>
      <c r="K65" s="777">
        <v>222</v>
      </c>
      <c r="L65" s="763"/>
    </row>
    <row r="66" spans="1:12">
      <c r="A66" s="762" t="s">
        <v>153</v>
      </c>
      <c r="B66" s="775" t="s">
        <v>154</v>
      </c>
      <c r="C66" s="777">
        <v>838</v>
      </c>
      <c r="D66" s="777">
        <v>685</v>
      </c>
      <c r="E66" s="777">
        <v>82</v>
      </c>
      <c r="F66" s="777">
        <v>71</v>
      </c>
      <c r="G66" s="777">
        <v>1231</v>
      </c>
      <c r="H66" s="776">
        <v>902</v>
      </c>
      <c r="I66" s="776">
        <v>151</v>
      </c>
      <c r="J66" s="776">
        <v>178</v>
      </c>
      <c r="K66" s="777">
        <v>2069</v>
      </c>
      <c r="L66" s="763"/>
    </row>
    <row r="67" spans="1:12">
      <c r="A67" s="762" t="s">
        <v>155</v>
      </c>
      <c r="B67" s="775" t="s">
        <v>156</v>
      </c>
      <c r="C67" s="777">
        <v>80</v>
      </c>
      <c r="D67" s="777">
        <v>59</v>
      </c>
      <c r="E67" s="777">
        <v>15</v>
      </c>
      <c r="F67" s="777">
        <v>6</v>
      </c>
      <c r="G67" s="777">
        <v>132</v>
      </c>
      <c r="H67" s="776">
        <v>84</v>
      </c>
      <c r="I67" s="776">
        <v>34</v>
      </c>
      <c r="J67" s="776">
        <v>14</v>
      </c>
      <c r="K67" s="777">
        <v>212</v>
      </c>
      <c r="L67" s="763"/>
    </row>
    <row r="68" spans="1:12">
      <c r="A68" s="762" t="s">
        <v>157</v>
      </c>
      <c r="B68" s="775" t="s">
        <v>158</v>
      </c>
      <c r="C68" s="777">
        <v>92</v>
      </c>
      <c r="D68" s="777">
        <v>66</v>
      </c>
      <c r="E68" s="777">
        <v>20</v>
      </c>
      <c r="F68" s="777">
        <v>6</v>
      </c>
      <c r="G68" s="777">
        <v>146</v>
      </c>
      <c r="H68" s="776">
        <v>87</v>
      </c>
      <c r="I68" s="776">
        <v>49</v>
      </c>
      <c r="J68" s="776">
        <v>10</v>
      </c>
      <c r="K68" s="777">
        <v>238</v>
      </c>
      <c r="L68" s="763"/>
    </row>
    <row r="69" spans="1:12">
      <c r="A69" s="762" t="s">
        <v>163</v>
      </c>
      <c r="B69" s="775" t="s">
        <v>164</v>
      </c>
      <c r="C69" s="777">
        <v>228</v>
      </c>
      <c r="D69" s="777">
        <v>71</v>
      </c>
      <c r="E69" s="777">
        <v>150</v>
      </c>
      <c r="F69" s="777">
        <v>7</v>
      </c>
      <c r="G69" s="777">
        <v>387</v>
      </c>
      <c r="H69" s="776">
        <v>124</v>
      </c>
      <c r="I69" s="776">
        <v>242</v>
      </c>
      <c r="J69" s="776">
        <v>21</v>
      </c>
      <c r="K69" s="777">
        <v>615</v>
      </c>
      <c r="L69" s="763"/>
    </row>
    <row r="70" spans="1:12">
      <c r="A70" s="762" t="s">
        <v>165</v>
      </c>
      <c r="B70" s="775" t="s">
        <v>166</v>
      </c>
      <c r="C70" s="777">
        <v>60</v>
      </c>
      <c r="D70" s="777">
        <v>19</v>
      </c>
      <c r="E70" s="777">
        <v>39</v>
      </c>
      <c r="F70" s="777">
        <v>2</v>
      </c>
      <c r="G70" s="777">
        <v>108</v>
      </c>
      <c r="H70" s="776">
        <v>31</v>
      </c>
      <c r="I70" s="776">
        <v>71</v>
      </c>
      <c r="J70" s="776">
        <v>6</v>
      </c>
      <c r="K70" s="777">
        <v>168</v>
      </c>
      <c r="L70" s="763"/>
    </row>
    <row r="71" spans="1:12">
      <c r="A71" s="762" t="s">
        <v>169</v>
      </c>
      <c r="B71" s="775" t="s">
        <v>170</v>
      </c>
      <c r="C71" s="777">
        <v>282</v>
      </c>
      <c r="D71" s="777">
        <v>77</v>
      </c>
      <c r="E71" s="777">
        <v>188</v>
      </c>
      <c r="F71" s="777">
        <v>17</v>
      </c>
      <c r="G71" s="777">
        <v>437</v>
      </c>
      <c r="H71" s="776">
        <v>100</v>
      </c>
      <c r="I71" s="776">
        <v>291</v>
      </c>
      <c r="J71" s="776">
        <v>46</v>
      </c>
      <c r="K71" s="777">
        <v>719</v>
      </c>
      <c r="L71" s="763"/>
    </row>
    <row r="72" spans="1:12">
      <c r="A72" s="762" t="s">
        <v>171</v>
      </c>
      <c r="B72" s="775" t="s">
        <v>172</v>
      </c>
      <c r="C72" s="777">
        <v>167</v>
      </c>
      <c r="D72" s="777">
        <v>110</v>
      </c>
      <c r="E72" s="777">
        <v>44</v>
      </c>
      <c r="F72" s="777">
        <v>13</v>
      </c>
      <c r="G72" s="777">
        <v>299</v>
      </c>
      <c r="H72" s="776">
        <v>165</v>
      </c>
      <c r="I72" s="776">
        <v>102</v>
      </c>
      <c r="J72" s="776">
        <v>32</v>
      </c>
      <c r="K72" s="777">
        <v>466</v>
      </c>
      <c r="L72" s="763"/>
    </row>
    <row r="73" spans="1:12">
      <c r="A73" s="762" t="s">
        <v>173</v>
      </c>
      <c r="B73" s="775" t="s">
        <v>174</v>
      </c>
      <c r="C73" s="777">
        <v>209</v>
      </c>
      <c r="D73" s="777">
        <v>195</v>
      </c>
      <c r="E73" s="777">
        <v>8</v>
      </c>
      <c r="F73" s="777">
        <v>6</v>
      </c>
      <c r="G73" s="777">
        <v>313</v>
      </c>
      <c r="H73" s="776">
        <v>281</v>
      </c>
      <c r="I73" s="776">
        <v>20</v>
      </c>
      <c r="J73" s="776">
        <v>12</v>
      </c>
      <c r="K73" s="777">
        <v>522</v>
      </c>
      <c r="L73" s="763"/>
    </row>
    <row r="74" spans="1:12">
      <c r="A74" s="762" t="s">
        <v>175</v>
      </c>
      <c r="B74" s="775" t="s">
        <v>176</v>
      </c>
      <c r="C74" s="777">
        <v>262</v>
      </c>
      <c r="D74" s="777">
        <v>231</v>
      </c>
      <c r="E74" s="777">
        <v>23</v>
      </c>
      <c r="F74" s="777">
        <v>8</v>
      </c>
      <c r="G74" s="777">
        <v>361</v>
      </c>
      <c r="H74" s="776">
        <v>299</v>
      </c>
      <c r="I74" s="776">
        <v>44</v>
      </c>
      <c r="J74" s="776">
        <v>18</v>
      </c>
      <c r="K74" s="777">
        <v>623</v>
      </c>
      <c r="L74" s="763"/>
    </row>
    <row r="75" spans="1:12">
      <c r="A75" s="762" t="s">
        <v>179</v>
      </c>
      <c r="B75" s="775" t="s">
        <v>180</v>
      </c>
      <c r="C75" s="777">
        <v>495</v>
      </c>
      <c r="D75" s="777">
        <v>254</v>
      </c>
      <c r="E75" s="777">
        <v>205</v>
      </c>
      <c r="F75" s="777">
        <v>36</v>
      </c>
      <c r="G75" s="777">
        <v>860</v>
      </c>
      <c r="H75" s="776">
        <v>412</v>
      </c>
      <c r="I75" s="776">
        <v>356</v>
      </c>
      <c r="J75" s="776">
        <v>92</v>
      </c>
      <c r="K75" s="777">
        <v>1355</v>
      </c>
      <c r="L75" s="763"/>
    </row>
    <row r="76" spans="1:12">
      <c r="A76" s="762" t="s">
        <v>183</v>
      </c>
      <c r="B76" s="775" t="s">
        <v>184</v>
      </c>
      <c r="C76" s="777">
        <v>106</v>
      </c>
      <c r="D76" s="777">
        <v>65</v>
      </c>
      <c r="E76" s="777">
        <v>20</v>
      </c>
      <c r="F76" s="777">
        <v>21</v>
      </c>
      <c r="G76" s="777">
        <v>162</v>
      </c>
      <c r="H76" s="776">
        <v>100</v>
      </c>
      <c r="I76" s="776">
        <v>39</v>
      </c>
      <c r="J76" s="776">
        <v>23</v>
      </c>
      <c r="K76" s="777">
        <v>268</v>
      </c>
      <c r="L76" s="763"/>
    </row>
    <row r="77" spans="1:12">
      <c r="A77" s="762" t="s">
        <v>185</v>
      </c>
      <c r="B77" s="775" t="s">
        <v>186</v>
      </c>
      <c r="C77" s="777">
        <v>295</v>
      </c>
      <c r="D77" s="777">
        <v>81</v>
      </c>
      <c r="E77" s="777">
        <v>205</v>
      </c>
      <c r="F77" s="777">
        <v>9</v>
      </c>
      <c r="G77" s="777">
        <v>500</v>
      </c>
      <c r="H77" s="776">
        <v>115</v>
      </c>
      <c r="I77" s="776">
        <v>340</v>
      </c>
      <c r="J77" s="776">
        <v>45</v>
      </c>
      <c r="K77" s="777">
        <v>795</v>
      </c>
      <c r="L77" s="763"/>
    </row>
    <row r="78" spans="1:12">
      <c r="A78" s="762" t="s">
        <v>187</v>
      </c>
      <c r="B78" s="775" t="s">
        <v>188</v>
      </c>
      <c r="C78" s="777">
        <v>194</v>
      </c>
      <c r="D78" s="777">
        <v>99</v>
      </c>
      <c r="E78" s="777">
        <v>82</v>
      </c>
      <c r="F78" s="777">
        <v>13</v>
      </c>
      <c r="G78" s="777">
        <v>308</v>
      </c>
      <c r="H78" s="776">
        <v>128</v>
      </c>
      <c r="I78" s="776">
        <v>150</v>
      </c>
      <c r="J78" s="776">
        <v>30</v>
      </c>
      <c r="K78" s="777">
        <v>502</v>
      </c>
      <c r="L78" s="763"/>
    </row>
    <row r="79" spans="1:12">
      <c r="A79" s="762" t="s">
        <v>189</v>
      </c>
      <c r="B79" s="775" t="s">
        <v>190</v>
      </c>
      <c r="C79" s="777">
        <v>2936</v>
      </c>
      <c r="D79" s="777">
        <v>1157</v>
      </c>
      <c r="E79" s="777">
        <v>1228</v>
      </c>
      <c r="F79" s="777">
        <v>551</v>
      </c>
      <c r="G79" s="777">
        <v>4940</v>
      </c>
      <c r="H79" s="776">
        <v>1638</v>
      </c>
      <c r="I79" s="776">
        <v>2249</v>
      </c>
      <c r="J79" s="776">
        <v>1053</v>
      </c>
      <c r="K79" s="777">
        <v>7876</v>
      </c>
      <c r="L79" s="763"/>
    </row>
    <row r="80" spans="1:12">
      <c r="A80" s="762" t="s">
        <v>191</v>
      </c>
      <c r="B80" s="775" t="s">
        <v>192</v>
      </c>
      <c r="C80" s="777">
        <v>413</v>
      </c>
      <c r="D80" s="777">
        <v>349</v>
      </c>
      <c r="E80" s="777">
        <v>54</v>
      </c>
      <c r="F80" s="777">
        <v>10</v>
      </c>
      <c r="G80" s="777">
        <v>635</v>
      </c>
      <c r="H80" s="776">
        <v>466</v>
      </c>
      <c r="I80" s="776">
        <v>117</v>
      </c>
      <c r="J80" s="776">
        <v>52</v>
      </c>
      <c r="K80" s="777">
        <v>1048</v>
      </c>
      <c r="L80" s="763"/>
    </row>
    <row r="81" spans="1:12">
      <c r="A81" s="762" t="s">
        <v>195</v>
      </c>
      <c r="B81" s="775" t="s">
        <v>196</v>
      </c>
      <c r="C81" s="777">
        <v>13</v>
      </c>
      <c r="D81" s="777">
        <v>10</v>
      </c>
      <c r="E81" s="777">
        <v>3</v>
      </c>
      <c r="F81" s="777">
        <v>0</v>
      </c>
      <c r="G81" s="777">
        <v>25</v>
      </c>
      <c r="H81" s="776">
        <v>17</v>
      </c>
      <c r="I81" s="776">
        <v>7</v>
      </c>
      <c r="J81" s="776">
        <v>1</v>
      </c>
      <c r="K81" s="777">
        <v>38</v>
      </c>
      <c r="L81" s="763"/>
    </row>
    <row r="82" spans="1:12">
      <c r="A82" s="762" t="s">
        <v>199</v>
      </c>
      <c r="B82" s="775" t="s">
        <v>285</v>
      </c>
      <c r="C82" s="777">
        <v>71</v>
      </c>
      <c r="D82" s="777">
        <v>19</v>
      </c>
      <c r="E82" s="777">
        <v>49</v>
      </c>
      <c r="F82" s="777">
        <v>3</v>
      </c>
      <c r="G82" s="777">
        <v>127</v>
      </c>
      <c r="H82" s="776">
        <v>35</v>
      </c>
      <c r="I82" s="776">
        <v>77</v>
      </c>
      <c r="J82" s="776">
        <v>15</v>
      </c>
      <c r="K82" s="777">
        <v>198</v>
      </c>
      <c r="L82" s="763"/>
    </row>
    <row r="83" spans="1:12">
      <c r="A83" s="762" t="s">
        <v>203</v>
      </c>
      <c r="B83" s="775" t="s">
        <v>368</v>
      </c>
      <c r="C83" s="777">
        <v>629</v>
      </c>
      <c r="D83" s="777">
        <v>425</v>
      </c>
      <c r="E83" s="777">
        <v>150</v>
      </c>
      <c r="F83" s="777">
        <v>54</v>
      </c>
      <c r="G83" s="777">
        <v>1091</v>
      </c>
      <c r="H83" s="776">
        <v>659</v>
      </c>
      <c r="I83" s="776">
        <v>301</v>
      </c>
      <c r="J83" s="776">
        <v>131</v>
      </c>
      <c r="K83" s="777">
        <v>1720</v>
      </c>
      <c r="L83" s="763"/>
    </row>
    <row r="84" spans="1:12">
      <c r="A84" s="762" t="s">
        <v>205</v>
      </c>
      <c r="B84" s="775" t="s">
        <v>359</v>
      </c>
      <c r="C84" s="777">
        <v>209</v>
      </c>
      <c r="D84" s="777">
        <v>171</v>
      </c>
      <c r="E84" s="777">
        <v>28</v>
      </c>
      <c r="F84" s="777">
        <v>10</v>
      </c>
      <c r="G84" s="777">
        <v>320</v>
      </c>
      <c r="H84" s="776">
        <v>217</v>
      </c>
      <c r="I84" s="776">
        <v>48</v>
      </c>
      <c r="J84" s="776">
        <v>55</v>
      </c>
      <c r="K84" s="777">
        <v>529</v>
      </c>
      <c r="L84" s="763"/>
    </row>
    <row r="85" spans="1:12">
      <c r="A85" s="762" t="s">
        <v>207</v>
      </c>
      <c r="B85" s="775" t="s">
        <v>360</v>
      </c>
      <c r="C85" s="777">
        <v>849</v>
      </c>
      <c r="D85" s="777">
        <v>617</v>
      </c>
      <c r="E85" s="777">
        <v>97</v>
      </c>
      <c r="F85" s="777">
        <v>135</v>
      </c>
      <c r="G85" s="777">
        <v>1394</v>
      </c>
      <c r="H85" s="776">
        <v>911</v>
      </c>
      <c r="I85" s="776">
        <v>207</v>
      </c>
      <c r="J85" s="776">
        <v>276</v>
      </c>
      <c r="K85" s="777">
        <v>2243</v>
      </c>
      <c r="L85" s="763"/>
    </row>
    <row r="86" spans="1:12">
      <c r="A86" s="762" t="s">
        <v>209</v>
      </c>
      <c r="B86" s="775" t="s">
        <v>210</v>
      </c>
      <c r="C86" s="777">
        <v>557</v>
      </c>
      <c r="D86" s="777">
        <v>525</v>
      </c>
      <c r="E86" s="777">
        <v>5</v>
      </c>
      <c r="F86" s="777">
        <v>27</v>
      </c>
      <c r="G86" s="777">
        <v>736</v>
      </c>
      <c r="H86" s="776">
        <v>639</v>
      </c>
      <c r="I86" s="776">
        <v>10</v>
      </c>
      <c r="J86" s="776">
        <v>87</v>
      </c>
      <c r="K86" s="777">
        <v>1293</v>
      </c>
      <c r="L86" s="763"/>
    </row>
    <row r="87" spans="1:12">
      <c r="A87" s="762" t="s">
        <v>211</v>
      </c>
      <c r="B87" s="775" t="s">
        <v>212</v>
      </c>
      <c r="C87" s="777">
        <v>456</v>
      </c>
      <c r="D87" s="777">
        <v>432</v>
      </c>
      <c r="E87" s="777">
        <v>2</v>
      </c>
      <c r="F87" s="777">
        <v>22</v>
      </c>
      <c r="G87" s="777">
        <v>595</v>
      </c>
      <c r="H87" s="776">
        <v>542</v>
      </c>
      <c r="I87" s="776">
        <v>11</v>
      </c>
      <c r="J87" s="776">
        <v>42</v>
      </c>
      <c r="K87" s="777">
        <v>1051</v>
      </c>
      <c r="L87" s="763"/>
    </row>
    <row r="88" spans="1:12">
      <c r="A88" s="762" t="s">
        <v>213</v>
      </c>
      <c r="B88" s="775" t="s">
        <v>214</v>
      </c>
      <c r="C88" s="777">
        <v>150</v>
      </c>
      <c r="D88" s="777">
        <v>118</v>
      </c>
      <c r="E88" s="777">
        <v>6</v>
      </c>
      <c r="F88" s="777">
        <v>26</v>
      </c>
      <c r="G88" s="777">
        <v>236</v>
      </c>
      <c r="H88" s="776">
        <v>181</v>
      </c>
      <c r="I88" s="776">
        <v>16</v>
      </c>
      <c r="J88" s="776">
        <v>39</v>
      </c>
      <c r="K88" s="777">
        <v>386</v>
      </c>
      <c r="L88" s="763"/>
    </row>
    <row r="89" spans="1:12">
      <c r="A89" s="762" t="s">
        <v>215</v>
      </c>
      <c r="B89" s="775" t="s">
        <v>216</v>
      </c>
      <c r="C89" s="777">
        <v>507</v>
      </c>
      <c r="D89" s="777">
        <v>482</v>
      </c>
      <c r="E89" s="777">
        <v>14</v>
      </c>
      <c r="F89" s="777">
        <v>11</v>
      </c>
      <c r="G89" s="777">
        <v>707</v>
      </c>
      <c r="H89" s="776">
        <v>611</v>
      </c>
      <c r="I89" s="776">
        <v>26</v>
      </c>
      <c r="J89" s="776">
        <v>70</v>
      </c>
      <c r="K89" s="777">
        <v>1214</v>
      </c>
      <c r="L89" s="763"/>
    </row>
    <row r="90" spans="1:12">
      <c r="A90" s="762" t="s">
        <v>217</v>
      </c>
      <c r="B90" s="775" t="s">
        <v>218</v>
      </c>
      <c r="C90" s="777">
        <v>260</v>
      </c>
      <c r="D90" s="777">
        <v>61</v>
      </c>
      <c r="E90" s="777">
        <v>187</v>
      </c>
      <c r="F90" s="777">
        <v>12</v>
      </c>
      <c r="G90" s="777">
        <v>439</v>
      </c>
      <c r="H90" s="776">
        <v>73</v>
      </c>
      <c r="I90" s="776">
        <v>326</v>
      </c>
      <c r="J90" s="776">
        <v>40</v>
      </c>
      <c r="K90" s="777">
        <v>699</v>
      </c>
      <c r="L90" s="763"/>
    </row>
    <row r="91" spans="1:12">
      <c r="A91" s="762" t="s">
        <v>219</v>
      </c>
      <c r="B91" s="775" t="s">
        <v>220</v>
      </c>
      <c r="C91" s="777">
        <v>882</v>
      </c>
      <c r="D91" s="777">
        <v>477</v>
      </c>
      <c r="E91" s="777">
        <v>344</v>
      </c>
      <c r="F91" s="777">
        <v>61</v>
      </c>
      <c r="G91" s="777">
        <v>1586</v>
      </c>
      <c r="H91" s="776">
        <v>688</v>
      </c>
      <c r="I91" s="776">
        <v>740</v>
      </c>
      <c r="J91" s="776">
        <v>158</v>
      </c>
      <c r="K91" s="777">
        <v>2468</v>
      </c>
      <c r="L91" s="763"/>
    </row>
    <row r="92" spans="1:12">
      <c r="A92" s="762" t="s">
        <v>221</v>
      </c>
      <c r="B92" s="775" t="s">
        <v>222</v>
      </c>
      <c r="C92" s="777">
        <v>638</v>
      </c>
      <c r="D92" s="777">
        <v>271</v>
      </c>
      <c r="E92" s="777">
        <v>257</v>
      </c>
      <c r="F92" s="777">
        <v>110</v>
      </c>
      <c r="G92" s="777">
        <v>1161</v>
      </c>
      <c r="H92" s="776">
        <v>412</v>
      </c>
      <c r="I92" s="776">
        <v>500</v>
      </c>
      <c r="J92" s="776">
        <v>249</v>
      </c>
      <c r="K92" s="777">
        <v>1799</v>
      </c>
      <c r="L92" s="763"/>
    </row>
    <row r="93" spans="1:12">
      <c r="A93" s="762" t="s">
        <v>225</v>
      </c>
      <c r="B93" s="775" t="s">
        <v>226</v>
      </c>
      <c r="C93" s="777">
        <v>99</v>
      </c>
      <c r="D93" s="777">
        <v>36</v>
      </c>
      <c r="E93" s="777">
        <v>60</v>
      </c>
      <c r="F93" s="777">
        <v>3</v>
      </c>
      <c r="G93" s="777">
        <v>162</v>
      </c>
      <c r="H93" s="776">
        <v>46</v>
      </c>
      <c r="I93" s="776">
        <v>106</v>
      </c>
      <c r="J93" s="776">
        <v>10</v>
      </c>
      <c r="K93" s="777">
        <v>261</v>
      </c>
      <c r="L93" s="763"/>
    </row>
    <row r="94" spans="1:12">
      <c r="A94" s="762" t="s">
        <v>227</v>
      </c>
      <c r="B94" s="775" t="s">
        <v>228</v>
      </c>
      <c r="C94" s="777">
        <v>156</v>
      </c>
      <c r="D94" s="777">
        <v>36</v>
      </c>
      <c r="E94" s="777">
        <v>114</v>
      </c>
      <c r="F94" s="777">
        <v>6</v>
      </c>
      <c r="G94" s="777">
        <v>277</v>
      </c>
      <c r="H94" s="776">
        <v>41</v>
      </c>
      <c r="I94" s="776">
        <v>204</v>
      </c>
      <c r="J94" s="776">
        <v>32</v>
      </c>
      <c r="K94" s="777">
        <v>433</v>
      </c>
      <c r="L94" s="763"/>
    </row>
    <row r="95" spans="1:12">
      <c r="A95" s="762" t="s">
        <v>229</v>
      </c>
      <c r="B95" s="775" t="s">
        <v>230</v>
      </c>
      <c r="C95" s="777">
        <v>591</v>
      </c>
      <c r="D95" s="777">
        <v>527</v>
      </c>
      <c r="E95" s="777">
        <v>26</v>
      </c>
      <c r="F95" s="777">
        <v>38</v>
      </c>
      <c r="G95" s="777">
        <v>863</v>
      </c>
      <c r="H95" s="776">
        <v>713</v>
      </c>
      <c r="I95" s="776">
        <v>53</v>
      </c>
      <c r="J95" s="776">
        <v>97</v>
      </c>
      <c r="K95" s="777">
        <v>1454</v>
      </c>
      <c r="L95" s="763"/>
    </row>
    <row r="96" spans="1:12">
      <c r="A96" s="762" t="s">
        <v>233</v>
      </c>
      <c r="B96" s="775" t="s">
        <v>234</v>
      </c>
      <c r="C96" s="777">
        <v>291</v>
      </c>
      <c r="D96" s="777">
        <v>231</v>
      </c>
      <c r="E96" s="777">
        <v>37</v>
      </c>
      <c r="F96" s="777">
        <v>23</v>
      </c>
      <c r="G96" s="777">
        <v>476</v>
      </c>
      <c r="H96" s="776">
        <v>342</v>
      </c>
      <c r="I96" s="776">
        <v>82</v>
      </c>
      <c r="J96" s="776">
        <v>52</v>
      </c>
      <c r="K96" s="777">
        <v>767</v>
      </c>
      <c r="L96" s="763"/>
    </row>
    <row r="97" spans="1:12">
      <c r="A97" s="762" t="s">
        <v>235</v>
      </c>
      <c r="B97" s="775" t="s">
        <v>236</v>
      </c>
      <c r="C97" s="777">
        <v>480</v>
      </c>
      <c r="D97" s="777">
        <v>457</v>
      </c>
      <c r="E97" s="777">
        <v>16</v>
      </c>
      <c r="F97" s="777">
        <v>7</v>
      </c>
      <c r="G97" s="777">
        <v>708</v>
      </c>
      <c r="H97" s="776">
        <v>645</v>
      </c>
      <c r="I97" s="776">
        <v>32</v>
      </c>
      <c r="J97" s="776">
        <v>31</v>
      </c>
      <c r="K97" s="777">
        <v>1188</v>
      </c>
      <c r="L97" s="763"/>
    </row>
    <row r="98" spans="1:12">
      <c r="A98" s="762" t="s">
        <v>237</v>
      </c>
      <c r="B98" s="775" t="s">
        <v>238</v>
      </c>
      <c r="C98" s="777">
        <v>198</v>
      </c>
      <c r="D98" s="777">
        <v>71</v>
      </c>
      <c r="E98" s="777">
        <v>106</v>
      </c>
      <c r="F98" s="777">
        <v>21</v>
      </c>
      <c r="G98" s="777">
        <v>358</v>
      </c>
      <c r="H98" s="776">
        <v>107</v>
      </c>
      <c r="I98" s="776">
        <v>204</v>
      </c>
      <c r="J98" s="776">
        <v>47</v>
      </c>
      <c r="K98" s="777">
        <v>556</v>
      </c>
      <c r="L98" s="763"/>
    </row>
    <row r="99" spans="1:12">
      <c r="A99" s="762" t="s">
        <v>243</v>
      </c>
      <c r="B99" s="775" t="s">
        <v>244</v>
      </c>
      <c r="C99" s="777">
        <v>922</v>
      </c>
      <c r="D99" s="777">
        <v>853</v>
      </c>
      <c r="E99" s="777">
        <v>25</v>
      </c>
      <c r="F99" s="777">
        <v>44</v>
      </c>
      <c r="G99" s="777">
        <v>1216</v>
      </c>
      <c r="H99" s="776">
        <v>1023</v>
      </c>
      <c r="I99" s="776">
        <v>50</v>
      </c>
      <c r="J99" s="776">
        <v>143</v>
      </c>
      <c r="K99" s="777">
        <v>2138</v>
      </c>
      <c r="L99" s="763"/>
    </row>
    <row r="100" spans="1:12">
      <c r="A100" s="762" t="s">
        <v>245</v>
      </c>
      <c r="B100" s="775" t="s">
        <v>246</v>
      </c>
      <c r="C100" s="777">
        <v>315</v>
      </c>
      <c r="D100" s="777">
        <v>279</v>
      </c>
      <c r="E100" s="777">
        <v>16</v>
      </c>
      <c r="F100" s="777">
        <v>20</v>
      </c>
      <c r="G100" s="777">
        <v>497</v>
      </c>
      <c r="H100" s="776">
        <v>385</v>
      </c>
      <c r="I100" s="776">
        <v>54</v>
      </c>
      <c r="J100" s="776">
        <v>58</v>
      </c>
      <c r="K100" s="777">
        <v>812</v>
      </c>
      <c r="L100" s="763"/>
    </row>
    <row r="101" spans="1:12">
      <c r="A101" s="762" t="s">
        <v>247</v>
      </c>
      <c r="B101" s="775" t="s">
        <v>248</v>
      </c>
      <c r="C101" s="777">
        <v>272</v>
      </c>
      <c r="D101" s="777">
        <v>127</v>
      </c>
      <c r="E101" s="777">
        <v>121</v>
      </c>
      <c r="F101" s="777">
        <v>24</v>
      </c>
      <c r="G101" s="777">
        <v>480</v>
      </c>
      <c r="H101" s="776">
        <v>220</v>
      </c>
      <c r="I101" s="776">
        <v>230</v>
      </c>
      <c r="J101" s="776">
        <v>30</v>
      </c>
      <c r="K101" s="777">
        <v>752</v>
      </c>
      <c r="L101" s="763"/>
    </row>
    <row r="102" spans="1:12">
      <c r="A102" s="762" t="s">
        <v>14</v>
      </c>
      <c r="B102" s="775" t="s">
        <v>15</v>
      </c>
      <c r="C102" s="777">
        <v>1038</v>
      </c>
      <c r="D102" s="777">
        <v>248</v>
      </c>
      <c r="E102" s="777">
        <v>579</v>
      </c>
      <c r="F102" s="777">
        <v>211</v>
      </c>
      <c r="G102" s="777">
        <v>1558</v>
      </c>
      <c r="H102" s="776">
        <v>345</v>
      </c>
      <c r="I102" s="776">
        <v>861</v>
      </c>
      <c r="J102" s="776">
        <v>352</v>
      </c>
      <c r="K102" s="777">
        <v>2596</v>
      </c>
      <c r="L102" s="763"/>
    </row>
    <row r="103" spans="1:12">
      <c r="A103" s="762" t="s">
        <v>35</v>
      </c>
      <c r="B103" s="775" t="s">
        <v>36</v>
      </c>
      <c r="C103" s="777">
        <v>609</v>
      </c>
      <c r="D103" s="777">
        <v>521</v>
      </c>
      <c r="E103" s="777">
        <v>78</v>
      </c>
      <c r="F103" s="777">
        <v>10</v>
      </c>
      <c r="G103" s="777">
        <v>908</v>
      </c>
      <c r="H103" s="776">
        <v>700</v>
      </c>
      <c r="I103" s="776">
        <v>142</v>
      </c>
      <c r="J103" s="776">
        <v>66</v>
      </c>
      <c r="K103" s="777">
        <v>1517</v>
      </c>
      <c r="L103" s="763"/>
    </row>
    <row r="104" spans="1:12">
      <c r="A104" s="762" t="s">
        <v>53</v>
      </c>
      <c r="B104" s="775" t="s">
        <v>54</v>
      </c>
      <c r="C104" s="777">
        <v>641</v>
      </c>
      <c r="D104" s="777">
        <v>135</v>
      </c>
      <c r="E104" s="777">
        <v>441</v>
      </c>
      <c r="F104" s="777">
        <v>65</v>
      </c>
      <c r="G104" s="777">
        <v>1050</v>
      </c>
      <c r="H104" s="776">
        <v>156</v>
      </c>
      <c r="I104" s="776">
        <v>777</v>
      </c>
      <c r="J104" s="776">
        <v>117</v>
      </c>
      <c r="K104" s="777">
        <v>1691</v>
      </c>
      <c r="L104" s="763"/>
    </row>
    <row r="105" spans="1:12">
      <c r="A105" s="762" t="s">
        <v>55</v>
      </c>
      <c r="B105" s="775" t="s">
        <v>56</v>
      </c>
      <c r="C105" s="777">
        <v>2126</v>
      </c>
      <c r="D105" s="777">
        <v>515</v>
      </c>
      <c r="E105" s="777">
        <v>1514</v>
      </c>
      <c r="F105" s="777">
        <v>97</v>
      </c>
      <c r="G105" s="777">
        <v>3903</v>
      </c>
      <c r="H105" s="776">
        <v>725</v>
      </c>
      <c r="I105" s="776">
        <v>2849</v>
      </c>
      <c r="J105" s="776">
        <v>329</v>
      </c>
      <c r="K105" s="777">
        <v>6029</v>
      </c>
      <c r="L105" s="763"/>
    </row>
    <row r="106" spans="1:12">
      <c r="A106" s="762" t="s">
        <v>67</v>
      </c>
      <c r="B106" s="775" t="s">
        <v>68</v>
      </c>
      <c r="C106" s="777">
        <v>989</v>
      </c>
      <c r="D106" s="777">
        <v>196</v>
      </c>
      <c r="E106" s="777">
        <v>735</v>
      </c>
      <c r="F106" s="777">
        <v>58</v>
      </c>
      <c r="G106" s="777">
        <v>1708</v>
      </c>
      <c r="H106" s="776">
        <v>256</v>
      </c>
      <c r="I106" s="776">
        <v>1269</v>
      </c>
      <c r="J106" s="776">
        <v>183</v>
      </c>
      <c r="K106" s="777">
        <v>2697</v>
      </c>
      <c r="L106" s="763"/>
    </row>
    <row r="107" spans="1:12">
      <c r="A107" s="762" t="s">
        <v>83</v>
      </c>
      <c r="B107" s="775" t="s">
        <v>84</v>
      </c>
      <c r="C107" s="777">
        <v>217</v>
      </c>
      <c r="D107" s="777">
        <v>19</v>
      </c>
      <c r="E107" s="777">
        <v>187</v>
      </c>
      <c r="F107" s="777">
        <v>11</v>
      </c>
      <c r="G107" s="777">
        <v>427</v>
      </c>
      <c r="H107" s="776">
        <v>20</v>
      </c>
      <c r="I107" s="776">
        <v>344</v>
      </c>
      <c r="J107" s="776">
        <v>63</v>
      </c>
      <c r="K107" s="777">
        <v>644</v>
      </c>
      <c r="L107" s="763"/>
    </row>
    <row r="108" spans="1:12">
      <c r="A108" s="762" t="s">
        <v>89</v>
      </c>
      <c r="B108" s="775" t="s">
        <v>90</v>
      </c>
      <c r="C108" s="777">
        <v>452</v>
      </c>
      <c r="D108" s="777">
        <v>155</v>
      </c>
      <c r="E108" s="777">
        <v>249</v>
      </c>
      <c r="F108" s="777">
        <v>48</v>
      </c>
      <c r="G108" s="777">
        <v>767</v>
      </c>
      <c r="H108" s="776">
        <v>193</v>
      </c>
      <c r="I108" s="776">
        <v>490</v>
      </c>
      <c r="J108" s="776">
        <v>84</v>
      </c>
      <c r="K108" s="777">
        <v>1219</v>
      </c>
      <c r="L108" s="763"/>
    </row>
    <row r="109" spans="1:12">
      <c r="A109" s="762" t="s">
        <v>91</v>
      </c>
      <c r="B109" s="775" t="s">
        <v>92</v>
      </c>
      <c r="C109" s="777">
        <v>195</v>
      </c>
      <c r="D109" s="777">
        <v>157</v>
      </c>
      <c r="E109" s="777">
        <v>26</v>
      </c>
      <c r="F109" s="777">
        <v>12</v>
      </c>
      <c r="G109" s="777">
        <v>285</v>
      </c>
      <c r="H109" s="776">
        <v>218</v>
      </c>
      <c r="I109" s="776">
        <v>40</v>
      </c>
      <c r="J109" s="776">
        <v>27</v>
      </c>
      <c r="K109" s="777">
        <v>480</v>
      </c>
      <c r="L109" s="763"/>
    </row>
    <row r="110" spans="1:12">
      <c r="A110" s="762" t="s">
        <v>107</v>
      </c>
      <c r="B110" s="775" t="s">
        <v>108</v>
      </c>
      <c r="C110" s="777">
        <v>2393</v>
      </c>
      <c r="D110" s="777">
        <v>455</v>
      </c>
      <c r="E110" s="777">
        <v>1757</v>
      </c>
      <c r="F110" s="777">
        <v>181</v>
      </c>
      <c r="G110" s="777">
        <v>4277</v>
      </c>
      <c r="H110" s="776">
        <v>575</v>
      </c>
      <c r="I110" s="776">
        <v>3189</v>
      </c>
      <c r="J110" s="776">
        <v>513</v>
      </c>
      <c r="K110" s="777">
        <v>6670</v>
      </c>
      <c r="L110" s="763"/>
    </row>
    <row r="111" spans="1:12">
      <c r="A111" s="762" t="s">
        <v>117</v>
      </c>
      <c r="B111" s="775" t="s">
        <v>118</v>
      </c>
      <c r="C111" s="777">
        <v>647</v>
      </c>
      <c r="D111" s="777">
        <v>213</v>
      </c>
      <c r="E111" s="777">
        <v>398</v>
      </c>
      <c r="F111" s="777">
        <v>36</v>
      </c>
      <c r="G111" s="777">
        <v>1085</v>
      </c>
      <c r="H111" s="776">
        <v>288</v>
      </c>
      <c r="I111" s="776">
        <v>696</v>
      </c>
      <c r="J111" s="776">
        <v>101</v>
      </c>
      <c r="K111" s="777">
        <v>1732</v>
      </c>
      <c r="L111" s="763"/>
    </row>
    <row r="112" spans="1:12">
      <c r="A112" s="762" t="s">
        <v>139</v>
      </c>
      <c r="B112" s="775" t="s">
        <v>140</v>
      </c>
      <c r="C112" s="777">
        <v>1222</v>
      </c>
      <c r="D112" s="777">
        <v>306</v>
      </c>
      <c r="E112" s="777">
        <v>851</v>
      </c>
      <c r="F112" s="777">
        <v>65</v>
      </c>
      <c r="G112" s="777">
        <v>2139</v>
      </c>
      <c r="H112" s="776">
        <v>338</v>
      </c>
      <c r="I112" s="776">
        <v>1543</v>
      </c>
      <c r="J112" s="776">
        <v>258</v>
      </c>
      <c r="K112" s="777">
        <v>3361</v>
      </c>
      <c r="L112" s="763"/>
    </row>
    <row r="113" spans="1:12">
      <c r="A113" s="762" t="s">
        <v>143</v>
      </c>
      <c r="B113" s="775" t="s">
        <v>144</v>
      </c>
      <c r="C113" s="777">
        <v>478</v>
      </c>
      <c r="D113" s="777">
        <v>190</v>
      </c>
      <c r="E113" s="777">
        <v>157</v>
      </c>
      <c r="F113" s="777">
        <v>131</v>
      </c>
      <c r="G113" s="777">
        <v>839</v>
      </c>
      <c r="H113" s="776">
        <v>259</v>
      </c>
      <c r="I113" s="776">
        <v>277</v>
      </c>
      <c r="J113" s="776">
        <v>303</v>
      </c>
      <c r="K113" s="777">
        <v>1317</v>
      </c>
      <c r="L113" s="763"/>
    </row>
    <row r="114" spans="1:12">
      <c r="A114" s="762" t="s">
        <v>145</v>
      </c>
      <c r="B114" s="775" t="s">
        <v>146</v>
      </c>
      <c r="C114" s="777">
        <v>91</v>
      </c>
      <c r="D114" s="777">
        <v>48</v>
      </c>
      <c r="E114" s="777">
        <v>23</v>
      </c>
      <c r="F114" s="777">
        <v>20</v>
      </c>
      <c r="G114" s="777">
        <v>159</v>
      </c>
      <c r="H114" s="776">
        <v>60</v>
      </c>
      <c r="I114" s="776">
        <v>53</v>
      </c>
      <c r="J114" s="776">
        <v>46</v>
      </c>
      <c r="K114" s="777">
        <v>250</v>
      </c>
      <c r="L114" s="763"/>
    </row>
    <row r="115" spans="1:12">
      <c r="A115" s="762" t="s">
        <v>159</v>
      </c>
      <c r="B115" s="775" t="s">
        <v>160</v>
      </c>
      <c r="C115" s="777">
        <v>3511</v>
      </c>
      <c r="D115" s="777">
        <v>504</v>
      </c>
      <c r="E115" s="777">
        <v>2624</v>
      </c>
      <c r="F115" s="777">
        <v>383</v>
      </c>
      <c r="G115" s="777">
        <v>6224</v>
      </c>
      <c r="H115" s="776">
        <v>623</v>
      </c>
      <c r="I115" s="776">
        <v>4776</v>
      </c>
      <c r="J115" s="776">
        <v>825</v>
      </c>
      <c r="K115" s="777">
        <v>9735</v>
      </c>
      <c r="L115" s="763"/>
    </row>
    <row r="116" spans="1:12">
      <c r="A116" s="762" t="s">
        <v>161</v>
      </c>
      <c r="B116" s="775" t="s">
        <v>162</v>
      </c>
      <c r="C116" s="777">
        <v>4213</v>
      </c>
      <c r="D116" s="777">
        <v>506</v>
      </c>
      <c r="E116" s="777">
        <v>3429</v>
      </c>
      <c r="F116" s="777">
        <v>278</v>
      </c>
      <c r="G116" s="777">
        <v>7783</v>
      </c>
      <c r="H116" s="776">
        <v>682</v>
      </c>
      <c r="I116" s="776">
        <v>6351</v>
      </c>
      <c r="J116" s="776">
        <v>750</v>
      </c>
      <c r="K116" s="777">
        <v>11996</v>
      </c>
      <c r="L116" s="763"/>
    </row>
    <row r="117" spans="1:12">
      <c r="A117" s="762" t="s">
        <v>167</v>
      </c>
      <c r="B117" s="775" t="s">
        <v>168</v>
      </c>
      <c r="C117" s="777">
        <v>115</v>
      </c>
      <c r="D117" s="777">
        <v>93</v>
      </c>
      <c r="E117" s="777">
        <v>14</v>
      </c>
      <c r="F117" s="777">
        <v>8</v>
      </c>
      <c r="G117" s="777">
        <v>165</v>
      </c>
      <c r="H117" s="776">
        <v>118</v>
      </c>
      <c r="I117" s="776">
        <v>26</v>
      </c>
      <c r="J117" s="776">
        <v>21</v>
      </c>
      <c r="K117" s="777">
        <v>280</v>
      </c>
      <c r="L117" s="763"/>
    </row>
    <row r="118" spans="1:12">
      <c r="A118" s="762" t="s">
        <v>177</v>
      </c>
      <c r="B118" s="775" t="s">
        <v>178</v>
      </c>
      <c r="C118" s="777">
        <v>1184</v>
      </c>
      <c r="D118" s="777">
        <v>61</v>
      </c>
      <c r="E118" s="777">
        <v>1051</v>
      </c>
      <c r="F118" s="777">
        <v>72</v>
      </c>
      <c r="G118" s="777">
        <v>1974</v>
      </c>
      <c r="H118" s="776">
        <v>86</v>
      </c>
      <c r="I118" s="776">
        <v>1749</v>
      </c>
      <c r="J118" s="776">
        <v>139</v>
      </c>
      <c r="K118" s="777">
        <v>3158</v>
      </c>
      <c r="L118" s="763"/>
    </row>
    <row r="119" spans="1:12">
      <c r="A119" s="762" t="s">
        <v>181</v>
      </c>
      <c r="B119" s="775" t="s">
        <v>182</v>
      </c>
      <c r="C119" s="777">
        <v>2126</v>
      </c>
      <c r="D119" s="777">
        <v>264</v>
      </c>
      <c r="E119" s="777">
        <v>1741</v>
      </c>
      <c r="F119" s="777">
        <v>121</v>
      </c>
      <c r="G119" s="777">
        <v>4095</v>
      </c>
      <c r="H119" s="776">
        <v>362</v>
      </c>
      <c r="I119" s="776">
        <v>3441</v>
      </c>
      <c r="J119" s="776">
        <v>292</v>
      </c>
      <c r="K119" s="777">
        <v>6221</v>
      </c>
      <c r="L119" s="763"/>
    </row>
    <row r="120" spans="1:12">
      <c r="A120" s="762" t="s">
        <v>193</v>
      </c>
      <c r="B120" s="775" t="s">
        <v>194</v>
      </c>
      <c r="C120" s="777">
        <v>177</v>
      </c>
      <c r="D120" s="777">
        <v>133</v>
      </c>
      <c r="E120" s="777">
        <v>40</v>
      </c>
      <c r="F120" s="777">
        <v>4</v>
      </c>
      <c r="G120" s="777">
        <v>270</v>
      </c>
      <c r="H120" s="776">
        <v>166</v>
      </c>
      <c r="I120" s="776">
        <v>68</v>
      </c>
      <c r="J120" s="776">
        <v>36</v>
      </c>
      <c r="K120" s="777">
        <v>447</v>
      </c>
      <c r="L120" s="763"/>
    </row>
    <row r="121" spans="1:12">
      <c r="A121" s="762" t="s">
        <v>197</v>
      </c>
      <c r="B121" s="775" t="s">
        <v>198</v>
      </c>
      <c r="C121" s="777">
        <v>5221</v>
      </c>
      <c r="D121" s="777">
        <v>353</v>
      </c>
      <c r="E121" s="777">
        <v>4382</v>
      </c>
      <c r="F121" s="777">
        <v>486</v>
      </c>
      <c r="G121" s="777">
        <v>9313</v>
      </c>
      <c r="H121" s="776">
        <v>430</v>
      </c>
      <c r="I121" s="776">
        <v>7556</v>
      </c>
      <c r="J121" s="776">
        <v>1327</v>
      </c>
      <c r="K121" s="777">
        <v>14534</v>
      </c>
      <c r="L121" s="763"/>
    </row>
    <row r="122" spans="1:12">
      <c r="A122" s="762" t="s">
        <v>201</v>
      </c>
      <c r="B122" s="775" t="s">
        <v>202</v>
      </c>
      <c r="C122" s="777">
        <v>2643</v>
      </c>
      <c r="D122" s="777">
        <v>1081</v>
      </c>
      <c r="E122" s="777">
        <v>1288</v>
      </c>
      <c r="F122" s="777">
        <v>274</v>
      </c>
      <c r="G122" s="777">
        <v>4275</v>
      </c>
      <c r="H122" s="776">
        <v>1364</v>
      </c>
      <c r="I122" s="776">
        <v>2417</v>
      </c>
      <c r="J122" s="776">
        <v>494</v>
      </c>
      <c r="K122" s="777">
        <v>6918</v>
      </c>
      <c r="L122" s="763"/>
    </row>
    <row r="123" spans="1:12">
      <c r="A123" s="762" t="s">
        <v>223</v>
      </c>
      <c r="B123" s="775" t="s">
        <v>224</v>
      </c>
      <c r="C123" s="777">
        <v>760</v>
      </c>
      <c r="D123" s="777">
        <v>109</v>
      </c>
      <c r="E123" s="777">
        <v>606</v>
      </c>
      <c r="F123" s="777">
        <v>45</v>
      </c>
      <c r="G123" s="777">
        <v>1563</v>
      </c>
      <c r="H123" s="776">
        <v>182</v>
      </c>
      <c r="I123" s="776">
        <v>1247</v>
      </c>
      <c r="J123" s="776">
        <v>134</v>
      </c>
      <c r="K123" s="777">
        <v>2323</v>
      </c>
      <c r="L123" s="763"/>
    </row>
    <row r="124" spans="1:12">
      <c r="A124" s="762" t="s">
        <v>231</v>
      </c>
      <c r="B124" s="775" t="s">
        <v>232</v>
      </c>
      <c r="C124" s="777">
        <v>2250</v>
      </c>
      <c r="D124" s="777">
        <v>705</v>
      </c>
      <c r="E124" s="777">
        <v>1280</v>
      </c>
      <c r="F124" s="777">
        <v>265</v>
      </c>
      <c r="G124" s="777">
        <v>4129</v>
      </c>
      <c r="H124" s="776">
        <v>1032</v>
      </c>
      <c r="I124" s="776">
        <v>2485</v>
      </c>
      <c r="J124" s="776">
        <v>612</v>
      </c>
      <c r="K124" s="777">
        <v>6379</v>
      </c>
      <c r="L124" s="763"/>
    </row>
    <row r="125" spans="1:12">
      <c r="A125" s="762" t="s">
        <v>239</v>
      </c>
      <c r="B125" s="775" t="s">
        <v>240</v>
      </c>
      <c r="C125" s="777">
        <v>105</v>
      </c>
      <c r="D125" s="777">
        <v>39</v>
      </c>
      <c r="E125" s="777">
        <v>59</v>
      </c>
      <c r="F125" s="777">
        <v>7</v>
      </c>
      <c r="G125" s="777">
        <v>172</v>
      </c>
      <c r="H125" s="776">
        <v>48</v>
      </c>
      <c r="I125" s="776">
        <v>108</v>
      </c>
      <c r="J125" s="776">
        <v>16</v>
      </c>
      <c r="K125" s="777">
        <v>277</v>
      </c>
      <c r="L125" s="763"/>
    </row>
    <row r="126" spans="1:12">
      <c r="A126" s="762" t="s">
        <v>241</v>
      </c>
      <c r="B126" s="775" t="s">
        <v>242</v>
      </c>
      <c r="C126" s="777">
        <v>371</v>
      </c>
      <c r="D126" s="777">
        <v>255</v>
      </c>
      <c r="E126" s="777">
        <v>75</v>
      </c>
      <c r="F126" s="777">
        <v>41</v>
      </c>
      <c r="G126" s="777">
        <v>606</v>
      </c>
      <c r="H126" s="776">
        <v>359</v>
      </c>
      <c r="I126" s="776">
        <v>166</v>
      </c>
      <c r="J126" s="776">
        <v>81</v>
      </c>
      <c r="K126" s="777">
        <v>977</v>
      </c>
      <c r="L126" s="763"/>
    </row>
    <row r="127" spans="1:12">
      <c r="A127" s="760"/>
      <c r="B127" s="774" t="s">
        <v>328</v>
      </c>
      <c r="C127" s="777">
        <f>SUM(C7:C126)</f>
        <v>72826</v>
      </c>
      <c r="D127" s="777">
        <f t="shared" ref="D127:K127" si="0">SUM(D7:D126)</f>
        <v>28767</v>
      </c>
      <c r="E127" s="777">
        <f t="shared" si="0"/>
        <v>36923</v>
      </c>
      <c r="F127" s="777">
        <f t="shared" si="0"/>
        <v>7136</v>
      </c>
      <c r="G127" s="777">
        <f t="shared" si="0"/>
        <v>122722</v>
      </c>
      <c r="H127" s="777">
        <f t="shared" si="0"/>
        <v>39475</v>
      </c>
      <c r="I127" s="777">
        <f t="shared" si="0"/>
        <v>66930</v>
      </c>
      <c r="J127" s="777">
        <f t="shared" si="0"/>
        <v>16317</v>
      </c>
      <c r="K127" s="777">
        <f t="shared" si="0"/>
        <v>195548</v>
      </c>
      <c r="L127" s="763"/>
    </row>
    <row r="128" spans="1:12">
      <c r="B128" s="764"/>
      <c r="C128" s="765"/>
      <c r="D128" s="765"/>
      <c r="E128" s="765"/>
    </row>
    <row r="130" spans="1:11">
      <c r="A130" s="1321" t="s">
        <v>991</v>
      </c>
      <c r="B130" s="1321"/>
      <c r="C130" s="1321"/>
      <c r="D130" s="1321"/>
      <c r="E130" s="1321"/>
      <c r="F130" s="1321"/>
      <c r="G130" s="1321"/>
      <c r="H130" s="1321"/>
      <c r="I130" s="1321"/>
      <c r="J130" s="1321"/>
      <c r="K130" s="1321"/>
    </row>
    <row r="132" spans="1:11" s="519" customFormat="1">
      <c r="A132" s="519" t="s">
        <v>250</v>
      </c>
    </row>
    <row r="133" spans="1:11" s="519" customFormat="1">
      <c r="A133" s="536" t="s">
        <v>251</v>
      </c>
      <c r="B133" s="407" t="s">
        <v>252</v>
      </c>
    </row>
  </sheetData>
  <mergeCells count="6">
    <mergeCell ref="A130:K130"/>
    <mergeCell ref="A1:K1"/>
    <mergeCell ref="C5:F5"/>
    <mergeCell ref="G5:J5"/>
    <mergeCell ref="B4:B5"/>
    <mergeCell ref="C4:K4"/>
  </mergeCells>
  <hyperlinks>
    <hyperlink ref="B133" r:id="rId1"/>
  </hyperlinks>
  <pageMargins left="0.75" right="0.75" top="1" bottom="1" header="0.5" footer="0.5"/>
  <pageSetup orientation="portrait" r:id="rId2"/>
</worksheet>
</file>

<file path=xl/worksheets/sheet12.xml><?xml version="1.0" encoding="utf-8"?>
<worksheet xmlns="http://schemas.openxmlformats.org/spreadsheetml/2006/main" xmlns:r="http://schemas.openxmlformats.org/officeDocument/2006/relationships">
  <sheetPr>
    <tabColor rgb="FFFFFF00"/>
  </sheetPr>
  <dimension ref="A1:Q129"/>
  <sheetViews>
    <sheetView workbookViewId="0">
      <pane ySplit="3" topLeftCell="A92" activePane="bottomLeft" state="frozen"/>
      <selection pane="bottomLeft" activeCell="A126" sqref="A126"/>
    </sheetView>
  </sheetViews>
  <sheetFormatPr defaultRowHeight="12.75" customHeight="1"/>
  <cols>
    <col min="1" max="1" width="9" style="778"/>
    <col min="2" max="2" width="24.125" style="778" customWidth="1"/>
    <col min="3" max="3" width="8.375" style="778" customWidth="1"/>
    <col min="4" max="4" width="7.5" style="778" customWidth="1"/>
    <col min="5" max="5" width="8.5" style="778" customWidth="1"/>
    <col min="6" max="6" width="9.125" style="778" customWidth="1"/>
    <col min="7" max="7" width="8.125" style="778" customWidth="1"/>
    <col min="8" max="8" width="7.75" style="778" bestFit="1" customWidth="1"/>
    <col min="9" max="9" width="7.75" style="778" customWidth="1"/>
    <col min="10" max="10" width="17.875" style="778" customWidth="1"/>
    <col min="11" max="16384" width="9" style="778"/>
  </cols>
  <sheetData>
    <row r="1" spans="1:17" ht="12.75" customHeight="1">
      <c r="B1" s="799" t="s">
        <v>1023</v>
      </c>
    </row>
    <row r="2" spans="1:17" ht="12.75" customHeight="1" thickBot="1"/>
    <row r="3" spans="1:17" ht="53.25" customHeight="1" thickBot="1">
      <c r="A3" s="778" t="s">
        <v>4</v>
      </c>
      <c r="B3" s="804" t="s">
        <v>757</v>
      </c>
      <c r="C3" s="1088" t="s">
        <v>758</v>
      </c>
      <c r="D3" s="1088" t="s">
        <v>759</v>
      </c>
      <c r="E3" s="1088" t="s">
        <v>760</v>
      </c>
      <c r="F3" s="1088" t="s">
        <v>761</v>
      </c>
      <c r="G3" s="1088" t="s">
        <v>762</v>
      </c>
      <c r="H3" s="1088" t="s">
        <v>763</v>
      </c>
      <c r="I3" s="1088" t="s">
        <v>843</v>
      </c>
      <c r="J3" s="800" t="s">
        <v>775</v>
      </c>
      <c r="K3" s="800"/>
      <c r="L3" s="800"/>
      <c r="M3" s="800"/>
      <c r="N3" s="800"/>
      <c r="O3" s="800"/>
      <c r="P3" s="800"/>
      <c r="Q3" s="800"/>
    </row>
    <row r="4" spans="1:17" ht="12.75" customHeight="1" thickBot="1">
      <c r="A4" s="778" t="s">
        <v>10</v>
      </c>
      <c r="B4" s="805" t="s">
        <v>11</v>
      </c>
      <c r="C4" s="806">
        <v>5982</v>
      </c>
      <c r="D4" s="806">
        <v>6196</v>
      </c>
      <c r="E4" s="806">
        <v>6487</v>
      </c>
      <c r="F4" s="806">
        <v>6764</v>
      </c>
      <c r="G4" s="806">
        <v>7393</v>
      </c>
      <c r="H4" s="806">
        <v>8490</v>
      </c>
      <c r="I4" s="807">
        <f t="shared" ref="I4:I35" si="0">VLOOKUP(A4,SNAP_DEMO_2011,11,FALSE)</f>
        <v>9362</v>
      </c>
    </row>
    <row r="5" spans="1:17" ht="12.75" customHeight="1" thickBot="1">
      <c r="A5" s="778" t="s">
        <v>12</v>
      </c>
      <c r="B5" s="805" t="s">
        <v>13</v>
      </c>
      <c r="C5" s="806">
        <v>4580</v>
      </c>
      <c r="D5" s="806">
        <v>5076</v>
      </c>
      <c r="E5" s="806">
        <v>5231</v>
      </c>
      <c r="F5" s="806">
        <v>5708</v>
      </c>
      <c r="G5" s="806">
        <v>7052</v>
      </c>
      <c r="H5" s="806">
        <v>8838</v>
      </c>
      <c r="I5" s="807">
        <f t="shared" si="0"/>
        <v>9931</v>
      </c>
    </row>
    <row r="6" spans="1:17" ht="12.75" customHeight="1" thickBot="1">
      <c r="A6" s="778" t="s">
        <v>16</v>
      </c>
      <c r="B6" s="805" t="s">
        <v>364</v>
      </c>
      <c r="C6" s="806">
        <v>3621</v>
      </c>
      <c r="D6" s="806">
        <v>3696</v>
      </c>
      <c r="E6" s="806">
        <v>3868</v>
      </c>
      <c r="F6" s="806">
        <v>4048</v>
      </c>
      <c r="G6" s="806">
        <v>4527</v>
      </c>
      <c r="H6" s="806">
        <v>4745</v>
      </c>
      <c r="I6" s="807">
        <f t="shared" si="0"/>
        <v>4987</v>
      </c>
    </row>
    <row r="7" spans="1:17" ht="12.75" customHeight="1" thickBot="1">
      <c r="A7" s="778" t="s">
        <v>18</v>
      </c>
      <c r="B7" s="805" t="s">
        <v>19</v>
      </c>
      <c r="C7" s="806">
        <v>1509</v>
      </c>
      <c r="D7" s="806">
        <v>1696</v>
      </c>
      <c r="E7" s="806">
        <v>1683</v>
      </c>
      <c r="F7" s="806">
        <v>1729</v>
      </c>
      <c r="G7" s="806">
        <v>2278</v>
      </c>
      <c r="H7" s="806">
        <v>2779</v>
      </c>
      <c r="I7" s="807">
        <f t="shared" si="0"/>
        <v>2928</v>
      </c>
    </row>
    <row r="8" spans="1:17" ht="12.75" customHeight="1" thickBot="1">
      <c r="A8" s="778" t="s">
        <v>20</v>
      </c>
      <c r="B8" s="805" t="s">
        <v>21</v>
      </c>
      <c r="C8" s="806">
        <v>4148</v>
      </c>
      <c r="D8" s="806">
        <v>4347</v>
      </c>
      <c r="E8" s="806">
        <v>4122</v>
      </c>
      <c r="F8" s="806">
        <v>4158</v>
      </c>
      <c r="G8" s="806">
        <v>4754</v>
      </c>
      <c r="H8" s="806">
        <v>5717</v>
      </c>
      <c r="I8" s="807">
        <f t="shared" si="0"/>
        <v>5979</v>
      </c>
    </row>
    <row r="9" spans="1:17" ht="12.75" customHeight="1" thickBot="1">
      <c r="A9" s="778" t="s">
        <v>22</v>
      </c>
      <c r="B9" s="805" t="s">
        <v>23</v>
      </c>
      <c r="C9" s="806">
        <v>2212</v>
      </c>
      <c r="D9" s="806">
        <v>2324</v>
      </c>
      <c r="E9" s="806">
        <v>2356</v>
      </c>
      <c r="F9" s="806">
        <v>2555</v>
      </c>
      <c r="G9" s="806">
        <v>2809</v>
      </c>
      <c r="H9" s="806">
        <v>3211</v>
      </c>
      <c r="I9" s="807">
        <f t="shared" si="0"/>
        <v>3456</v>
      </c>
    </row>
    <row r="10" spans="1:17" ht="12.75" customHeight="1" thickBot="1">
      <c r="A10" s="778" t="s">
        <v>24</v>
      </c>
      <c r="B10" s="805" t="s">
        <v>25</v>
      </c>
      <c r="C10" s="806">
        <v>7066</v>
      </c>
      <c r="D10" s="806">
        <v>6991</v>
      </c>
      <c r="E10" s="806">
        <v>6532</v>
      </c>
      <c r="F10" s="806">
        <v>6865</v>
      </c>
      <c r="G10" s="806">
        <v>8392</v>
      </c>
      <c r="H10" s="806">
        <v>10037</v>
      </c>
      <c r="I10" s="807">
        <f t="shared" si="0"/>
        <v>11525</v>
      </c>
    </row>
    <row r="11" spans="1:17" ht="12.75" customHeight="1" thickBot="1">
      <c r="A11" s="778" t="s">
        <v>26</v>
      </c>
      <c r="B11" s="805" t="s">
        <v>1114</v>
      </c>
      <c r="C11" s="806">
        <v>11894</v>
      </c>
      <c r="D11" s="806">
        <v>12791</v>
      </c>
      <c r="E11" s="806">
        <v>13054</v>
      </c>
      <c r="F11" s="806">
        <v>14389</v>
      </c>
      <c r="G11" s="806">
        <v>17153</v>
      </c>
      <c r="H11" s="806">
        <v>20081</v>
      </c>
      <c r="I11" s="807">
        <f t="shared" si="0"/>
        <v>22221</v>
      </c>
    </row>
    <row r="12" spans="1:17" ht="12.75" customHeight="1" thickBot="1">
      <c r="A12" s="778" t="s">
        <v>27</v>
      </c>
      <c r="B12" s="805" t="s">
        <v>28</v>
      </c>
      <c r="C12" s="806">
        <v>285</v>
      </c>
      <c r="D12" s="806">
        <v>275</v>
      </c>
      <c r="E12" s="806">
        <v>306</v>
      </c>
      <c r="F12" s="806">
        <v>400</v>
      </c>
      <c r="G12" s="806">
        <v>470</v>
      </c>
      <c r="H12" s="806">
        <v>573</v>
      </c>
      <c r="I12" s="807">
        <f t="shared" si="0"/>
        <v>579</v>
      </c>
    </row>
    <row r="13" spans="1:17" ht="12.75" customHeight="1" thickBot="1">
      <c r="A13" s="778" t="s">
        <v>29</v>
      </c>
      <c r="B13" s="805" t="s">
        <v>366</v>
      </c>
      <c r="C13" s="806">
        <v>6198</v>
      </c>
      <c r="D13" s="806">
        <v>6521</v>
      </c>
      <c r="E13" s="806">
        <v>6761</v>
      </c>
      <c r="F13" s="806">
        <v>6795</v>
      </c>
      <c r="G13" s="806">
        <v>8037</v>
      </c>
      <c r="H13" s="806">
        <v>9464</v>
      </c>
      <c r="I13" s="807">
        <f t="shared" si="0"/>
        <v>10369</v>
      </c>
    </row>
    <row r="14" spans="1:17" ht="12.75" customHeight="1" thickBot="1">
      <c r="A14" s="778" t="s">
        <v>31</v>
      </c>
      <c r="B14" s="805" t="s">
        <v>32</v>
      </c>
      <c r="C14" s="806">
        <v>720</v>
      </c>
      <c r="D14" s="806">
        <v>758</v>
      </c>
      <c r="E14" s="806">
        <v>760</v>
      </c>
      <c r="F14" s="806">
        <v>762</v>
      </c>
      <c r="G14" s="806">
        <v>807</v>
      </c>
      <c r="H14" s="806">
        <v>875</v>
      </c>
      <c r="I14" s="807">
        <f t="shared" si="0"/>
        <v>970</v>
      </c>
    </row>
    <row r="15" spans="1:17" ht="12.75" customHeight="1" thickBot="1">
      <c r="A15" s="778" t="s">
        <v>33</v>
      </c>
      <c r="B15" s="805" t="s">
        <v>34</v>
      </c>
      <c r="C15" s="806">
        <v>1372</v>
      </c>
      <c r="D15" s="806">
        <v>1459</v>
      </c>
      <c r="E15" s="806">
        <v>1481</v>
      </c>
      <c r="F15" s="806">
        <v>1634</v>
      </c>
      <c r="G15" s="806">
        <v>1929</v>
      </c>
      <c r="H15" s="806">
        <v>2461</v>
      </c>
      <c r="I15" s="807">
        <f t="shared" si="0"/>
        <v>2522</v>
      </c>
    </row>
    <row r="16" spans="1:17" ht="12.75" customHeight="1" thickBot="1">
      <c r="A16" s="778" t="s">
        <v>37</v>
      </c>
      <c r="B16" s="805" t="s">
        <v>38</v>
      </c>
      <c r="C16" s="806">
        <v>3608</v>
      </c>
      <c r="D16" s="806">
        <v>3766</v>
      </c>
      <c r="E16" s="806">
        <v>3888</v>
      </c>
      <c r="F16" s="806">
        <v>3948</v>
      </c>
      <c r="G16" s="806">
        <v>4353</v>
      </c>
      <c r="H16" s="806">
        <v>4710</v>
      </c>
      <c r="I16" s="807">
        <f t="shared" si="0"/>
        <v>5056</v>
      </c>
    </row>
    <row r="17" spans="1:9" ht="12.75" customHeight="1" thickBot="1">
      <c r="A17" s="778" t="s">
        <v>39</v>
      </c>
      <c r="B17" s="805" t="s">
        <v>40</v>
      </c>
      <c r="C17" s="806">
        <v>5892</v>
      </c>
      <c r="D17" s="806">
        <v>5754</v>
      </c>
      <c r="E17" s="806">
        <v>5594</v>
      </c>
      <c r="F17" s="806">
        <v>5580</v>
      </c>
      <c r="G17" s="806">
        <v>5768</v>
      </c>
      <c r="H17" s="806">
        <v>6066</v>
      </c>
      <c r="I17" s="807">
        <f t="shared" si="0"/>
        <v>6035</v>
      </c>
    </row>
    <row r="18" spans="1:9" ht="12.75" customHeight="1" thickBot="1">
      <c r="A18" s="778" t="s">
        <v>41</v>
      </c>
      <c r="B18" s="805" t="s">
        <v>42</v>
      </c>
      <c r="C18" s="806">
        <v>2763</v>
      </c>
      <c r="D18" s="806">
        <v>2828</v>
      </c>
      <c r="E18" s="806">
        <v>2954</v>
      </c>
      <c r="F18" s="806">
        <v>3089</v>
      </c>
      <c r="G18" s="806">
        <v>3524</v>
      </c>
      <c r="H18" s="806">
        <v>4135</v>
      </c>
      <c r="I18" s="807">
        <f t="shared" si="0"/>
        <v>4476</v>
      </c>
    </row>
    <row r="19" spans="1:9" ht="12.75" customHeight="1" thickBot="1">
      <c r="A19" s="778" t="s">
        <v>43</v>
      </c>
      <c r="B19" s="805" t="s">
        <v>44</v>
      </c>
      <c r="C19" s="806">
        <v>6928</v>
      </c>
      <c r="D19" s="806">
        <v>7181</v>
      </c>
      <c r="E19" s="806">
        <v>7315</v>
      </c>
      <c r="F19" s="806">
        <v>7596</v>
      </c>
      <c r="G19" s="806">
        <v>8550</v>
      </c>
      <c r="H19" s="806">
        <v>10067</v>
      </c>
      <c r="I19" s="807">
        <f t="shared" si="0"/>
        <v>10878</v>
      </c>
    </row>
    <row r="20" spans="1:9" ht="12.75" customHeight="1" thickBot="1">
      <c r="A20" s="778" t="s">
        <v>45</v>
      </c>
      <c r="B20" s="805" t="s">
        <v>46</v>
      </c>
      <c r="C20" s="806">
        <v>3702</v>
      </c>
      <c r="D20" s="806">
        <v>3805</v>
      </c>
      <c r="E20" s="806">
        <v>4025</v>
      </c>
      <c r="F20" s="806">
        <v>4534</v>
      </c>
      <c r="G20" s="806">
        <v>5612</v>
      </c>
      <c r="H20" s="806">
        <v>6487</v>
      </c>
      <c r="I20" s="807">
        <f t="shared" si="0"/>
        <v>6917</v>
      </c>
    </row>
    <row r="21" spans="1:9" ht="12.75" customHeight="1" thickBot="1">
      <c r="A21" s="778" t="s">
        <v>47</v>
      </c>
      <c r="B21" s="805" t="s">
        <v>48</v>
      </c>
      <c r="C21" s="806">
        <v>4883</v>
      </c>
      <c r="D21" s="806">
        <v>5103</v>
      </c>
      <c r="E21" s="806">
        <v>5345</v>
      </c>
      <c r="F21" s="806">
        <v>5657</v>
      </c>
      <c r="G21" s="806">
        <v>6429</v>
      </c>
      <c r="H21" s="806">
        <v>7116</v>
      </c>
      <c r="I21" s="807">
        <f t="shared" si="0"/>
        <v>7552</v>
      </c>
    </row>
    <row r="22" spans="1:9" ht="12.75" customHeight="1" thickBot="1">
      <c r="A22" s="778" t="s">
        <v>49</v>
      </c>
      <c r="B22" s="805" t="s">
        <v>279</v>
      </c>
      <c r="C22" s="806">
        <v>765</v>
      </c>
      <c r="D22" s="806">
        <v>824</v>
      </c>
      <c r="E22" s="806">
        <v>890</v>
      </c>
      <c r="F22" s="806">
        <v>970</v>
      </c>
      <c r="G22" s="806">
        <v>1174</v>
      </c>
      <c r="H22" s="806">
        <v>1318</v>
      </c>
      <c r="I22" s="807">
        <f t="shared" si="0"/>
        <v>1361</v>
      </c>
    </row>
    <row r="23" spans="1:9" ht="12.75" customHeight="1" thickBot="1">
      <c r="A23" s="778" t="s">
        <v>51</v>
      </c>
      <c r="B23" s="805" t="s">
        <v>52</v>
      </c>
      <c r="C23" s="806">
        <v>2244</v>
      </c>
      <c r="D23" s="806">
        <v>2370</v>
      </c>
      <c r="E23" s="806">
        <v>2538</v>
      </c>
      <c r="F23" s="806">
        <v>2585</v>
      </c>
      <c r="G23" s="806">
        <v>2950</v>
      </c>
      <c r="H23" s="806">
        <v>3231</v>
      </c>
      <c r="I23" s="807">
        <f t="shared" si="0"/>
        <v>3392</v>
      </c>
    </row>
    <row r="24" spans="1:9" ht="12.75" customHeight="1" thickBot="1">
      <c r="A24" s="778" t="s">
        <v>57</v>
      </c>
      <c r="B24" s="805" t="s">
        <v>362</v>
      </c>
      <c r="C24" s="806">
        <v>21320</v>
      </c>
      <c r="D24" s="806">
        <v>22790</v>
      </c>
      <c r="E24" s="806">
        <v>23749</v>
      </c>
      <c r="F24" s="806">
        <v>26017</v>
      </c>
      <c r="G24" s="806">
        <v>32302</v>
      </c>
      <c r="H24" s="806">
        <v>40767</v>
      </c>
      <c r="I24" s="807">
        <f t="shared" si="0"/>
        <v>45796</v>
      </c>
    </row>
    <row r="25" spans="1:9" ht="12.75" customHeight="1" thickBot="1">
      <c r="A25" s="778" t="s">
        <v>59</v>
      </c>
      <c r="B25" s="805" t="s">
        <v>60</v>
      </c>
      <c r="C25" s="806">
        <v>550</v>
      </c>
      <c r="D25" s="806">
        <v>553</v>
      </c>
      <c r="E25" s="806">
        <v>690</v>
      </c>
      <c r="F25" s="806">
        <v>760</v>
      </c>
      <c r="G25" s="806">
        <v>1050</v>
      </c>
      <c r="H25" s="806">
        <v>1189</v>
      </c>
      <c r="I25" s="807">
        <f t="shared" si="0"/>
        <v>1288</v>
      </c>
    </row>
    <row r="26" spans="1:9" ht="12.75" customHeight="1" thickBot="1">
      <c r="A26" s="778" t="s">
        <v>61</v>
      </c>
      <c r="B26" s="805" t="s">
        <v>62</v>
      </c>
      <c r="C26" s="806">
        <v>517</v>
      </c>
      <c r="D26" s="806">
        <v>542</v>
      </c>
      <c r="E26" s="806">
        <v>533</v>
      </c>
      <c r="F26" s="806">
        <v>578</v>
      </c>
      <c r="G26" s="806">
        <v>662</v>
      </c>
      <c r="H26" s="806">
        <v>800</v>
      </c>
      <c r="I26" s="807">
        <f t="shared" si="0"/>
        <v>829</v>
      </c>
    </row>
    <row r="27" spans="1:9" ht="12.75" customHeight="1" thickBot="1">
      <c r="A27" s="778" t="s">
        <v>63</v>
      </c>
      <c r="B27" s="805" t="s">
        <v>64</v>
      </c>
      <c r="C27" s="806">
        <v>3359</v>
      </c>
      <c r="D27" s="806">
        <v>3705</v>
      </c>
      <c r="E27" s="806">
        <v>3982</v>
      </c>
      <c r="F27" s="806">
        <v>4656</v>
      </c>
      <c r="G27" s="806">
        <v>6258</v>
      </c>
      <c r="H27" s="806">
        <v>7702</v>
      </c>
      <c r="I27" s="807">
        <f t="shared" si="0"/>
        <v>8296</v>
      </c>
    </row>
    <row r="28" spans="1:9" ht="12.75" customHeight="1" thickBot="1">
      <c r="A28" s="778" t="s">
        <v>65</v>
      </c>
      <c r="B28" s="805" t="s">
        <v>66</v>
      </c>
      <c r="C28" s="806">
        <v>1905</v>
      </c>
      <c r="D28" s="806">
        <v>1918</v>
      </c>
      <c r="E28" s="806">
        <v>2027</v>
      </c>
      <c r="F28" s="806">
        <v>2146</v>
      </c>
      <c r="G28" s="806">
        <v>2481</v>
      </c>
      <c r="H28" s="806">
        <v>2793</v>
      </c>
      <c r="I28" s="807">
        <f t="shared" si="0"/>
        <v>2986</v>
      </c>
    </row>
    <row r="29" spans="1:9" ht="12.75" customHeight="1" thickBot="1">
      <c r="A29" s="778" t="s">
        <v>69</v>
      </c>
      <c r="B29" s="805" t="s">
        <v>70</v>
      </c>
      <c r="C29" s="806">
        <v>3875</v>
      </c>
      <c r="D29" s="806">
        <v>3908</v>
      </c>
      <c r="E29" s="806">
        <v>3822</v>
      </c>
      <c r="F29" s="806">
        <v>3878</v>
      </c>
      <c r="G29" s="806">
        <v>4017</v>
      </c>
      <c r="H29" s="806">
        <v>4315</v>
      </c>
      <c r="I29" s="807">
        <f t="shared" si="0"/>
        <v>4437</v>
      </c>
    </row>
    <row r="30" spans="1:9" ht="12.75" customHeight="1" thickBot="1">
      <c r="A30" s="778" t="s">
        <v>71</v>
      </c>
      <c r="B30" s="805" t="s">
        <v>72</v>
      </c>
      <c r="C30" s="806">
        <v>3893</v>
      </c>
      <c r="D30" s="806">
        <v>4152</v>
      </c>
      <c r="E30" s="806">
        <v>4203</v>
      </c>
      <c r="F30" s="806">
        <v>4383</v>
      </c>
      <c r="G30" s="806">
        <v>5090</v>
      </c>
      <c r="H30" s="806">
        <v>6023</v>
      </c>
      <c r="I30" s="807">
        <f t="shared" si="0"/>
        <v>6350</v>
      </c>
    </row>
    <row r="31" spans="1:9" ht="12.75" customHeight="1" thickBot="1">
      <c r="A31" s="778" t="s">
        <v>73</v>
      </c>
      <c r="B31" s="805" t="s">
        <v>74</v>
      </c>
      <c r="C31" s="806">
        <v>1985</v>
      </c>
      <c r="D31" s="806">
        <v>2061</v>
      </c>
      <c r="E31" s="806">
        <v>2062</v>
      </c>
      <c r="F31" s="806">
        <v>2206</v>
      </c>
      <c r="G31" s="806">
        <v>2628</v>
      </c>
      <c r="H31" s="806">
        <v>2960</v>
      </c>
      <c r="I31" s="807">
        <f t="shared" si="0"/>
        <v>3207</v>
      </c>
    </row>
    <row r="32" spans="1:9" ht="12.75" customHeight="1" thickBot="1">
      <c r="A32" s="778" t="s">
        <v>75</v>
      </c>
      <c r="B32" s="805" t="s">
        <v>363</v>
      </c>
      <c r="C32" s="806">
        <v>30107</v>
      </c>
      <c r="D32" s="806">
        <v>32481</v>
      </c>
      <c r="E32" s="806">
        <v>33617</v>
      </c>
      <c r="F32" s="806">
        <v>36644</v>
      </c>
      <c r="G32" s="806">
        <v>46488</v>
      </c>
      <c r="H32" s="806">
        <v>59949</v>
      </c>
      <c r="I32" s="807">
        <f t="shared" si="0"/>
        <v>70180</v>
      </c>
    </row>
    <row r="33" spans="1:9" ht="12.75" customHeight="1" thickBot="1">
      <c r="A33" s="778" t="s">
        <v>77</v>
      </c>
      <c r="B33" s="805" t="s">
        <v>78</v>
      </c>
      <c r="C33" s="806">
        <v>2873</v>
      </c>
      <c r="D33" s="806">
        <v>3091</v>
      </c>
      <c r="E33" s="806">
        <v>3341</v>
      </c>
      <c r="F33" s="806">
        <v>4012</v>
      </c>
      <c r="G33" s="806">
        <v>5197</v>
      </c>
      <c r="H33" s="806">
        <v>6214</v>
      </c>
      <c r="I33" s="807">
        <f t="shared" si="0"/>
        <v>6501</v>
      </c>
    </row>
    <row r="34" spans="1:9" ht="12.75" customHeight="1" thickBot="1">
      <c r="A34" s="778" t="s">
        <v>79</v>
      </c>
      <c r="B34" s="805" t="s">
        <v>80</v>
      </c>
      <c r="C34" s="806">
        <v>1729</v>
      </c>
      <c r="D34" s="806">
        <v>1857</v>
      </c>
      <c r="E34" s="806">
        <v>1883</v>
      </c>
      <c r="F34" s="806">
        <v>1981</v>
      </c>
      <c r="G34" s="806">
        <v>2249</v>
      </c>
      <c r="H34" s="806">
        <v>2672</v>
      </c>
      <c r="I34" s="807">
        <f t="shared" si="0"/>
        <v>2937</v>
      </c>
    </row>
    <row r="35" spans="1:9" ht="12.75" customHeight="1" thickBot="1">
      <c r="A35" s="778" t="s">
        <v>81</v>
      </c>
      <c r="B35" s="805" t="s">
        <v>82</v>
      </c>
      <c r="C35" s="806">
        <v>1197</v>
      </c>
      <c r="D35" s="806">
        <v>1281</v>
      </c>
      <c r="E35" s="806">
        <v>1385</v>
      </c>
      <c r="F35" s="806">
        <v>1374</v>
      </c>
      <c r="G35" s="806">
        <v>1805</v>
      </c>
      <c r="H35" s="806">
        <v>2186</v>
      </c>
      <c r="I35" s="807">
        <f t="shared" si="0"/>
        <v>2547</v>
      </c>
    </row>
    <row r="36" spans="1:9" ht="12.75" customHeight="1" thickBot="1">
      <c r="A36" s="778" t="s">
        <v>85</v>
      </c>
      <c r="B36" s="805" t="s">
        <v>86</v>
      </c>
      <c r="C36" s="806">
        <v>6550</v>
      </c>
      <c r="D36" s="806">
        <v>6928</v>
      </c>
      <c r="E36" s="806">
        <v>7163</v>
      </c>
      <c r="F36" s="806">
        <v>8091</v>
      </c>
      <c r="G36" s="806">
        <v>9582</v>
      </c>
      <c r="H36" s="806">
        <v>10818</v>
      </c>
      <c r="I36" s="807">
        <f t="shared" ref="I36:I67" si="1">VLOOKUP(A36,SNAP_DEMO_2011,11,FALSE)</f>
        <v>11442</v>
      </c>
    </row>
    <row r="37" spans="1:9" ht="12.75" customHeight="1" thickBot="1">
      <c r="A37" s="778" t="s">
        <v>87</v>
      </c>
      <c r="B37" s="805" t="s">
        <v>88</v>
      </c>
      <c r="C37" s="806">
        <v>3824</v>
      </c>
      <c r="D37" s="806">
        <v>4185</v>
      </c>
      <c r="E37" s="806">
        <v>4735</v>
      </c>
      <c r="F37" s="806">
        <v>5839</v>
      </c>
      <c r="G37" s="806">
        <v>7765</v>
      </c>
      <c r="H37" s="806">
        <v>9789</v>
      </c>
      <c r="I37" s="807">
        <f t="shared" si="1"/>
        <v>11003</v>
      </c>
    </row>
    <row r="38" spans="1:9" ht="12.75" customHeight="1" thickBot="1">
      <c r="A38" s="778" t="s">
        <v>93</v>
      </c>
      <c r="B38" s="805" t="s">
        <v>94</v>
      </c>
      <c r="C38" s="806">
        <v>2334</v>
      </c>
      <c r="D38" s="806">
        <v>2397</v>
      </c>
      <c r="E38" s="806">
        <v>2460</v>
      </c>
      <c r="F38" s="806">
        <v>2619</v>
      </c>
      <c r="G38" s="806">
        <v>2960</v>
      </c>
      <c r="H38" s="806">
        <v>3399</v>
      </c>
      <c r="I38" s="807">
        <f t="shared" si="1"/>
        <v>3645</v>
      </c>
    </row>
    <row r="39" spans="1:9" ht="12.75" customHeight="1" thickBot="1">
      <c r="A39" s="778" t="s">
        <v>95</v>
      </c>
      <c r="B39" s="805" t="s">
        <v>96</v>
      </c>
      <c r="C39" s="806">
        <v>3167</v>
      </c>
      <c r="D39" s="806">
        <v>3308</v>
      </c>
      <c r="E39" s="806">
        <v>3482</v>
      </c>
      <c r="F39" s="806">
        <v>3519</v>
      </c>
      <c r="G39" s="806">
        <v>4442</v>
      </c>
      <c r="H39" s="806">
        <v>5594</v>
      </c>
      <c r="I39" s="807">
        <f t="shared" si="1"/>
        <v>6079</v>
      </c>
    </row>
    <row r="40" spans="1:9" ht="12.75" customHeight="1" thickBot="1">
      <c r="A40" s="778" t="s">
        <v>97</v>
      </c>
      <c r="B40" s="805" t="s">
        <v>98</v>
      </c>
      <c r="C40" s="806">
        <v>951</v>
      </c>
      <c r="D40" s="806">
        <v>946</v>
      </c>
      <c r="E40" s="806">
        <v>882</v>
      </c>
      <c r="F40" s="806">
        <v>1069</v>
      </c>
      <c r="G40" s="806">
        <v>1359</v>
      </c>
      <c r="H40" s="806">
        <v>1734</v>
      </c>
      <c r="I40" s="807">
        <f t="shared" si="1"/>
        <v>1946</v>
      </c>
    </row>
    <row r="41" spans="1:9" ht="12.75" customHeight="1" thickBot="1">
      <c r="A41" s="778" t="s">
        <v>99</v>
      </c>
      <c r="B41" s="805" t="s">
        <v>100</v>
      </c>
      <c r="C41" s="806">
        <v>2860</v>
      </c>
      <c r="D41" s="806">
        <v>3054</v>
      </c>
      <c r="E41" s="806">
        <v>3118</v>
      </c>
      <c r="F41" s="806">
        <v>3173</v>
      </c>
      <c r="G41" s="806">
        <v>3473</v>
      </c>
      <c r="H41" s="806">
        <v>3767</v>
      </c>
      <c r="I41" s="807">
        <f t="shared" si="1"/>
        <v>3953</v>
      </c>
    </row>
    <row r="42" spans="1:9" ht="12.75" customHeight="1" thickBot="1">
      <c r="A42" s="778" t="s">
        <v>101</v>
      </c>
      <c r="B42" s="805" t="s">
        <v>102</v>
      </c>
      <c r="C42" s="806">
        <v>1644</v>
      </c>
      <c r="D42" s="806">
        <v>1718</v>
      </c>
      <c r="E42" s="806">
        <v>1673</v>
      </c>
      <c r="F42" s="806">
        <v>1748</v>
      </c>
      <c r="G42" s="806">
        <v>2141</v>
      </c>
      <c r="H42" s="806">
        <v>2648</v>
      </c>
      <c r="I42" s="807">
        <f t="shared" si="1"/>
        <v>2924</v>
      </c>
    </row>
    <row r="43" spans="1:9" ht="12.75" customHeight="1" thickBot="1">
      <c r="A43" s="778" t="s">
        <v>103</v>
      </c>
      <c r="B43" s="805" t="s">
        <v>329</v>
      </c>
      <c r="C43" s="806">
        <v>3212</v>
      </c>
      <c r="D43" s="806">
        <v>3626</v>
      </c>
      <c r="E43" s="806">
        <v>3815</v>
      </c>
      <c r="F43" s="806">
        <v>4082</v>
      </c>
      <c r="G43" s="806">
        <v>4638</v>
      </c>
      <c r="H43" s="806">
        <v>5139</v>
      </c>
      <c r="I43" s="807">
        <f t="shared" si="1"/>
        <v>5557</v>
      </c>
    </row>
    <row r="44" spans="1:9" ht="12.75" customHeight="1" thickBot="1">
      <c r="A44" s="778" t="s">
        <v>105</v>
      </c>
      <c r="B44" s="805" t="s">
        <v>106</v>
      </c>
      <c r="C44" s="806">
        <v>6445</v>
      </c>
      <c r="D44" s="806">
        <v>6867</v>
      </c>
      <c r="E44" s="806">
        <v>7252</v>
      </c>
      <c r="F44" s="806">
        <v>7474</v>
      </c>
      <c r="G44" s="806">
        <v>8078</v>
      </c>
      <c r="H44" s="806">
        <v>8898</v>
      </c>
      <c r="I44" s="807">
        <f t="shared" si="1"/>
        <v>9324</v>
      </c>
    </row>
    <row r="45" spans="1:9" ht="12.75" customHeight="1" thickBot="1">
      <c r="A45" s="778" t="s">
        <v>109</v>
      </c>
      <c r="B45" s="805" t="s">
        <v>110</v>
      </c>
      <c r="C45" s="806">
        <v>4065</v>
      </c>
      <c r="D45" s="806">
        <v>4363</v>
      </c>
      <c r="E45" s="806">
        <v>4369</v>
      </c>
      <c r="F45" s="806">
        <v>4871</v>
      </c>
      <c r="G45" s="806">
        <v>5987</v>
      </c>
      <c r="H45" s="806">
        <v>7440</v>
      </c>
      <c r="I45" s="807">
        <f t="shared" si="1"/>
        <v>8354</v>
      </c>
    </row>
    <row r="46" spans="1:9" ht="12.75" customHeight="1" thickBot="1">
      <c r="A46" s="778" t="s">
        <v>111</v>
      </c>
      <c r="B46" s="805" t="s">
        <v>112</v>
      </c>
      <c r="C46" s="806">
        <v>21918</v>
      </c>
      <c r="D46" s="806">
        <v>24148</v>
      </c>
      <c r="E46" s="806">
        <v>25085</v>
      </c>
      <c r="F46" s="806">
        <v>25969</v>
      </c>
      <c r="G46" s="806">
        <v>32258</v>
      </c>
      <c r="H46" s="806">
        <v>41200</v>
      </c>
      <c r="I46" s="807">
        <f t="shared" si="1"/>
        <v>46417</v>
      </c>
    </row>
    <row r="47" spans="1:9" ht="12.75" customHeight="1" thickBot="1">
      <c r="A47" s="778" t="s">
        <v>113</v>
      </c>
      <c r="B47" s="805" t="s">
        <v>367</v>
      </c>
      <c r="C47" s="806">
        <v>14177</v>
      </c>
      <c r="D47" s="806">
        <v>14929</v>
      </c>
      <c r="E47" s="806">
        <v>15461</v>
      </c>
      <c r="F47" s="806">
        <v>16717</v>
      </c>
      <c r="G47" s="806">
        <v>19301</v>
      </c>
      <c r="H47" s="806">
        <v>21252</v>
      </c>
      <c r="I47" s="807">
        <f t="shared" si="1"/>
        <v>22307</v>
      </c>
    </row>
    <row r="48" spans="1:9" ht="12.75" customHeight="1" thickBot="1">
      <c r="A48" s="778" t="s">
        <v>115</v>
      </c>
      <c r="B48" s="805" t="s">
        <v>116</v>
      </c>
      <c r="C48" s="806">
        <v>205</v>
      </c>
      <c r="D48" s="806">
        <v>214</v>
      </c>
      <c r="E48" s="806">
        <v>195</v>
      </c>
      <c r="F48" s="806">
        <v>206</v>
      </c>
      <c r="G48" s="806">
        <v>239</v>
      </c>
      <c r="H48" s="806">
        <v>226</v>
      </c>
      <c r="I48" s="807">
        <f t="shared" si="1"/>
        <v>248</v>
      </c>
    </row>
    <row r="49" spans="1:9" ht="12.75" customHeight="1" thickBot="1">
      <c r="A49" s="778" t="s">
        <v>119</v>
      </c>
      <c r="B49" s="805" t="s">
        <v>283</v>
      </c>
      <c r="C49" s="806">
        <v>3593</v>
      </c>
      <c r="D49" s="806">
        <v>3643</v>
      </c>
      <c r="E49" s="806">
        <v>3663</v>
      </c>
      <c r="F49" s="806">
        <v>3884</v>
      </c>
      <c r="G49" s="806">
        <v>4484</v>
      </c>
      <c r="H49" s="806">
        <v>5248</v>
      </c>
      <c r="I49" s="807">
        <f t="shared" si="1"/>
        <v>5686</v>
      </c>
    </row>
    <row r="50" spans="1:9" ht="12.75" customHeight="1" thickBot="1">
      <c r="A50" s="778" t="s">
        <v>121</v>
      </c>
      <c r="B50" s="805" t="s">
        <v>122</v>
      </c>
      <c r="C50" s="806">
        <v>3331</v>
      </c>
      <c r="D50" s="806">
        <v>3645</v>
      </c>
      <c r="E50" s="806">
        <v>3614</v>
      </c>
      <c r="F50" s="806">
        <v>3762</v>
      </c>
      <c r="G50" s="806">
        <v>4927</v>
      </c>
      <c r="H50" s="806">
        <v>5918</v>
      </c>
      <c r="I50" s="807">
        <f t="shared" si="1"/>
        <v>6615</v>
      </c>
    </row>
    <row r="51" spans="1:9" ht="12.75" customHeight="1" thickBot="1">
      <c r="A51" s="778" t="s">
        <v>123</v>
      </c>
      <c r="B51" s="805" t="s">
        <v>351</v>
      </c>
      <c r="C51" s="806">
        <v>1078</v>
      </c>
      <c r="D51" s="806">
        <v>1110</v>
      </c>
      <c r="E51" s="806">
        <v>1125</v>
      </c>
      <c r="F51" s="806">
        <v>1121</v>
      </c>
      <c r="G51" s="806">
        <v>1267</v>
      </c>
      <c r="H51" s="806">
        <v>1484</v>
      </c>
      <c r="I51" s="807">
        <f t="shared" si="1"/>
        <v>1617</v>
      </c>
    </row>
    <row r="52" spans="1:9" ht="12.75" customHeight="1" thickBot="1">
      <c r="A52" s="778" t="s">
        <v>125</v>
      </c>
      <c r="B52" s="805" t="s">
        <v>126</v>
      </c>
      <c r="C52" s="806">
        <v>1828</v>
      </c>
      <c r="D52" s="806">
        <v>1830</v>
      </c>
      <c r="E52" s="806">
        <v>1926</v>
      </c>
      <c r="F52" s="806">
        <v>2242</v>
      </c>
      <c r="G52" s="806">
        <v>2832</v>
      </c>
      <c r="H52" s="806">
        <v>3315</v>
      </c>
      <c r="I52" s="807">
        <f t="shared" si="1"/>
        <v>3822</v>
      </c>
    </row>
    <row r="53" spans="1:9" ht="12.75" customHeight="1" thickBot="1">
      <c r="A53" s="778" t="s">
        <v>127</v>
      </c>
      <c r="B53" s="805" t="s">
        <v>128</v>
      </c>
      <c r="C53" s="806">
        <v>1259</v>
      </c>
      <c r="D53" s="806">
        <v>1362</v>
      </c>
      <c r="E53" s="806">
        <v>1392</v>
      </c>
      <c r="F53" s="806">
        <v>1457</v>
      </c>
      <c r="G53" s="806">
        <v>1795</v>
      </c>
      <c r="H53" s="806">
        <v>2337</v>
      </c>
      <c r="I53" s="807">
        <f t="shared" si="1"/>
        <v>2603</v>
      </c>
    </row>
    <row r="54" spans="1:9" ht="12.75" customHeight="1" thickBot="1">
      <c r="A54" s="778" t="s">
        <v>129</v>
      </c>
      <c r="B54" s="805" t="s">
        <v>130</v>
      </c>
      <c r="C54" s="806">
        <v>1757</v>
      </c>
      <c r="D54" s="806">
        <v>1835</v>
      </c>
      <c r="E54" s="806">
        <v>1717</v>
      </c>
      <c r="F54" s="806">
        <v>1682</v>
      </c>
      <c r="G54" s="806">
        <v>1887</v>
      </c>
      <c r="H54" s="806">
        <v>2164</v>
      </c>
      <c r="I54" s="807">
        <f t="shared" si="1"/>
        <v>2306</v>
      </c>
    </row>
    <row r="55" spans="1:9" ht="12.75" customHeight="1" thickBot="1">
      <c r="A55" s="778" t="s">
        <v>131</v>
      </c>
      <c r="B55" s="805" t="s">
        <v>132</v>
      </c>
      <c r="C55" s="806">
        <v>6577</v>
      </c>
      <c r="D55" s="806">
        <v>6638</v>
      </c>
      <c r="E55" s="806">
        <v>6627</v>
      </c>
      <c r="F55" s="806">
        <v>6715</v>
      </c>
      <c r="G55" s="806">
        <v>7032</v>
      </c>
      <c r="H55" s="806">
        <v>7489</v>
      </c>
      <c r="I55" s="807">
        <f t="shared" si="1"/>
        <v>7843</v>
      </c>
    </row>
    <row r="56" spans="1:9" ht="12.75" customHeight="1" thickBot="1">
      <c r="A56" s="778" t="s">
        <v>133</v>
      </c>
      <c r="B56" s="805" t="s">
        <v>134</v>
      </c>
      <c r="C56" s="806">
        <v>5415</v>
      </c>
      <c r="D56" s="806">
        <v>5994</v>
      </c>
      <c r="E56" s="806">
        <v>6245</v>
      </c>
      <c r="F56" s="806">
        <v>6936</v>
      </c>
      <c r="G56" s="806">
        <v>9270</v>
      </c>
      <c r="H56" s="806">
        <v>12053</v>
      </c>
      <c r="I56" s="807">
        <f t="shared" si="1"/>
        <v>14047</v>
      </c>
    </row>
    <row r="57" spans="1:9" ht="12.75" customHeight="1" thickBot="1">
      <c r="A57" s="778" t="s">
        <v>135</v>
      </c>
      <c r="B57" s="805" t="s">
        <v>136</v>
      </c>
      <c r="C57" s="806">
        <v>3067</v>
      </c>
      <c r="D57" s="806">
        <v>3288</v>
      </c>
      <c r="E57" s="806">
        <v>3284</v>
      </c>
      <c r="F57" s="806">
        <v>3448</v>
      </c>
      <c r="G57" s="806">
        <v>4394</v>
      </c>
      <c r="H57" s="806">
        <v>5443</v>
      </c>
      <c r="I57" s="807">
        <f t="shared" si="1"/>
        <v>6130</v>
      </c>
    </row>
    <row r="58" spans="1:9" ht="12.75" customHeight="1" thickBot="1">
      <c r="A58" s="778" t="s">
        <v>137</v>
      </c>
      <c r="B58" s="805" t="s">
        <v>138</v>
      </c>
      <c r="C58" s="806">
        <v>2340</v>
      </c>
      <c r="D58" s="806">
        <v>2500</v>
      </c>
      <c r="E58" s="806">
        <v>2477</v>
      </c>
      <c r="F58" s="806">
        <v>2636</v>
      </c>
      <c r="G58" s="806">
        <v>2906</v>
      </c>
      <c r="H58" s="806">
        <v>3282</v>
      </c>
      <c r="I58" s="807">
        <f t="shared" si="1"/>
        <v>3460</v>
      </c>
    </row>
    <row r="59" spans="1:9" ht="12.75" customHeight="1" thickBot="1">
      <c r="A59" s="778" t="s">
        <v>141</v>
      </c>
      <c r="B59" s="805" t="s">
        <v>142</v>
      </c>
      <c r="C59" s="806">
        <v>1043</v>
      </c>
      <c r="D59" s="806">
        <v>1023</v>
      </c>
      <c r="E59" s="806">
        <v>1067</v>
      </c>
      <c r="F59" s="806">
        <v>1191</v>
      </c>
      <c r="G59" s="806">
        <v>1572</v>
      </c>
      <c r="H59" s="806">
        <v>1991</v>
      </c>
      <c r="I59" s="807">
        <f t="shared" si="1"/>
        <v>2203</v>
      </c>
    </row>
    <row r="60" spans="1:9" ht="12.75" customHeight="1" thickBot="1">
      <c r="A60" s="778" t="s">
        <v>147</v>
      </c>
      <c r="B60" s="805" t="s">
        <v>148</v>
      </c>
      <c r="C60" s="806">
        <v>839</v>
      </c>
      <c r="D60" s="806">
        <v>889</v>
      </c>
      <c r="E60" s="806">
        <v>881</v>
      </c>
      <c r="F60" s="806">
        <v>918</v>
      </c>
      <c r="G60" s="806">
        <v>1057</v>
      </c>
      <c r="H60" s="806">
        <v>1286</v>
      </c>
      <c r="I60" s="807">
        <f t="shared" si="1"/>
        <v>1413</v>
      </c>
    </row>
    <row r="61" spans="1:9" ht="12.75" customHeight="1" thickBot="1">
      <c r="A61" s="778" t="s">
        <v>149</v>
      </c>
      <c r="B61" s="805" t="s">
        <v>150</v>
      </c>
      <c r="C61" s="806">
        <v>4961</v>
      </c>
      <c r="D61" s="806">
        <v>5123</v>
      </c>
      <c r="E61" s="806">
        <v>5061</v>
      </c>
      <c r="F61" s="806">
        <v>5189</v>
      </c>
      <c r="G61" s="806">
        <v>5792</v>
      </c>
      <c r="H61" s="806">
        <v>6849</v>
      </c>
      <c r="I61" s="807">
        <f t="shared" si="1"/>
        <v>7227</v>
      </c>
    </row>
    <row r="62" spans="1:9" ht="12.75" customHeight="1" thickBot="1">
      <c r="A62" s="778" t="s">
        <v>151</v>
      </c>
      <c r="B62" s="805" t="s">
        <v>152</v>
      </c>
      <c r="C62" s="806">
        <v>1263</v>
      </c>
      <c r="D62" s="806">
        <v>1345</v>
      </c>
      <c r="E62" s="806">
        <v>1301</v>
      </c>
      <c r="F62" s="806">
        <v>1324</v>
      </c>
      <c r="G62" s="806">
        <v>1549</v>
      </c>
      <c r="H62" s="806">
        <v>1867</v>
      </c>
      <c r="I62" s="807">
        <f t="shared" si="1"/>
        <v>2041</v>
      </c>
    </row>
    <row r="63" spans="1:9" ht="12.75" customHeight="1" thickBot="1">
      <c r="A63" s="778" t="s">
        <v>153</v>
      </c>
      <c r="B63" s="805" t="s">
        <v>154</v>
      </c>
      <c r="C63" s="806">
        <v>7069</v>
      </c>
      <c r="D63" s="806">
        <v>7516</v>
      </c>
      <c r="E63" s="806">
        <v>7813</v>
      </c>
      <c r="F63" s="806">
        <v>8317</v>
      </c>
      <c r="G63" s="806">
        <v>9107</v>
      </c>
      <c r="H63" s="806">
        <v>10238</v>
      </c>
      <c r="I63" s="807">
        <f t="shared" si="1"/>
        <v>10993</v>
      </c>
    </row>
    <row r="64" spans="1:9" ht="12.75" customHeight="1" thickBot="1">
      <c r="A64" s="778" t="s">
        <v>155</v>
      </c>
      <c r="B64" s="805" t="s">
        <v>156</v>
      </c>
      <c r="C64" s="806">
        <v>1493</v>
      </c>
      <c r="D64" s="806">
        <v>1609</v>
      </c>
      <c r="E64" s="806">
        <v>1895</v>
      </c>
      <c r="F64" s="806">
        <v>2047</v>
      </c>
      <c r="G64" s="806">
        <v>2516</v>
      </c>
      <c r="H64" s="806">
        <v>2912</v>
      </c>
      <c r="I64" s="807">
        <f t="shared" si="1"/>
        <v>3081</v>
      </c>
    </row>
    <row r="65" spans="1:9" ht="12.75" customHeight="1" thickBot="1">
      <c r="A65" s="778" t="s">
        <v>157</v>
      </c>
      <c r="B65" s="805" t="s">
        <v>158</v>
      </c>
      <c r="C65" s="806">
        <v>791</v>
      </c>
      <c r="D65" s="806">
        <v>819</v>
      </c>
      <c r="E65" s="806">
        <v>772</v>
      </c>
      <c r="F65" s="806">
        <v>898</v>
      </c>
      <c r="G65" s="806">
        <v>1097</v>
      </c>
      <c r="H65" s="806">
        <v>1427</v>
      </c>
      <c r="I65" s="807">
        <f t="shared" si="1"/>
        <v>1722</v>
      </c>
    </row>
    <row r="66" spans="1:9" ht="12.75" customHeight="1" thickBot="1">
      <c r="A66" s="778" t="s">
        <v>163</v>
      </c>
      <c r="B66" s="805" t="s">
        <v>164</v>
      </c>
      <c r="C66" s="806">
        <v>2991</v>
      </c>
      <c r="D66" s="806">
        <v>3211</v>
      </c>
      <c r="E66" s="806">
        <v>3193</v>
      </c>
      <c r="F66" s="806">
        <v>3131</v>
      </c>
      <c r="G66" s="806">
        <v>3392</v>
      </c>
      <c r="H66" s="806">
        <v>3682</v>
      </c>
      <c r="I66" s="807">
        <f t="shared" si="1"/>
        <v>4028</v>
      </c>
    </row>
    <row r="67" spans="1:9" ht="12.75" customHeight="1" thickBot="1">
      <c r="A67" s="778" t="s">
        <v>165</v>
      </c>
      <c r="B67" s="805" t="s">
        <v>166</v>
      </c>
      <c r="C67" s="806">
        <v>1609</v>
      </c>
      <c r="D67" s="806">
        <v>1582</v>
      </c>
      <c r="E67" s="806">
        <v>1580</v>
      </c>
      <c r="F67" s="806">
        <v>1609</v>
      </c>
      <c r="G67" s="806">
        <v>1759</v>
      </c>
      <c r="H67" s="806">
        <v>2043</v>
      </c>
      <c r="I67" s="807">
        <f t="shared" si="1"/>
        <v>2243</v>
      </c>
    </row>
    <row r="68" spans="1:9" ht="12.75" customHeight="1" thickBot="1">
      <c r="A68" s="778" t="s">
        <v>169</v>
      </c>
      <c r="B68" s="805" t="s">
        <v>170</v>
      </c>
      <c r="C68" s="806">
        <v>2913</v>
      </c>
      <c r="D68" s="806">
        <v>3042</v>
      </c>
      <c r="E68" s="806">
        <v>3026</v>
      </c>
      <c r="F68" s="806">
        <v>3238</v>
      </c>
      <c r="G68" s="806">
        <v>3771</v>
      </c>
      <c r="H68" s="806">
        <v>4257</v>
      </c>
      <c r="I68" s="807">
        <f t="shared" ref="I68:I99" si="2">VLOOKUP(A68,SNAP_DEMO_2011,11,FALSE)</f>
        <v>4696</v>
      </c>
    </row>
    <row r="69" spans="1:9" ht="12.75" customHeight="1" thickBot="1">
      <c r="A69" s="778" t="s">
        <v>171</v>
      </c>
      <c r="B69" s="805" t="s">
        <v>172</v>
      </c>
      <c r="C69" s="806">
        <v>2459</v>
      </c>
      <c r="D69" s="806">
        <v>2480</v>
      </c>
      <c r="E69" s="806">
        <v>2549</v>
      </c>
      <c r="F69" s="806">
        <v>2966</v>
      </c>
      <c r="G69" s="806">
        <v>3782</v>
      </c>
      <c r="H69" s="806">
        <v>4512</v>
      </c>
      <c r="I69" s="807">
        <f t="shared" si="2"/>
        <v>4983</v>
      </c>
    </row>
    <row r="70" spans="1:9" ht="12.75" customHeight="1" thickBot="1">
      <c r="A70" s="778" t="s">
        <v>173</v>
      </c>
      <c r="B70" s="805" t="s">
        <v>174</v>
      </c>
      <c r="C70" s="806">
        <v>2891</v>
      </c>
      <c r="D70" s="806">
        <v>3166</v>
      </c>
      <c r="E70" s="806">
        <v>3418</v>
      </c>
      <c r="F70" s="806">
        <v>3698</v>
      </c>
      <c r="G70" s="806">
        <v>4426</v>
      </c>
      <c r="H70" s="806">
        <v>5111</v>
      </c>
      <c r="I70" s="807">
        <f t="shared" si="2"/>
        <v>5336</v>
      </c>
    </row>
    <row r="71" spans="1:9" ht="12.75" customHeight="1" thickBot="1">
      <c r="A71" s="778" t="s">
        <v>175</v>
      </c>
      <c r="B71" s="805" t="s">
        <v>176</v>
      </c>
      <c r="C71" s="806">
        <v>3537</v>
      </c>
      <c r="D71" s="806">
        <v>3620</v>
      </c>
      <c r="E71" s="806">
        <v>3705</v>
      </c>
      <c r="F71" s="806">
        <v>3966</v>
      </c>
      <c r="G71" s="806">
        <v>4407</v>
      </c>
      <c r="H71" s="806">
        <v>4742</v>
      </c>
      <c r="I71" s="807">
        <f t="shared" si="2"/>
        <v>4999</v>
      </c>
    </row>
    <row r="72" spans="1:9" ht="12.75" customHeight="1" thickBot="1">
      <c r="A72" s="778" t="s">
        <v>179</v>
      </c>
      <c r="B72" s="805" t="s">
        <v>180</v>
      </c>
      <c r="C72" s="806">
        <v>8896</v>
      </c>
      <c r="D72" s="806">
        <v>9645</v>
      </c>
      <c r="E72" s="806">
        <v>10085</v>
      </c>
      <c r="F72" s="806">
        <v>10607</v>
      </c>
      <c r="G72" s="806">
        <v>11901</v>
      </c>
      <c r="H72" s="806">
        <v>13191</v>
      </c>
      <c r="I72" s="807">
        <f t="shared" si="2"/>
        <v>13999</v>
      </c>
    </row>
    <row r="73" spans="1:9" ht="12.75" customHeight="1" thickBot="1">
      <c r="A73" s="778" t="s">
        <v>183</v>
      </c>
      <c r="B73" s="805" t="s">
        <v>184</v>
      </c>
      <c r="C73" s="806">
        <v>903</v>
      </c>
      <c r="D73" s="806">
        <v>932</v>
      </c>
      <c r="E73" s="806">
        <v>1049</v>
      </c>
      <c r="F73" s="806">
        <v>1120</v>
      </c>
      <c r="G73" s="806">
        <v>1409</v>
      </c>
      <c r="H73" s="806">
        <v>1829</v>
      </c>
      <c r="I73" s="807">
        <f t="shared" si="2"/>
        <v>2061</v>
      </c>
    </row>
    <row r="74" spans="1:9" ht="12.75" customHeight="1" thickBot="1">
      <c r="A74" s="778" t="s">
        <v>185</v>
      </c>
      <c r="B74" s="805" t="s">
        <v>186</v>
      </c>
      <c r="C74" s="806">
        <v>3363</v>
      </c>
      <c r="D74" s="806">
        <v>3633</v>
      </c>
      <c r="E74" s="806">
        <v>3631</v>
      </c>
      <c r="F74" s="806">
        <v>3814</v>
      </c>
      <c r="G74" s="806">
        <v>4162</v>
      </c>
      <c r="H74" s="806">
        <v>4684</v>
      </c>
      <c r="I74" s="807">
        <f t="shared" si="2"/>
        <v>5034</v>
      </c>
    </row>
    <row r="75" spans="1:9" ht="12.75" customHeight="1" thickBot="1">
      <c r="A75" s="778" t="s">
        <v>187</v>
      </c>
      <c r="B75" s="805" t="s">
        <v>188</v>
      </c>
      <c r="C75" s="806">
        <v>2279</v>
      </c>
      <c r="D75" s="806">
        <v>2452</v>
      </c>
      <c r="E75" s="806">
        <v>2648</v>
      </c>
      <c r="F75" s="806">
        <v>2805</v>
      </c>
      <c r="G75" s="806">
        <v>3044</v>
      </c>
      <c r="H75" s="806">
        <v>3637</v>
      </c>
      <c r="I75" s="807">
        <f t="shared" si="2"/>
        <v>4023</v>
      </c>
    </row>
    <row r="76" spans="1:9" ht="12.75" customHeight="1" thickBot="1">
      <c r="A76" s="778" t="s">
        <v>189</v>
      </c>
      <c r="B76" s="805" t="s">
        <v>190</v>
      </c>
      <c r="C76" s="806">
        <v>18234</v>
      </c>
      <c r="D76" s="806">
        <v>20079</v>
      </c>
      <c r="E76" s="806">
        <v>21242</v>
      </c>
      <c r="F76" s="806">
        <v>23240</v>
      </c>
      <c r="G76" s="806">
        <v>29717</v>
      </c>
      <c r="H76" s="806">
        <v>37357</v>
      </c>
      <c r="I76" s="807">
        <f t="shared" si="2"/>
        <v>42476</v>
      </c>
    </row>
    <row r="77" spans="1:9" ht="12.75" customHeight="1" thickBot="1">
      <c r="A77" s="778" t="s">
        <v>191</v>
      </c>
      <c r="B77" s="805" t="s">
        <v>192</v>
      </c>
      <c r="C77" s="806">
        <v>5607</v>
      </c>
      <c r="D77" s="806">
        <v>5931</v>
      </c>
      <c r="E77" s="806">
        <v>6074</v>
      </c>
      <c r="F77" s="806">
        <v>6296</v>
      </c>
      <c r="G77" s="806">
        <v>7096</v>
      </c>
      <c r="H77" s="806">
        <v>8075</v>
      </c>
      <c r="I77" s="807">
        <f t="shared" si="2"/>
        <v>8499</v>
      </c>
    </row>
    <row r="78" spans="1:9" ht="12.75" customHeight="1" thickBot="1">
      <c r="A78" s="778" t="s">
        <v>195</v>
      </c>
      <c r="B78" s="805" t="s">
        <v>196</v>
      </c>
      <c r="C78" s="806">
        <v>288</v>
      </c>
      <c r="D78" s="806">
        <v>339</v>
      </c>
      <c r="E78" s="806">
        <v>355</v>
      </c>
      <c r="F78" s="806">
        <v>407</v>
      </c>
      <c r="G78" s="806">
        <v>583</v>
      </c>
      <c r="H78" s="806">
        <v>706</v>
      </c>
      <c r="I78" s="807">
        <f t="shared" si="2"/>
        <v>793</v>
      </c>
    </row>
    <row r="79" spans="1:9" ht="12.75" customHeight="1" thickBot="1">
      <c r="A79" s="778" t="s">
        <v>199</v>
      </c>
      <c r="B79" s="805" t="s">
        <v>285</v>
      </c>
      <c r="C79" s="806">
        <v>1300</v>
      </c>
      <c r="D79" s="806">
        <v>1399</v>
      </c>
      <c r="E79" s="806">
        <v>1351</v>
      </c>
      <c r="F79" s="806">
        <v>1395</v>
      </c>
      <c r="G79" s="806">
        <v>1642</v>
      </c>
      <c r="H79" s="806">
        <v>1911</v>
      </c>
      <c r="I79" s="807">
        <f t="shared" si="2"/>
        <v>2044</v>
      </c>
    </row>
    <row r="80" spans="1:9" ht="12.75" customHeight="1" thickBot="1">
      <c r="A80" s="778" t="s">
        <v>203</v>
      </c>
      <c r="B80" s="805" t="s">
        <v>368</v>
      </c>
      <c r="C80" s="806">
        <v>6822</v>
      </c>
      <c r="D80" s="806">
        <v>7586</v>
      </c>
      <c r="E80" s="806">
        <v>7840</v>
      </c>
      <c r="F80" s="806">
        <v>7974</v>
      </c>
      <c r="G80" s="806">
        <v>9054</v>
      </c>
      <c r="H80" s="806">
        <v>11141</v>
      </c>
      <c r="I80" s="807">
        <f t="shared" si="2"/>
        <v>12248</v>
      </c>
    </row>
    <row r="81" spans="1:9" ht="12.75" customHeight="1" thickBot="1">
      <c r="A81" s="778" t="s">
        <v>205</v>
      </c>
      <c r="B81" s="805" t="s">
        <v>359</v>
      </c>
      <c r="C81" s="806">
        <v>3053</v>
      </c>
      <c r="D81" s="806">
        <v>3199</v>
      </c>
      <c r="E81" s="806">
        <v>3305</v>
      </c>
      <c r="F81" s="806">
        <v>3568</v>
      </c>
      <c r="G81" s="806">
        <v>4480</v>
      </c>
      <c r="H81" s="806">
        <v>5243</v>
      </c>
      <c r="I81" s="807">
        <f t="shared" si="2"/>
        <v>5698</v>
      </c>
    </row>
    <row r="82" spans="1:9" ht="12.75" customHeight="1" thickBot="1">
      <c r="A82" s="778" t="s">
        <v>207</v>
      </c>
      <c r="B82" s="805" t="s">
        <v>360</v>
      </c>
      <c r="C82" s="806">
        <v>10200</v>
      </c>
      <c r="D82" s="806">
        <v>10962</v>
      </c>
      <c r="E82" s="806">
        <v>11116</v>
      </c>
      <c r="F82" s="806">
        <v>11547</v>
      </c>
      <c r="G82" s="806">
        <v>13416</v>
      </c>
      <c r="H82" s="806">
        <v>16264</v>
      </c>
      <c r="I82" s="807">
        <f t="shared" si="2"/>
        <v>18232</v>
      </c>
    </row>
    <row r="83" spans="1:9" ht="12.75" customHeight="1" thickBot="1">
      <c r="A83" s="778" t="s">
        <v>209</v>
      </c>
      <c r="B83" s="805" t="s">
        <v>210</v>
      </c>
      <c r="C83" s="806">
        <v>6442</v>
      </c>
      <c r="D83" s="806">
        <v>6448</v>
      </c>
      <c r="E83" s="806">
        <v>6597</v>
      </c>
      <c r="F83" s="806">
        <v>6759</v>
      </c>
      <c r="G83" s="806">
        <v>7059</v>
      </c>
      <c r="H83" s="806">
        <v>7694</v>
      </c>
      <c r="I83" s="807">
        <f t="shared" si="2"/>
        <v>7896</v>
      </c>
    </row>
    <row r="84" spans="1:9" ht="12.75" customHeight="1" thickBot="1">
      <c r="A84" s="778" t="s">
        <v>211</v>
      </c>
      <c r="B84" s="805" t="s">
        <v>212</v>
      </c>
      <c r="C84" s="806">
        <v>3591</v>
      </c>
      <c r="D84" s="806">
        <v>3779</v>
      </c>
      <c r="E84" s="806">
        <v>3886</v>
      </c>
      <c r="F84" s="806">
        <v>3856</v>
      </c>
      <c r="G84" s="806">
        <v>4327</v>
      </c>
      <c r="H84" s="806">
        <v>4929</v>
      </c>
      <c r="I84" s="807">
        <f t="shared" si="2"/>
        <v>5312</v>
      </c>
    </row>
    <row r="85" spans="1:9" ht="12.75" customHeight="1" thickBot="1">
      <c r="A85" s="778" t="s">
        <v>213</v>
      </c>
      <c r="B85" s="805" t="s">
        <v>214</v>
      </c>
      <c r="C85" s="806">
        <v>3450</v>
      </c>
      <c r="D85" s="806">
        <v>3711</v>
      </c>
      <c r="E85" s="806">
        <v>3919</v>
      </c>
      <c r="F85" s="806">
        <v>4544</v>
      </c>
      <c r="G85" s="806">
        <v>5894</v>
      </c>
      <c r="H85" s="806">
        <v>7133</v>
      </c>
      <c r="I85" s="807">
        <f t="shared" si="2"/>
        <v>7536</v>
      </c>
    </row>
    <row r="86" spans="1:9" ht="12.75" customHeight="1" thickBot="1">
      <c r="A86" s="778" t="s">
        <v>215</v>
      </c>
      <c r="B86" s="805" t="s">
        <v>216</v>
      </c>
      <c r="C86" s="806">
        <v>5860</v>
      </c>
      <c r="D86" s="806">
        <v>6278</v>
      </c>
      <c r="E86" s="806">
        <v>6640</v>
      </c>
      <c r="F86" s="806">
        <v>7005</v>
      </c>
      <c r="G86" s="806">
        <v>7745</v>
      </c>
      <c r="H86" s="806">
        <v>8433</v>
      </c>
      <c r="I86" s="807">
        <f t="shared" si="2"/>
        <v>8932</v>
      </c>
    </row>
    <row r="87" spans="1:9" ht="12.75" customHeight="1" thickBot="1">
      <c r="A87" s="778" t="s">
        <v>217</v>
      </c>
      <c r="B87" s="805" t="s">
        <v>218</v>
      </c>
      <c r="C87" s="806">
        <v>2811</v>
      </c>
      <c r="D87" s="806">
        <v>3041</v>
      </c>
      <c r="E87" s="806">
        <v>3172</v>
      </c>
      <c r="F87" s="806">
        <v>3318</v>
      </c>
      <c r="G87" s="806">
        <v>3549</v>
      </c>
      <c r="H87" s="806">
        <v>3784</v>
      </c>
      <c r="I87" s="807">
        <f t="shared" si="2"/>
        <v>3972</v>
      </c>
    </row>
    <row r="88" spans="1:9" ht="12.75" customHeight="1" thickBot="1">
      <c r="A88" s="778" t="s">
        <v>219</v>
      </c>
      <c r="B88" s="805" t="s">
        <v>220</v>
      </c>
      <c r="C88" s="806">
        <v>6868</v>
      </c>
      <c r="D88" s="806">
        <v>7494</v>
      </c>
      <c r="E88" s="806">
        <v>8348</v>
      </c>
      <c r="F88" s="806">
        <v>9931</v>
      </c>
      <c r="G88" s="806">
        <v>12903</v>
      </c>
      <c r="H88" s="806">
        <v>15463</v>
      </c>
      <c r="I88" s="807">
        <f t="shared" si="2"/>
        <v>17402</v>
      </c>
    </row>
    <row r="89" spans="1:9" ht="12.75" customHeight="1" thickBot="1">
      <c r="A89" s="778" t="s">
        <v>221</v>
      </c>
      <c r="B89" s="805" t="s">
        <v>222</v>
      </c>
      <c r="C89" s="806">
        <v>6097</v>
      </c>
      <c r="D89" s="806">
        <v>6771</v>
      </c>
      <c r="E89" s="806">
        <v>7609</v>
      </c>
      <c r="F89" s="806">
        <v>8638</v>
      </c>
      <c r="G89" s="806">
        <v>10376</v>
      </c>
      <c r="H89" s="806">
        <v>12571</v>
      </c>
      <c r="I89" s="807">
        <f t="shared" si="2"/>
        <v>13923</v>
      </c>
    </row>
    <row r="90" spans="1:9" ht="12.75" customHeight="1" thickBot="1">
      <c r="A90" s="778" t="s">
        <v>225</v>
      </c>
      <c r="B90" s="805" t="s">
        <v>226</v>
      </c>
      <c r="C90" s="806">
        <v>957</v>
      </c>
      <c r="D90" s="806">
        <v>1028</v>
      </c>
      <c r="E90" s="806">
        <v>1009</v>
      </c>
      <c r="F90" s="806">
        <v>952</v>
      </c>
      <c r="G90" s="806">
        <v>1083</v>
      </c>
      <c r="H90" s="806">
        <v>1345</v>
      </c>
      <c r="I90" s="807">
        <f t="shared" si="2"/>
        <v>1412</v>
      </c>
    </row>
    <row r="91" spans="1:9" ht="12.75" customHeight="1" thickBot="1">
      <c r="A91" s="778" t="s">
        <v>227</v>
      </c>
      <c r="B91" s="805" t="s">
        <v>228</v>
      </c>
      <c r="C91" s="806">
        <v>1873</v>
      </c>
      <c r="D91" s="806">
        <v>2072</v>
      </c>
      <c r="E91" s="806">
        <v>2049</v>
      </c>
      <c r="F91" s="806">
        <v>2029</v>
      </c>
      <c r="G91" s="806">
        <v>2222</v>
      </c>
      <c r="H91" s="806">
        <v>2521</v>
      </c>
      <c r="I91" s="807">
        <f t="shared" si="2"/>
        <v>2666</v>
      </c>
    </row>
    <row r="92" spans="1:9" ht="12.75" customHeight="1" thickBot="1">
      <c r="A92" s="778" t="s">
        <v>229</v>
      </c>
      <c r="B92" s="805" t="s">
        <v>230</v>
      </c>
      <c r="C92" s="806">
        <v>8509</v>
      </c>
      <c r="D92" s="806">
        <v>8628</v>
      </c>
      <c r="E92" s="806">
        <v>8828</v>
      </c>
      <c r="F92" s="806">
        <v>8512</v>
      </c>
      <c r="G92" s="806">
        <v>8652</v>
      </c>
      <c r="H92" s="806">
        <v>9799</v>
      </c>
      <c r="I92" s="807">
        <f t="shared" si="2"/>
        <v>10221</v>
      </c>
    </row>
    <row r="93" spans="1:9" ht="12.75" customHeight="1" thickBot="1">
      <c r="A93" s="778" t="s">
        <v>233</v>
      </c>
      <c r="B93" s="805" t="s">
        <v>234</v>
      </c>
      <c r="C93" s="806">
        <v>3306</v>
      </c>
      <c r="D93" s="806">
        <v>3409</v>
      </c>
      <c r="E93" s="806">
        <v>3630</v>
      </c>
      <c r="F93" s="806">
        <v>4186</v>
      </c>
      <c r="G93" s="806">
        <v>5407</v>
      </c>
      <c r="H93" s="806">
        <v>6542</v>
      </c>
      <c r="I93" s="807">
        <f t="shared" si="2"/>
        <v>7176</v>
      </c>
    </row>
    <row r="94" spans="1:9" ht="12.75" customHeight="1" thickBot="1">
      <c r="A94" s="778" t="s">
        <v>235</v>
      </c>
      <c r="B94" s="805" t="s">
        <v>236</v>
      </c>
      <c r="C94" s="806">
        <v>6606</v>
      </c>
      <c r="D94" s="806">
        <v>7053</v>
      </c>
      <c r="E94" s="806">
        <v>7290</v>
      </c>
      <c r="F94" s="806">
        <v>7722</v>
      </c>
      <c r="G94" s="806">
        <v>8728</v>
      </c>
      <c r="H94" s="806">
        <v>9895</v>
      </c>
      <c r="I94" s="807">
        <f t="shared" si="2"/>
        <v>10532</v>
      </c>
    </row>
    <row r="95" spans="1:9" ht="12.75" customHeight="1" thickBot="1">
      <c r="A95" s="778" t="s">
        <v>237</v>
      </c>
      <c r="B95" s="805" t="s">
        <v>238</v>
      </c>
      <c r="C95" s="806">
        <v>2827</v>
      </c>
      <c r="D95" s="806">
        <v>2759</v>
      </c>
      <c r="E95" s="806">
        <v>2667</v>
      </c>
      <c r="F95" s="806">
        <v>2810</v>
      </c>
      <c r="G95" s="806">
        <v>3368</v>
      </c>
      <c r="H95" s="806">
        <v>3969</v>
      </c>
      <c r="I95" s="807">
        <f t="shared" si="2"/>
        <v>4431</v>
      </c>
    </row>
    <row r="96" spans="1:9" ht="12.75" customHeight="1" thickBot="1">
      <c r="A96" s="778" t="s">
        <v>243</v>
      </c>
      <c r="B96" s="805" t="s">
        <v>244</v>
      </c>
      <c r="C96" s="806">
        <v>10226</v>
      </c>
      <c r="D96" s="806">
        <v>10129</v>
      </c>
      <c r="E96" s="806">
        <v>10211</v>
      </c>
      <c r="F96" s="806">
        <v>10166</v>
      </c>
      <c r="G96" s="806">
        <v>10486</v>
      </c>
      <c r="H96" s="806">
        <v>11048</v>
      </c>
      <c r="I96" s="807">
        <f t="shared" si="2"/>
        <v>11480</v>
      </c>
    </row>
    <row r="97" spans="1:9" ht="12.75" customHeight="1" thickBot="1">
      <c r="A97" s="778" t="s">
        <v>245</v>
      </c>
      <c r="B97" s="805" t="s">
        <v>246</v>
      </c>
      <c r="C97" s="806">
        <v>4160</v>
      </c>
      <c r="D97" s="806">
        <v>4403</v>
      </c>
      <c r="E97" s="806">
        <v>4582</v>
      </c>
      <c r="F97" s="806">
        <v>4900</v>
      </c>
      <c r="G97" s="806">
        <v>5560</v>
      </c>
      <c r="H97" s="806">
        <v>6315</v>
      </c>
      <c r="I97" s="807">
        <f t="shared" si="2"/>
        <v>6660</v>
      </c>
    </row>
    <row r="98" spans="1:9" ht="12.75" customHeight="1" thickBot="1">
      <c r="A98" s="778" t="s">
        <v>247</v>
      </c>
      <c r="B98" s="805" t="s">
        <v>248</v>
      </c>
      <c r="C98" s="806">
        <v>2531</v>
      </c>
      <c r="D98" s="806">
        <v>2706</v>
      </c>
      <c r="E98" s="806">
        <v>2733</v>
      </c>
      <c r="F98" s="806">
        <v>2796</v>
      </c>
      <c r="G98" s="806">
        <v>3473</v>
      </c>
      <c r="H98" s="806">
        <v>4195</v>
      </c>
      <c r="I98" s="807">
        <f t="shared" si="2"/>
        <v>4936</v>
      </c>
    </row>
    <row r="99" spans="1:9" ht="12.75" customHeight="1" thickBot="1">
      <c r="A99" s="778" t="s">
        <v>14</v>
      </c>
      <c r="B99" s="805" t="s">
        <v>15</v>
      </c>
      <c r="C99" s="806">
        <v>8617</v>
      </c>
      <c r="D99" s="806">
        <v>8531</v>
      </c>
      <c r="E99" s="806">
        <v>8415</v>
      </c>
      <c r="F99" s="806">
        <v>8784</v>
      </c>
      <c r="G99" s="806">
        <v>10378</v>
      </c>
      <c r="H99" s="806">
        <v>12461</v>
      </c>
      <c r="I99" s="807">
        <f t="shared" si="2"/>
        <v>13844</v>
      </c>
    </row>
    <row r="100" spans="1:9" ht="12.75" customHeight="1" thickBot="1">
      <c r="A100" s="778" t="s">
        <v>35</v>
      </c>
      <c r="B100" s="805" t="s">
        <v>36</v>
      </c>
      <c r="C100" s="806">
        <v>4478</v>
      </c>
      <c r="D100" s="806">
        <v>4811</v>
      </c>
      <c r="E100" s="806">
        <v>4980</v>
      </c>
      <c r="F100" s="806">
        <v>5320</v>
      </c>
      <c r="G100" s="806">
        <v>6079</v>
      </c>
      <c r="H100" s="806">
        <v>6477</v>
      </c>
      <c r="I100" s="807">
        <f t="shared" ref="I100:I123" si="3">VLOOKUP(A100,SNAP_DEMO_2011,11,FALSE)</f>
        <v>6655</v>
      </c>
    </row>
    <row r="101" spans="1:9" ht="12.75" customHeight="1" thickBot="1">
      <c r="A101" s="778" t="s">
        <v>53</v>
      </c>
      <c r="B101" s="805" t="s">
        <v>54</v>
      </c>
      <c r="C101" s="806">
        <v>6119</v>
      </c>
      <c r="D101" s="806">
        <v>6225</v>
      </c>
      <c r="E101" s="806">
        <v>6016</v>
      </c>
      <c r="F101" s="806">
        <v>6105</v>
      </c>
      <c r="G101" s="806">
        <v>6948</v>
      </c>
      <c r="H101" s="806">
        <v>7945</v>
      </c>
      <c r="I101" s="807">
        <f t="shared" si="3"/>
        <v>8336</v>
      </c>
    </row>
    <row r="102" spans="1:9" ht="12.75" customHeight="1" thickBot="1">
      <c r="A102" s="778" t="s">
        <v>55</v>
      </c>
      <c r="B102" s="805" t="s">
        <v>56</v>
      </c>
      <c r="C102" s="806">
        <v>18719</v>
      </c>
      <c r="D102" s="806">
        <v>19669</v>
      </c>
      <c r="E102" s="806">
        <v>19177</v>
      </c>
      <c r="F102" s="806">
        <v>20156</v>
      </c>
      <c r="G102" s="806">
        <v>23807</v>
      </c>
      <c r="H102" s="806">
        <v>28721</v>
      </c>
      <c r="I102" s="807">
        <f t="shared" si="3"/>
        <v>31946</v>
      </c>
    </row>
    <row r="103" spans="1:9" ht="12.75" customHeight="1" thickBot="1">
      <c r="A103" s="778" t="s">
        <v>67</v>
      </c>
      <c r="B103" s="805" t="s">
        <v>68</v>
      </c>
      <c r="C103" s="806">
        <v>12334</v>
      </c>
      <c r="D103" s="806">
        <v>13141</v>
      </c>
      <c r="E103" s="806">
        <v>13765</v>
      </c>
      <c r="F103" s="806">
        <v>14215</v>
      </c>
      <c r="G103" s="806">
        <v>15223</v>
      </c>
      <c r="H103" s="806">
        <v>16775</v>
      </c>
      <c r="I103" s="807">
        <f t="shared" si="3"/>
        <v>17554</v>
      </c>
    </row>
    <row r="104" spans="1:9" ht="12.75" customHeight="1" thickBot="1">
      <c r="A104" s="778" t="s">
        <v>83</v>
      </c>
      <c r="B104" s="805" t="s">
        <v>84</v>
      </c>
      <c r="C104" s="806">
        <v>2389</v>
      </c>
      <c r="D104" s="806">
        <v>2571</v>
      </c>
      <c r="E104" s="806">
        <v>2429</v>
      </c>
      <c r="F104" s="806">
        <v>2414</v>
      </c>
      <c r="G104" s="806">
        <v>2663</v>
      </c>
      <c r="H104" s="806">
        <v>3097</v>
      </c>
      <c r="I104" s="807">
        <f t="shared" si="3"/>
        <v>3422</v>
      </c>
    </row>
    <row r="105" spans="1:9" ht="12.75" customHeight="1" thickBot="1">
      <c r="A105" s="778" t="s">
        <v>89</v>
      </c>
      <c r="B105" s="805" t="s">
        <v>90</v>
      </c>
      <c r="C105" s="806">
        <v>3824</v>
      </c>
      <c r="D105" s="806">
        <v>4088</v>
      </c>
      <c r="E105" s="806">
        <v>4156</v>
      </c>
      <c r="F105" s="806">
        <v>4570</v>
      </c>
      <c r="G105" s="806">
        <v>5232</v>
      </c>
      <c r="H105" s="806">
        <v>6129</v>
      </c>
      <c r="I105" s="807">
        <f t="shared" si="3"/>
        <v>6956</v>
      </c>
    </row>
    <row r="106" spans="1:9" ht="12.75" customHeight="1" thickBot="1">
      <c r="A106" s="778" t="s">
        <v>91</v>
      </c>
      <c r="B106" s="805" t="s">
        <v>92</v>
      </c>
      <c r="C106" s="806">
        <v>1984</v>
      </c>
      <c r="D106" s="806">
        <v>2105</v>
      </c>
      <c r="E106" s="806">
        <v>2157</v>
      </c>
      <c r="F106" s="806">
        <v>2353</v>
      </c>
      <c r="G106" s="806">
        <v>2567</v>
      </c>
      <c r="H106" s="806">
        <v>2723</v>
      </c>
      <c r="I106" s="807">
        <f t="shared" si="3"/>
        <v>2793</v>
      </c>
    </row>
    <row r="107" spans="1:9" ht="12.75" customHeight="1" thickBot="1">
      <c r="A107" s="778" t="s">
        <v>107</v>
      </c>
      <c r="B107" s="805" t="s">
        <v>108</v>
      </c>
      <c r="C107" s="806">
        <v>20801</v>
      </c>
      <c r="D107" s="806">
        <v>21510</v>
      </c>
      <c r="E107" s="806">
        <v>20751</v>
      </c>
      <c r="F107" s="806">
        <v>20617</v>
      </c>
      <c r="G107" s="806">
        <v>22560</v>
      </c>
      <c r="H107" s="806">
        <v>25894</v>
      </c>
      <c r="I107" s="807">
        <f t="shared" si="3"/>
        <v>29642</v>
      </c>
    </row>
    <row r="108" spans="1:9" ht="12.75" customHeight="1" thickBot="1">
      <c r="A108" s="778" t="s">
        <v>117</v>
      </c>
      <c r="B108" s="805" t="s">
        <v>118</v>
      </c>
      <c r="C108" s="806">
        <v>6080</v>
      </c>
      <c r="D108" s="806">
        <v>6473</v>
      </c>
      <c r="E108" s="806">
        <v>6519</v>
      </c>
      <c r="F108" s="806">
        <v>6980</v>
      </c>
      <c r="G108" s="806">
        <v>7634</v>
      </c>
      <c r="H108" s="806">
        <v>8487</v>
      </c>
      <c r="I108" s="807">
        <f t="shared" si="3"/>
        <v>9238</v>
      </c>
    </row>
    <row r="109" spans="1:9" ht="12.75" customHeight="1" thickBot="1">
      <c r="A109" s="778" t="s">
        <v>139</v>
      </c>
      <c r="B109" s="805" t="s">
        <v>140</v>
      </c>
      <c r="C109" s="806">
        <v>11871</v>
      </c>
      <c r="D109" s="806">
        <v>12443</v>
      </c>
      <c r="E109" s="806">
        <v>12733</v>
      </c>
      <c r="F109" s="806">
        <v>12854</v>
      </c>
      <c r="G109" s="806">
        <v>14305</v>
      </c>
      <c r="H109" s="806">
        <v>16187</v>
      </c>
      <c r="I109" s="807">
        <f t="shared" si="3"/>
        <v>17521</v>
      </c>
    </row>
    <row r="110" spans="1:9" ht="12.75" customHeight="1" thickBot="1">
      <c r="A110" s="778" t="s">
        <v>143</v>
      </c>
      <c r="B110" s="805" t="s">
        <v>144</v>
      </c>
      <c r="C110" s="806">
        <v>2747</v>
      </c>
      <c r="D110" s="806">
        <v>2921</v>
      </c>
      <c r="E110" s="806">
        <v>3291</v>
      </c>
      <c r="F110" s="806">
        <v>3873</v>
      </c>
      <c r="G110" s="806">
        <v>5113</v>
      </c>
      <c r="H110" s="806">
        <v>6487</v>
      </c>
      <c r="I110" s="807">
        <f t="shared" si="3"/>
        <v>7188</v>
      </c>
    </row>
    <row r="111" spans="1:9" ht="12.75" customHeight="1" thickBot="1">
      <c r="A111" s="778" t="s">
        <v>145</v>
      </c>
      <c r="B111" s="805" t="s">
        <v>146</v>
      </c>
      <c r="C111" s="806">
        <v>764</v>
      </c>
      <c r="D111" s="806">
        <v>1055</v>
      </c>
      <c r="E111" s="806">
        <v>1218</v>
      </c>
      <c r="F111" s="806">
        <v>1456</v>
      </c>
      <c r="G111" s="806">
        <v>1865</v>
      </c>
      <c r="H111" s="806">
        <v>2197</v>
      </c>
      <c r="I111" s="807">
        <f t="shared" si="3"/>
        <v>2241</v>
      </c>
    </row>
    <row r="112" spans="1:9" ht="12.75" customHeight="1" thickBot="1">
      <c r="A112" s="778" t="s">
        <v>159</v>
      </c>
      <c r="B112" s="805" t="s">
        <v>160</v>
      </c>
      <c r="C112" s="806">
        <v>31185</v>
      </c>
      <c r="D112" s="806">
        <v>32205</v>
      </c>
      <c r="E112" s="806">
        <v>31668</v>
      </c>
      <c r="F112" s="806">
        <v>32874</v>
      </c>
      <c r="G112" s="806">
        <v>37452</v>
      </c>
      <c r="H112" s="806">
        <v>43763</v>
      </c>
      <c r="I112" s="807">
        <f t="shared" si="3"/>
        <v>48328</v>
      </c>
    </row>
    <row r="113" spans="1:10" ht="12.75" customHeight="1" thickBot="1">
      <c r="A113" s="778" t="s">
        <v>161</v>
      </c>
      <c r="B113" s="805" t="s">
        <v>162</v>
      </c>
      <c r="C113" s="806">
        <v>46884</v>
      </c>
      <c r="D113" s="806">
        <v>47455</v>
      </c>
      <c r="E113" s="806">
        <v>46778</v>
      </c>
      <c r="F113" s="806">
        <v>47861</v>
      </c>
      <c r="G113" s="806">
        <v>52024</v>
      </c>
      <c r="H113" s="806">
        <v>59460</v>
      </c>
      <c r="I113" s="807">
        <f t="shared" si="3"/>
        <v>64233</v>
      </c>
    </row>
    <row r="114" spans="1:10" ht="12.75" customHeight="1" thickBot="1">
      <c r="A114" s="778" t="s">
        <v>167</v>
      </c>
      <c r="B114" s="805" t="s">
        <v>168</v>
      </c>
      <c r="C114" s="806">
        <v>1214</v>
      </c>
      <c r="D114" s="806">
        <v>1273</v>
      </c>
      <c r="E114" s="806">
        <v>1341</v>
      </c>
      <c r="F114" s="806">
        <v>1371</v>
      </c>
      <c r="G114" s="806">
        <v>1414</v>
      </c>
      <c r="H114" s="806">
        <v>1412</v>
      </c>
      <c r="I114" s="807">
        <f t="shared" si="3"/>
        <v>1477</v>
      </c>
    </row>
    <row r="115" spans="1:10" ht="12.75" customHeight="1" thickBot="1">
      <c r="A115" s="778" t="s">
        <v>177</v>
      </c>
      <c r="B115" s="805" t="s">
        <v>178</v>
      </c>
      <c r="C115" s="806">
        <v>9981</v>
      </c>
      <c r="D115" s="806">
        <v>10336</v>
      </c>
      <c r="E115" s="806">
        <v>10560</v>
      </c>
      <c r="F115" s="806">
        <v>10768</v>
      </c>
      <c r="G115" s="806">
        <v>11894</v>
      </c>
      <c r="H115" s="806">
        <v>13458</v>
      </c>
      <c r="I115" s="807">
        <f t="shared" si="3"/>
        <v>14705</v>
      </c>
    </row>
    <row r="116" spans="1:10" ht="12.75" customHeight="1" thickBot="1">
      <c r="A116" s="778" t="s">
        <v>181</v>
      </c>
      <c r="B116" s="805" t="s">
        <v>182</v>
      </c>
      <c r="C116" s="806">
        <v>20721</v>
      </c>
      <c r="D116" s="806">
        <v>21598</v>
      </c>
      <c r="E116" s="806">
        <v>21494</v>
      </c>
      <c r="F116" s="806">
        <v>21648</v>
      </c>
      <c r="G116" s="806">
        <v>23781</v>
      </c>
      <c r="H116" s="806">
        <v>27393</v>
      </c>
      <c r="I116" s="807">
        <f t="shared" si="3"/>
        <v>29895</v>
      </c>
    </row>
    <row r="117" spans="1:10" ht="12.75" customHeight="1" thickBot="1">
      <c r="A117" s="778" t="s">
        <v>193</v>
      </c>
      <c r="B117" s="805" t="s">
        <v>194</v>
      </c>
      <c r="C117" s="806">
        <v>1823</v>
      </c>
      <c r="D117" s="806">
        <v>1952</v>
      </c>
      <c r="E117" s="806">
        <v>1993</v>
      </c>
      <c r="F117" s="806">
        <v>2066</v>
      </c>
      <c r="G117" s="806">
        <v>2353</v>
      </c>
      <c r="H117" s="806">
        <v>2553</v>
      </c>
      <c r="I117" s="807">
        <f t="shared" si="3"/>
        <v>2647</v>
      </c>
    </row>
    <row r="118" spans="1:10" ht="12.75" customHeight="1" thickBot="1">
      <c r="A118" s="778" t="s">
        <v>197</v>
      </c>
      <c r="B118" s="805" t="s">
        <v>198</v>
      </c>
      <c r="C118" s="806">
        <v>49423</v>
      </c>
      <c r="D118" s="806">
        <v>50881</v>
      </c>
      <c r="E118" s="806">
        <v>51055</v>
      </c>
      <c r="F118" s="806">
        <v>51410</v>
      </c>
      <c r="G118" s="806">
        <v>54498</v>
      </c>
      <c r="H118" s="806">
        <v>62669</v>
      </c>
      <c r="I118" s="807">
        <f t="shared" si="3"/>
        <v>67984</v>
      </c>
    </row>
    <row r="119" spans="1:10" ht="12.75" customHeight="1" thickBot="1">
      <c r="A119" s="778" t="s">
        <v>201</v>
      </c>
      <c r="B119" s="805" t="s">
        <v>202</v>
      </c>
      <c r="C119" s="806">
        <v>19436</v>
      </c>
      <c r="D119" s="806">
        <v>20626</v>
      </c>
      <c r="E119" s="806">
        <v>21476</v>
      </c>
      <c r="F119" s="806">
        <v>22766</v>
      </c>
      <c r="G119" s="806">
        <v>25844</v>
      </c>
      <c r="H119" s="806">
        <v>29553</v>
      </c>
      <c r="I119" s="807">
        <f t="shared" si="3"/>
        <v>31978</v>
      </c>
    </row>
    <row r="120" spans="1:10" ht="12.75" customHeight="1" thickBot="1">
      <c r="A120" s="778" t="s">
        <v>223</v>
      </c>
      <c r="B120" s="805" t="s">
        <v>224</v>
      </c>
      <c r="C120" s="806">
        <v>11261</v>
      </c>
      <c r="D120" s="806">
        <v>11423</v>
      </c>
      <c r="E120" s="806">
        <v>11272</v>
      </c>
      <c r="F120" s="806">
        <v>11546</v>
      </c>
      <c r="G120" s="806">
        <v>12901</v>
      </c>
      <c r="H120" s="806">
        <v>14826</v>
      </c>
      <c r="I120" s="807">
        <f t="shared" si="3"/>
        <v>16549</v>
      </c>
    </row>
    <row r="121" spans="1:10" ht="12.75" customHeight="1" thickBot="1">
      <c r="A121" s="778" t="s">
        <v>231</v>
      </c>
      <c r="B121" s="805" t="s">
        <v>232</v>
      </c>
      <c r="C121" s="806">
        <v>28215</v>
      </c>
      <c r="D121" s="806">
        <v>28835</v>
      </c>
      <c r="E121" s="806">
        <v>27798</v>
      </c>
      <c r="F121" s="806">
        <v>29065</v>
      </c>
      <c r="G121" s="806">
        <v>34361</v>
      </c>
      <c r="H121" s="806">
        <v>43390</v>
      </c>
      <c r="I121" s="807">
        <f t="shared" si="3"/>
        <v>48822</v>
      </c>
    </row>
    <row r="122" spans="1:10" ht="12.75" customHeight="1" thickBot="1">
      <c r="A122" s="778" t="s">
        <v>239</v>
      </c>
      <c r="B122" s="805" t="s">
        <v>240</v>
      </c>
      <c r="C122" s="806">
        <v>857</v>
      </c>
      <c r="D122" s="806">
        <v>991</v>
      </c>
      <c r="E122" s="806">
        <v>953</v>
      </c>
      <c r="F122" s="806">
        <v>1015</v>
      </c>
      <c r="G122" s="806">
        <v>1223</v>
      </c>
      <c r="H122" s="806">
        <v>1515</v>
      </c>
      <c r="I122" s="807">
        <f t="shared" si="3"/>
        <v>1885</v>
      </c>
    </row>
    <row r="123" spans="1:10" ht="12.75" customHeight="1" thickBot="1">
      <c r="A123" s="778" t="s">
        <v>241</v>
      </c>
      <c r="B123" s="805" t="s">
        <v>242</v>
      </c>
      <c r="C123" s="806">
        <v>3348</v>
      </c>
      <c r="D123" s="806">
        <v>3421</v>
      </c>
      <c r="E123" s="806">
        <v>3674</v>
      </c>
      <c r="F123" s="806">
        <v>4204</v>
      </c>
      <c r="G123" s="806">
        <v>5543</v>
      </c>
      <c r="H123" s="806">
        <v>6779</v>
      </c>
      <c r="I123" s="807">
        <f t="shared" si="3"/>
        <v>7511</v>
      </c>
    </row>
    <row r="124" spans="1:10" ht="12.75" customHeight="1" thickBot="1">
      <c r="A124" s="803" t="s">
        <v>8</v>
      </c>
      <c r="B124" s="808" t="s">
        <v>328</v>
      </c>
      <c r="C124" s="806">
        <f t="shared" ref="C124:I124" si="4">SUM(C4:C123)</f>
        <v>751272</v>
      </c>
      <c r="D124" s="806">
        <f t="shared" si="4"/>
        <v>788458</v>
      </c>
      <c r="E124" s="806">
        <f t="shared" si="4"/>
        <v>802040</v>
      </c>
      <c r="F124" s="806">
        <f t="shared" si="4"/>
        <v>843341</v>
      </c>
      <c r="G124" s="806">
        <f t="shared" si="4"/>
        <v>976430</v>
      </c>
      <c r="H124" s="806">
        <f t="shared" si="4"/>
        <v>1149550</v>
      </c>
      <c r="I124" s="809">
        <f t="shared" si="4"/>
        <v>1261087</v>
      </c>
      <c r="J124" s="807"/>
    </row>
    <row r="126" spans="1:10" ht="12.75" customHeight="1">
      <c r="A126" s="778" t="s">
        <v>1172</v>
      </c>
    </row>
    <row r="128" spans="1:10" s="519" customFormat="1">
      <c r="A128" s="519" t="s">
        <v>250</v>
      </c>
    </row>
    <row r="129" spans="1:2" s="519" customFormat="1">
      <c r="A129" s="536" t="s">
        <v>251</v>
      </c>
      <c r="B129" s="407" t="s">
        <v>252</v>
      </c>
    </row>
  </sheetData>
  <hyperlinks>
    <hyperlink ref="B129"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sheetPr>
    <tabColor rgb="FFFFFF00"/>
  </sheetPr>
  <dimension ref="A1:M129"/>
  <sheetViews>
    <sheetView workbookViewId="0">
      <pane ySplit="3" topLeftCell="A95" activePane="bottomLeft" state="frozen"/>
      <selection pane="bottomLeft" activeCell="A126" sqref="A126"/>
    </sheetView>
  </sheetViews>
  <sheetFormatPr defaultRowHeight="12.75"/>
  <cols>
    <col min="1" max="1" width="5.875" style="778" customWidth="1"/>
    <col min="2" max="2" width="24.375" style="778" customWidth="1"/>
    <col min="3" max="3" width="8.75" style="778" customWidth="1"/>
    <col min="4" max="5" width="8.5" style="778" customWidth="1"/>
    <col min="6" max="6" width="8.25" style="778" customWidth="1"/>
    <col min="7" max="7" width="7.375" style="778" customWidth="1"/>
    <col min="8" max="9" width="8.125" style="778" customWidth="1"/>
    <col min="10" max="10" width="11.25" style="778" customWidth="1"/>
    <col min="11" max="12" width="9" style="778"/>
    <col min="13" max="13" width="8.75" style="778" customWidth="1"/>
    <col min="14" max="16384" width="9" style="778"/>
  </cols>
  <sheetData>
    <row r="1" spans="1:13" ht="15.75">
      <c r="B1" s="799" t="s">
        <v>1022</v>
      </c>
    </row>
    <row r="2" spans="1:13" ht="13.5" thickBot="1"/>
    <row r="3" spans="1:13" ht="77.25" thickBot="1">
      <c r="A3" s="1097" t="s">
        <v>4</v>
      </c>
      <c r="B3" s="804" t="s">
        <v>757</v>
      </c>
      <c r="C3" s="1088" t="s">
        <v>764</v>
      </c>
      <c r="D3" s="1088" t="s">
        <v>765</v>
      </c>
      <c r="E3" s="1088" t="s">
        <v>766</v>
      </c>
      <c r="F3" s="1088" t="s">
        <v>767</v>
      </c>
      <c r="G3" s="1088" t="s">
        <v>768</v>
      </c>
      <c r="H3" s="1088" t="s">
        <v>769</v>
      </c>
      <c r="I3" s="1088" t="s">
        <v>844</v>
      </c>
      <c r="J3" s="800" t="s">
        <v>775</v>
      </c>
      <c r="K3" s="1088" t="s">
        <v>776</v>
      </c>
      <c r="M3" s="801" t="s">
        <v>894</v>
      </c>
    </row>
    <row r="4" spans="1:13" ht="13.5" thickBot="1">
      <c r="A4" s="1097" t="s">
        <v>10</v>
      </c>
      <c r="B4" s="805" t="s">
        <v>11</v>
      </c>
      <c r="C4" s="806">
        <v>1056</v>
      </c>
      <c r="D4" s="806">
        <v>1003</v>
      </c>
      <c r="E4" s="806">
        <v>878</v>
      </c>
      <c r="F4" s="806">
        <v>898</v>
      </c>
      <c r="G4" s="806">
        <v>946</v>
      </c>
      <c r="H4" s="806">
        <v>1098</v>
      </c>
      <c r="I4" s="807">
        <v>1096</v>
      </c>
      <c r="J4" s="802"/>
      <c r="K4" s="806">
        <v>1096</v>
      </c>
      <c r="M4" s="676">
        <f>H4/'Poverty 1998-2010'!AC5</f>
        <v>0.16334424278488546</v>
      </c>
    </row>
    <row r="5" spans="1:13" ht="13.5" thickBot="1">
      <c r="A5" s="1097" t="s">
        <v>12</v>
      </c>
      <c r="B5" s="805" t="s">
        <v>13</v>
      </c>
      <c r="C5" s="806">
        <v>703</v>
      </c>
      <c r="D5" s="806">
        <v>797</v>
      </c>
      <c r="E5" s="806">
        <v>664</v>
      </c>
      <c r="F5" s="806">
        <v>611</v>
      </c>
      <c r="G5" s="806">
        <v>809</v>
      </c>
      <c r="H5" s="806">
        <v>921</v>
      </c>
      <c r="I5" s="807">
        <v>855</v>
      </c>
      <c r="J5" s="802"/>
      <c r="K5" s="806">
        <v>921</v>
      </c>
      <c r="M5" s="676">
        <f>H5/'Poverty 1998-2010'!AC6</f>
        <v>0.10939541513243853</v>
      </c>
    </row>
    <row r="6" spans="1:13" ht="13.5" thickBot="1">
      <c r="A6" s="1097" t="s">
        <v>16</v>
      </c>
      <c r="B6" s="805" t="s">
        <v>364</v>
      </c>
      <c r="C6" s="806">
        <v>741</v>
      </c>
      <c r="D6" s="806">
        <v>693</v>
      </c>
      <c r="E6" s="806">
        <v>706</v>
      </c>
      <c r="F6" s="806">
        <v>664</v>
      </c>
      <c r="G6" s="806">
        <v>704</v>
      </c>
      <c r="H6" s="806">
        <v>677</v>
      </c>
      <c r="I6" s="807">
        <v>644</v>
      </c>
      <c r="J6" s="802"/>
      <c r="K6" s="806">
        <v>675</v>
      </c>
      <c r="M6" s="676">
        <f>H6/'Poverty 1998-2010'!AC7</f>
        <v>0.22350610762627929</v>
      </c>
    </row>
    <row r="7" spans="1:13" ht="13.5" thickBot="1">
      <c r="A7" s="1097" t="s">
        <v>18</v>
      </c>
      <c r="B7" s="805" t="s">
        <v>19</v>
      </c>
      <c r="C7" s="806">
        <v>324</v>
      </c>
      <c r="D7" s="806">
        <v>364</v>
      </c>
      <c r="E7" s="806">
        <v>319</v>
      </c>
      <c r="F7" s="806">
        <v>321</v>
      </c>
      <c r="G7" s="806">
        <v>373</v>
      </c>
      <c r="H7" s="806">
        <v>430</v>
      </c>
      <c r="I7" s="807">
        <v>434</v>
      </c>
      <c r="J7" s="802"/>
      <c r="K7" s="806">
        <v>430</v>
      </c>
      <c r="M7" s="676">
        <f>H7/'Poverty 1998-2010'!AC8</f>
        <v>0.30027932960893855</v>
      </c>
    </row>
    <row r="8" spans="1:13" ht="13.5" thickBot="1">
      <c r="A8" s="1097" t="s">
        <v>20</v>
      </c>
      <c r="B8" s="805" t="s">
        <v>21</v>
      </c>
      <c r="C8" s="806">
        <v>608</v>
      </c>
      <c r="D8" s="806">
        <v>613</v>
      </c>
      <c r="E8" s="806">
        <v>443</v>
      </c>
      <c r="F8" s="806">
        <v>449</v>
      </c>
      <c r="G8" s="806">
        <v>533</v>
      </c>
      <c r="H8" s="806">
        <v>645</v>
      </c>
      <c r="I8" s="807">
        <v>573</v>
      </c>
      <c r="J8" s="802"/>
      <c r="K8" s="806">
        <v>645</v>
      </c>
      <c r="M8" s="676">
        <f>H8/'Poverty 1998-2010'!AC9</f>
        <v>0.15280739161336176</v>
      </c>
    </row>
    <row r="9" spans="1:13" ht="13.5" thickBot="1">
      <c r="A9" s="1097" t="s">
        <v>22</v>
      </c>
      <c r="B9" s="805" t="s">
        <v>23</v>
      </c>
      <c r="C9" s="806">
        <v>436</v>
      </c>
      <c r="D9" s="806">
        <v>404</v>
      </c>
      <c r="E9" s="806">
        <v>394</v>
      </c>
      <c r="F9" s="806">
        <v>417</v>
      </c>
      <c r="G9" s="806">
        <v>419</v>
      </c>
      <c r="H9" s="806">
        <v>507</v>
      </c>
      <c r="I9" s="807">
        <v>456</v>
      </c>
      <c r="J9" s="802"/>
      <c r="K9" s="806">
        <v>507</v>
      </c>
      <c r="M9" s="676">
        <f>H9/'Poverty 1998-2010'!AC10</f>
        <v>0.24154359218675558</v>
      </c>
    </row>
    <row r="10" spans="1:13" ht="13.5" thickBot="1">
      <c r="A10" s="1097" t="s">
        <v>24</v>
      </c>
      <c r="B10" s="805" t="s">
        <v>25</v>
      </c>
      <c r="C10" s="806">
        <v>1469</v>
      </c>
      <c r="D10" s="806">
        <v>1479</v>
      </c>
      <c r="E10" s="806">
        <v>1312</v>
      </c>
      <c r="F10" s="806">
        <v>1233</v>
      </c>
      <c r="G10" s="806">
        <v>1547</v>
      </c>
      <c r="H10" s="806">
        <v>1702</v>
      </c>
      <c r="I10" s="807">
        <v>1633</v>
      </c>
      <c r="J10" s="802"/>
      <c r="K10" s="806">
        <v>1692</v>
      </c>
      <c r="M10" s="676">
        <f>H10/'Poverty 1998-2010'!AC11</f>
        <v>0.11420519358518419</v>
      </c>
    </row>
    <row r="11" spans="1:13" ht="13.5" thickBot="1">
      <c r="A11" s="1097" t="s">
        <v>26</v>
      </c>
      <c r="B11" s="805" t="s">
        <v>1114</v>
      </c>
      <c r="C11" s="806">
        <v>3004</v>
      </c>
      <c r="D11" s="806">
        <v>3221</v>
      </c>
      <c r="E11" s="806">
        <v>3029</v>
      </c>
      <c r="F11" s="806">
        <v>2946</v>
      </c>
      <c r="G11" s="806">
        <v>3320</v>
      </c>
      <c r="H11" s="806">
        <v>3468</v>
      </c>
      <c r="I11" s="807">
        <v>3345</v>
      </c>
      <c r="J11" s="802"/>
      <c r="K11" s="806">
        <v>3466</v>
      </c>
      <c r="M11" s="676">
        <f>H11/'Poverty 1998-2010'!AC12</f>
        <v>0.25090435537548833</v>
      </c>
    </row>
    <row r="12" spans="1:13" ht="13.5" thickBot="1">
      <c r="A12" s="1097" t="s">
        <v>27</v>
      </c>
      <c r="B12" s="805" t="s">
        <v>28</v>
      </c>
      <c r="C12" s="806">
        <v>31</v>
      </c>
      <c r="D12" s="806">
        <v>33</v>
      </c>
      <c r="E12" s="806">
        <v>24</v>
      </c>
      <c r="F12" s="806">
        <v>41</v>
      </c>
      <c r="G12" s="806">
        <v>28</v>
      </c>
      <c r="H12" s="806">
        <v>47</v>
      </c>
      <c r="I12" s="807">
        <v>40</v>
      </c>
      <c r="J12" s="802"/>
      <c r="K12" s="806">
        <v>47</v>
      </c>
      <c r="M12" s="676">
        <f>H12/'Poverty 1998-2010'!AC13</f>
        <v>9.0384615384615383E-2</v>
      </c>
    </row>
    <row r="13" spans="1:13" ht="13.5" thickBot="1">
      <c r="A13" s="1097" t="s">
        <v>29</v>
      </c>
      <c r="B13" s="805" t="s">
        <v>366</v>
      </c>
      <c r="C13" s="806">
        <v>1178</v>
      </c>
      <c r="D13" s="806">
        <v>1115</v>
      </c>
      <c r="E13" s="806">
        <v>1092</v>
      </c>
      <c r="F13" s="806">
        <v>953</v>
      </c>
      <c r="G13" s="806">
        <v>1096</v>
      </c>
      <c r="H13" s="806">
        <v>1235</v>
      </c>
      <c r="I13" s="807">
        <v>1269</v>
      </c>
      <c r="J13" s="802"/>
      <c r="K13" s="806">
        <v>1235</v>
      </c>
      <c r="M13" s="676">
        <f>H13/'Poverty 1998-2010'!AC14</f>
        <v>0.16003628352986912</v>
      </c>
    </row>
    <row r="14" spans="1:13" ht="13.5" thickBot="1">
      <c r="A14" s="1097" t="s">
        <v>31</v>
      </c>
      <c r="B14" s="805" t="s">
        <v>32</v>
      </c>
      <c r="C14" s="806">
        <v>131</v>
      </c>
      <c r="D14" s="806">
        <v>147</v>
      </c>
      <c r="E14" s="806">
        <v>127</v>
      </c>
      <c r="F14" s="806">
        <v>110</v>
      </c>
      <c r="G14" s="806">
        <v>115</v>
      </c>
      <c r="H14" s="806">
        <v>86</v>
      </c>
      <c r="I14" s="807">
        <v>120</v>
      </c>
      <c r="J14" s="802"/>
      <c r="K14" s="806">
        <v>86</v>
      </c>
      <c r="M14" s="676">
        <f>H14/'Poverty 1998-2010'!AC15</f>
        <v>9.3784078516902944E-2</v>
      </c>
    </row>
    <row r="15" spans="1:13" ht="13.5" thickBot="1">
      <c r="A15" s="1097" t="s">
        <v>33</v>
      </c>
      <c r="B15" s="805" t="s">
        <v>34</v>
      </c>
      <c r="C15" s="806">
        <v>198</v>
      </c>
      <c r="D15" s="806">
        <v>200</v>
      </c>
      <c r="E15" s="806">
        <v>155</v>
      </c>
      <c r="F15" s="806">
        <v>158</v>
      </c>
      <c r="G15" s="806">
        <v>175</v>
      </c>
      <c r="H15" s="806">
        <v>219</v>
      </c>
      <c r="I15" s="807">
        <v>223</v>
      </c>
      <c r="J15" s="802"/>
      <c r="K15" s="806">
        <v>219</v>
      </c>
      <c r="M15" s="676">
        <f>H15/'Poverty 1998-2010'!AC16</f>
        <v>0.1027686532144533</v>
      </c>
    </row>
    <row r="16" spans="1:13" ht="13.5" thickBot="1">
      <c r="A16" s="1097" t="s">
        <v>37</v>
      </c>
      <c r="B16" s="805" t="s">
        <v>38</v>
      </c>
      <c r="C16" s="806">
        <v>680</v>
      </c>
      <c r="D16" s="806">
        <v>752</v>
      </c>
      <c r="E16" s="806">
        <v>712</v>
      </c>
      <c r="F16" s="806">
        <v>598</v>
      </c>
      <c r="G16" s="806">
        <v>597</v>
      </c>
      <c r="H16" s="806">
        <v>646</v>
      </c>
      <c r="I16" s="807">
        <v>609</v>
      </c>
      <c r="J16" s="802"/>
      <c r="K16" s="806">
        <v>641</v>
      </c>
      <c r="M16" s="676">
        <f>H16/'Poverty 1998-2010'!AC17</f>
        <v>0.20705128205128207</v>
      </c>
    </row>
    <row r="17" spans="1:13" ht="13.5" thickBot="1">
      <c r="A17" s="1097" t="s">
        <v>39</v>
      </c>
      <c r="B17" s="805" t="s">
        <v>40</v>
      </c>
      <c r="C17" s="806">
        <v>1375</v>
      </c>
      <c r="D17" s="806">
        <v>1260</v>
      </c>
      <c r="E17" s="806">
        <v>1119</v>
      </c>
      <c r="F17" s="806">
        <v>1027</v>
      </c>
      <c r="G17" s="806">
        <v>971</v>
      </c>
      <c r="H17" s="806">
        <v>906</v>
      </c>
      <c r="I17" s="807">
        <v>743</v>
      </c>
      <c r="J17" s="802"/>
      <c r="K17" s="806">
        <v>906</v>
      </c>
      <c r="M17" s="676">
        <f>H17/'Poverty 1998-2010'!AC18</f>
        <v>0.15961945031712474</v>
      </c>
    </row>
    <row r="18" spans="1:13" ht="13.5" thickBot="1">
      <c r="A18" s="1097" t="s">
        <v>41</v>
      </c>
      <c r="B18" s="805" t="s">
        <v>42</v>
      </c>
      <c r="C18" s="806">
        <v>590</v>
      </c>
      <c r="D18" s="806">
        <v>451</v>
      </c>
      <c r="E18" s="806">
        <v>480</v>
      </c>
      <c r="F18" s="806">
        <v>432</v>
      </c>
      <c r="G18" s="806">
        <v>500</v>
      </c>
      <c r="H18" s="806">
        <v>532</v>
      </c>
      <c r="I18" s="807">
        <v>432</v>
      </c>
      <c r="J18" s="802"/>
      <c r="K18" s="806">
        <v>530</v>
      </c>
      <c r="M18" s="676">
        <f>H18/'Poverty 1998-2010'!AC19</f>
        <v>0.17488494411571334</v>
      </c>
    </row>
    <row r="19" spans="1:13" ht="13.5" thickBot="1">
      <c r="A19" s="1097" t="s">
        <v>43</v>
      </c>
      <c r="B19" s="805" t="s">
        <v>44</v>
      </c>
      <c r="C19" s="806">
        <v>1481</v>
      </c>
      <c r="D19" s="806">
        <v>1340</v>
      </c>
      <c r="E19" s="806">
        <v>1344</v>
      </c>
      <c r="F19" s="806">
        <v>1258</v>
      </c>
      <c r="G19" s="806">
        <v>1366</v>
      </c>
      <c r="H19" s="806">
        <v>1511</v>
      </c>
      <c r="I19" s="807">
        <v>1498</v>
      </c>
      <c r="J19" s="802"/>
      <c r="K19" s="806">
        <v>1511</v>
      </c>
      <c r="M19" s="676">
        <f>H19/'Poverty 1998-2010'!AC20</f>
        <v>0.19446589446589446</v>
      </c>
    </row>
    <row r="20" spans="1:13" ht="13.5" thickBot="1">
      <c r="A20" s="1097" t="s">
        <v>45</v>
      </c>
      <c r="B20" s="805" t="s">
        <v>46</v>
      </c>
      <c r="C20" s="806">
        <v>686</v>
      </c>
      <c r="D20" s="806">
        <v>640</v>
      </c>
      <c r="E20" s="806">
        <v>613</v>
      </c>
      <c r="F20" s="806">
        <v>634</v>
      </c>
      <c r="G20" s="806">
        <v>915</v>
      </c>
      <c r="H20" s="806">
        <v>1096</v>
      </c>
      <c r="I20" s="807">
        <v>1148</v>
      </c>
      <c r="J20" s="802"/>
      <c r="K20" s="806">
        <v>1092</v>
      </c>
      <c r="M20" s="676">
        <f>H20/'Poverty 1998-2010'!AC21</f>
        <v>0.34793650793650793</v>
      </c>
    </row>
    <row r="21" spans="1:13" ht="13.5" thickBot="1">
      <c r="A21" s="1097" t="s">
        <v>47</v>
      </c>
      <c r="B21" s="805" t="s">
        <v>48</v>
      </c>
      <c r="C21" s="806">
        <v>802</v>
      </c>
      <c r="D21" s="806">
        <v>707</v>
      </c>
      <c r="E21" s="806">
        <v>662</v>
      </c>
      <c r="F21" s="806">
        <v>617</v>
      </c>
      <c r="G21" s="806">
        <v>702</v>
      </c>
      <c r="H21" s="806">
        <v>746</v>
      </c>
      <c r="I21" s="807">
        <v>675</v>
      </c>
      <c r="J21" s="802"/>
      <c r="K21" s="806">
        <v>743</v>
      </c>
      <c r="M21" s="676">
        <f>H21/'Poverty 1998-2010'!AC22</f>
        <v>0.14214939024390244</v>
      </c>
    </row>
    <row r="22" spans="1:13" ht="13.5" thickBot="1">
      <c r="A22" s="1097" t="s">
        <v>49</v>
      </c>
      <c r="B22" s="805" t="s">
        <v>279</v>
      </c>
      <c r="C22" s="806">
        <v>118</v>
      </c>
      <c r="D22" s="806">
        <v>108</v>
      </c>
      <c r="E22" s="806">
        <v>113</v>
      </c>
      <c r="F22" s="806">
        <v>135</v>
      </c>
      <c r="G22" s="806">
        <v>118</v>
      </c>
      <c r="H22" s="806">
        <v>99</v>
      </c>
      <c r="I22" s="807">
        <v>145</v>
      </c>
      <c r="J22" s="802"/>
      <c r="K22" s="806">
        <v>99</v>
      </c>
      <c r="M22" s="676">
        <f>H22/'Poverty 1998-2010'!AC23</f>
        <v>0.11458333333333333</v>
      </c>
    </row>
    <row r="23" spans="1:13" ht="13.5" thickBot="1">
      <c r="A23" s="1097" t="s">
        <v>51</v>
      </c>
      <c r="B23" s="805" t="s">
        <v>52</v>
      </c>
      <c r="C23" s="806">
        <v>452</v>
      </c>
      <c r="D23" s="806">
        <v>491</v>
      </c>
      <c r="E23" s="806">
        <v>405</v>
      </c>
      <c r="F23" s="806">
        <v>310</v>
      </c>
      <c r="G23" s="806">
        <v>422</v>
      </c>
      <c r="H23" s="806">
        <v>472</v>
      </c>
      <c r="I23" s="807">
        <v>452</v>
      </c>
      <c r="J23" s="802"/>
      <c r="K23" s="806">
        <v>472</v>
      </c>
      <c r="M23" s="676">
        <f>H23/'Poverty 1998-2010'!AC24</f>
        <v>0.20441749675184062</v>
      </c>
    </row>
    <row r="24" spans="1:13" ht="13.5" thickBot="1">
      <c r="A24" s="1097" t="s">
        <v>57</v>
      </c>
      <c r="B24" s="805" t="s">
        <v>362</v>
      </c>
      <c r="C24" s="806">
        <v>4958</v>
      </c>
      <c r="D24" s="806">
        <v>4835</v>
      </c>
      <c r="E24" s="806">
        <v>4528</v>
      </c>
      <c r="F24" s="806">
        <v>4450</v>
      </c>
      <c r="G24" s="806">
        <v>5198</v>
      </c>
      <c r="H24" s="806">
        <v>5833</v>
      </c>
      <c r="I24" s="807">
        <v>6002</v>
      </c>
      <c r="J24" s="802"/>
      <c r="K24" s="806">
        <v>5809</v>
      </c>
      <c r="M24" s="676">
        <f>H24/'Poverty 1998-2010'!AC25</f>
        <v>0.25260924169589882</v>
      </c>
    </row>
    <row r="25" spans="1:13" ht="13.5" thickBot="1">
      <c r="A25" s="1097" t="s">
        <v>59</v>
      </c>
      <c r="B25" s="805" t="s">
        <v>60</v>
      </c>
      <c r="C25" s="806">
        <v>70</v>
      </c>
      <c r="D25" s="806">
        <v>72</v>
      </c>
      <c r="E25" s="806">
        <v>67</v>
      </c>
      <c r="F25" s="806">
        <v>63</v>
      </c>
      <c r="G25" s="806">
        <v>101</v>
      </c>
      <c r="H25" s="806">
        <v>110</v>
      </c>
      <c r="I25" s="807">
        <v>121</v>
      </c>
      <c r="J25" s="802"/>
      <c r="K25" s="806">
        <v>106</v>
      </c>
      <c r="M25" s="676">
        <f>H25/'Poverty 1998-2010'!AC26</f>
        <v>9.5902353966870094E-2</v>
      </c>
    </row>
    <row r="26" spans="1:13" ht="13.5" thickBot="1">
      <c r="A26" s="1097" t="s">
        <v>61</v>
      </c>
      <c r="B26" s="805" t="s">
        <v>62</v>
      </c>
      <c r="C26" s="806">
        <v>57</v>
      </c>
      <c r="D26" s="806">
        <v>55</v>
      </c>
      <c r="E26" s="806">
        <v>46</v>
      </c>
      <c r="F26" s="806">
        <v>45</v>
      </c>
      <c r="G26" s="806">
        <v>55</v>
      </c>
      <c r="H26" s="806">
        <v>59</v>
      </c>
      <c r="I26" s="807">
        <v>67</v>
      </c>
      <c r="J26" s="802"/>
      <c r="K26" s="806">
        <v>59</v>
      </c>
      <c r="M26" s="676">
        <f>H26/'Poverty 1998-2010'!AC27</f>
        <v>9.849749582637729E-2</v>
      </c>
    </row>
    <row r="27" spans="1:13" ht="13.5" thickBot="1">
      <c r="A27" s="1097" t="s">
        <v>63</v>
      </c>
      <c r="B27" s="805" t="s">
        <v>64</v>
      </c>
      <c r="C27" s="806">
        <v>836</v>
      </c>
      <c r="D27" s="806">
        <v>801</v>
      </c>
      <c r="E27" s="806">
        <v>818</v>
      </c>
      <c r="F27" s="806">
        <v>841</v>
      </c>
      <c r="G27" s="806">
        <v>995</v>
      </c>
      <c r="H27" s="806">
        <v>1105</v>
      </c>
      <c r="I27" s="807">
        <v>1059</v>
      </c>
      <c r="J27" s="802"/>
      <c r="K27" s="806">
        <v>1100</v>
      </c>
      <c r="M27" s="676">
        <f>H27/'Poverty 1998-2010'!AC28</f>
        <v>0.23411016949152541</v>
      </c>
    </row>
    <row r="28" spans="1:13" ht="13.5" thickBot="1">
      <c r="A28" s="1097" t="s">
        <v>65</v>
      </c>
      <c r="B28" s="805" t="s">
        <v>66</v>
      </c>
      <c r="C28" s="806">
        <v>378</v>
      </c>
      <c r="D28" s="806">
        <v>307</v>
      </c>
      <c r="E28" s="806">
        <v>309</v>
      </c>
      <c r="F28" s="806">
        <v>313</v>
      </c>
      <c r="G28" s="806">
        <v>361</v>
      </c>
      <c r="H28" s="806">
        <v>354</v>
      </c>
      <c r="I28" s="807">
        <v>346</v>
      </c>
      <c r="J28" s="802"/>
      <c r="K28" s="806">
        <v>354</v>
      </c>
      <c r="M28" s="676">
        <f>H28/'Poverty 1998-2010'!AC29</f>
        <v>0.20569436374201047</v>
      </c>
    </row>
    <row r="29" spans="1:13" ht="13.5" thickBot="1">
      <c r="A29" s="1097" t="s">
        <v>69</v>
      </c>
      <c r="B29" s="805" t="s">
        <v>70</v>
      </c>
      <c r="C29" s="806">
        <v>722</v>
      </c>
      <c r="D29" s="806">
        <v>666</v>
      </c>
      <c r="E29" s="806">
        <v>604</v>
      </c>
      <c r="F29" s="806">
        <v>595</v>
      </c>
      <c r="G29" s="806">
        <v>524</v>
      </c>
      <c r="H29" s="806">
        <v>547</v>
      </c>
      <c r="I29" s="807">
        <v>480</v>
      </c>
      <c r="J29" s="802"/>
      <c r="K29" s="806">
        <v>547</v>
      </c>
      <c r="M29" s="676">
        <f>H29/'Poverty 1998-2010'!AC30</f>
        <v>0.15335015419119707</v>
      </c>
    </row>
    <row r="30" spans="1:13" ht="13.5" thickBot="1">
      <c r="A30" s="1097" t="s">
        <v>71</v>
      </c>
      <c r="B30" s="805" t="s">
        <v>72</v>
      </c>
      <c r="C30" s="806">
        <v>714</v>
      </c>
      <c r="D30" s="806">
        <v>761</v>
      </c>
      <c r="E30" s="806">
        <v>644</v>
      </c>
      <c r="F30" s="806">
        <v>581</v>
      </c>
      <c r="G30" s="806">
        <v>662</v>
      </c>
      <c r="H30" s="806">
        <v>772</v>
      </c>
      <c r="I30" s="807">
        <v>773</v>
      </c>
      <c r="J30" s="802"/>
      <c r="K30" s="806">
        <v>772</v>
      </c>
      <c r="M30" s="676">
        <f>H30/'Poverty 1998-2010'!AC31</f>
        <v>0.2376115727916282</v>
      </c>
    </row>
    <row r="31" spans="1:13" ht="13.5" thickBot="1">
      <c r="A31" s="1097" t="s">
        <v>73</v>
      </c>
      <c r="B31" s="805" t="s">
        <v>74</v>
      </c>
      <c r="C31" s="806">
        <v>341</v>
      </c>
      <c r="D31" s="806">
        <v>355</v>
      </c>
      <c r="E31" s="806">
        <v>325</v>
      </c>
      <c r="F31" s="806">
        <v>415</v>
      </c>
      <c r="G31" s="806">
        <v>462</v>
      </c>
      <c r="H31" s="806">
        <v>529</v>
      </c>
      <c r="I31" s="807">
        <v>466</v>
      </c>
      <c r="J31" s="802"/>
      <c r="K31" s="806">
        <v>529</v>
      </c>
      <c r="M31" s="676">
        <f>H31/'Poverty 1998-2010'!AC32</f>
        <v>0.3406310367031552</v>
      </c>
    </row>
    <row r="32" spans="1:13" ht="13.5" thickBot="1">
      <c r="A32" s="1097" t="s">
        <v>75</v>
      </c>
      <c r="B32" s="805" t="s">
        <v>363</v>
      </c>
      <c r="C32" s="806">
        <v>6971</v>
      </c>
      <c r="D32" s="806">
        <v>7215</v>
      </c>
      <c r="E32" s="806">
        <v>7034</v>
      </c>
      <c r="F32" s="806">
        <v>6735</v>
      </c>
      <c r="G32" s="806">
        <v>7822</v>
      </c>
      <c r="H32" s="806">
        <v>8890</v>
      </c>
      <c r="I32" s="807">
        <v>9227</v>
      </c>
      <c r="J32" s="802"/>
      <c r="K32" s="806">
        <v>8840</v>
      </c>
      <c r="M32" s="676">
        <f>H32/'Poverty 1998-2010'!AC33</f>
        <v>0.13492183942935196</v>
      </c>
    </row>
    <row r="33" spans="1:13" ht="13.5" thickBot="1">
      <c r="A33" s="1097" t="s">
        <v>77</v>
      </c>
      <c r="B33" s="805" t="s">
        <v>78</v>
      </c>
      <c r="C33" s="806">
        <v>567</v>
      </c>
      <c r="D33" s="806">
        <v>550</v>
      </c>
      <c r="E33" s="806">
        <v>560</v>
      </c>
      <c r="F33" s="806">
        <v>577</v>
      </c>
      <c r="G33" s="806">
        <v>681</v>
      </c>
      <c r="H33" s="806">
        <v>684</v>
      </c>
      <c r="I33" s="807">
        <v>646</v>
      </c>
      <c r="J33" s="802"/>
      <c r="K33" s="806">
        <v>684</v>
      </c>
      <c r="M33" s="676">
        <f>H33/'Poverty 1998-2010'!AC34</f>
        <v>0.14135151890886546</v>
      </c>
    </row>
    <row r="34" spans="1:13" ht="13.5" thickBot="1">
      <c r="A34" s="1097" t="s">
        <v>79</v>
      </c>
      <c r="B34" s="805" t="s">
        <v>80</v>
      </c>
      <c r="C34" s="806">
        <v>227</v>
      </c>
      <c r="D34" s="806">
        <v>286</v>
      </c>
      <c r="E34" s="806">
        <v>230</v>
      </c>
      <c r="F34" s="806">
        <v>212</v>
      </c>
      <c r="G34" s="806">
        <v>247</v>
      </c>
      <c r="H34" s="806">
        <v>280</v>
      </c>
      <c r="I34" s="807">
        <v>317</v>
      </c>
      <c r="J34" s="802"/>
      <c r="K34" s="806">
        <v>280</v>
      </c>
      <c r="M34" s="676">
        <f>H34/'Poverty 1998-2010'!AC35</f>
        <v>0.13552758954501451</v>
      </c>
    </row>
    <row r="35" spans="1:13" ht="13.5" thickBot="1">
      <c r="A35" s="1097" t="s">
        <v>81</v>
      </c>
      <c r="B35" s="805" t="s">
        <v>82</v>
      </c>
      <c r="C35" s="806">
        <v>154</v>
      </c>
      <c r="D35" s="806">
        <v>142</v>
      </c>
      <c r="E35" s="806">
        <v>122</v>
      </c>
      <c r="F35" s="806">
        <v>131</v>
      </c>
      <c r="G35" s="806">
        <v>146</v>
      </c>
      <c r="H35" s="806">
        <v>168</v>
      </c>
      <c r="I35" s="807">
        <v>239</v>
      </c>
      <c r="J35" s="802"/>
      <c r="K35" s="806">
        <v>168</v>
      </c>
      <c r="M35" s="676">
        <f>H35/'Poverty 1998-2010'!AC36</f>
        <v>9.417040358744394E-2</v>
      </c>
    </row>
    <row r="36" spans="1:13" ht="13.5" thickBot="1">
      <c r="A36" s="1097" t="s">
        <v>85</v>
      </c>
      <c r="B36" s="805" t="s">
        <v>86</v>
      </c>
      <c r="C36" s="806">
        <v>1106</v>
      </c>
      <c r="D36" s="806">
        <v>1147</v>
      </c>
      <c r="E36" s="806">
        <v>1015</v>
      </c>
      <c r="F36" s="806">
        <v>1048</v>
      </c>
      <c r="G36" s="806">
        <v>1291</v>
      </c>
      <c r="H36" s="806">
        <v>1302</v>
      </c>
      <c r="I36" s="807">
        <v>1398</v>
      </c>
      <c r="J36" s="802"/>
      <c r="K36" s="806">
        <v>1297</v>
      </c>
      <c r="M36" s="676">
        <f>H36/'Poverty 1998-2010'!AC37</f>
        <v>0.16598674145843959</v>
      </c>
    </row>
    <row r="37" spans="1:13" ht="13.5" thickBot="1">
      <c r="A37" s="1097" t="s">
        <v>87</v>
      </c>
      <c r="B37" s="805" t="s">
        <v>88</v>
      </c>
      <c r="C37" s="806">
        <v>444</v>
      </c>
      <c r="D37" s="806">
        <v>505</v>
      </c>
      <c r="E37" s="806">
        <v>543</v>
      </c>
      <c r="F37" s="806">
        <v>603</v>
      </c>
      <c r="G37" s="806">
        <v>841</v>
      </c>
      <c r="H37" s="806">
        <v>1006</v>
      </c>
      <c r="I37" s="807">
        <v>1133</v>
      </c>
      <c r="J37" s="802"/>
      <c r="K37" s="806">
        <v>998</v>
      </c>
      <c r="M37" s="676">
        <f>H37/'Poverty 1998-2010'!AC38</f>
        <v>0.17477414871438499</v>
      </c>
    </row>
    <row r="38" spans="1:13" ht="13.5" thickBot="1">
      <c r="A38" s="1097" t="s">
        <v>93</v>
      </c>
      <c r="B38" s="805" t="s">
        <v>94</v>
      </c>
      <c r="C38" s="806">
        <v>293</v>
      </c>
      <c r="D38" s="806">
        <v>237</v>
      </c>
      <c r="E38" s="806">
        <v>241</v>
      </c>
      <c r="F38" s="806">
        <v>214</v>
      </c>
      <c r="G38" s="806">
        <v>272</v>
      </c>
      <c r="H38" s="806">
        <v>282</v>
      </c>
      <c r="I38" s="807">
        <v>325</v>
      </c>
      <c r="J38" s="802"/>
      <c r="K38" s="806">
        <v>282</v>
      </c>
      <c r="M38" s="676">
        <f>H38/'Poverty 1998-2010'!AC39</f>
        <v>0.12303664921465969</v>
      </c>
    </row>
    <row r="39" spans="1:13" ht="13.5" thickBot="1">
      <c r="A39" s="1097" t="s">
        <v>95</v>
      </c>
      <c r="B39" s="805" t="s">
        <v>96</v>
      </c>
      <c r="C39" s="806">
        <v>530</v>
      </c>
      <c r="D39" s="806">
        <v>530</v>
      </c>
      <c r="E39" s="806">
        <v>518</v>
      </c>
      <c r="F39" s="806">
        <v>543</v>
      </c>
      <c r="G39" s="806">
        <v>567</v>
      </c>
      <c r="H39" s="806">
        <v>668</v>
      </c>
      <c r="I39" s="807">
        <v>593</v>
      </c>
      <c r="J39" s="802"/>
      <c r="K39" s="806">
        <v>662</v>
      </c>
      <c r="M39" s="676">
        <f>H39/'Poverty 1998-2010'!AC40</f>
        <v>0.18540105467665835</v>
      </c>
    </row>
    <row r="40" spans="1:13" ht="13.5" thickBot="1">
      <c r="A40" s="1097" t="s">
        <v>97</v>
      </c>
      <c r="B40" s="805" t="s">
        <v>98</v>
      </c>
      <c r="C40" s="806">
        <v>117</v>
      </c>
      <c r="D40" s="806">
        <v>166</v>
      </c>
      <c r="E40" s="806">
        <v>158</v>
      </c>
      <c r="F40" s="806">
        <v>178</v>
      </c>
      <c r="G40" s="806">
        <v>162</v>
      </c>
      <c r="H40" s="806">
        <v>222</v>
      </c>
      <c r="I40" s="807">
        <v>265</v>
      </c>
      <c r="J40" s="802"/>
      <c r="K40" s="806">
        <v>220</v>
      </c>
      <c r="M40" s="676">
        <f>H40/'Poverty 1998-2010'!AC41</f>
        <v>0.1417624521072797</v>
      </c>
    </row>
    <row r="41" spans="1:13" ht="13.5" thickBot="1">
      <c r="A41" s="1097" t="s">
        <v>99</v>
      </c>
      <c r="B41" s="805" t="s">
        <v>100</v>
      </c>
      <c r="C41" s="806">
        <v>465</v>
      </c>
      <c r="D41" s="806">
        <v>481</v>
      </c>
      <c r="E41" s="806">
        <v>377</v>
      </c>
      <c r="F41" s="806">
        <v>253</v>
      </c>
      <c r="G41" s="806">
        <v>294</v>
      </c>
      <c r="H41" s="806">
        <v>312</v>
      </c>
      <c r="I41" s="807">
        <v>274</v>
      </c>
      <c r="J41" s="802"/>
      <c r="K41" s="806">
        <v>312</v>
      </c>
      <c r="M41" s="676">
        <f>H41/'Poverty 1998-2010'!AC42</f>
        <v>0.119220481467329</v>
      </c>
    </row>
    <row r="42" spans="1:13" ht="13.5" thickBot="1">
      <c r="A42" s="1097" t="s">
        <v>101</v>
      </c>
      <c r="B42" s="805" t="s">
        <v>102</v>
      </c>
      <c r="C42" s="806">
        <v>269</v>
      </c>
      <c r="D42" s="806">
        <v>305</v>
      </c>
      <c r="E42" s="806">
        <v>308</v>
      </c>
      <c r="F42" s="806">
        <v>248</v>
      </c>
      <c r="G42" s="806">
        <v>313</v>
      </c>
      <c r="H42" s="806">
        <v>328</v>
      </c>
      <c r="I42" s="807">
        <v>303</v>
      </c>
      <c r="J42" s="802"/>
      <c r="K42" s="806">
        <v>328</v>
      </c>
      <c r="M42" s="676">
        <f>H42/'Poverty 1998-2010'!AC43</f>
        <v>0.18489289740698986</v>
      </c>
    </row>
    <row r="43" spans="1:13" ht="13.5" thickBot="1">
      <c r="A43" s="1097" t="s">
        <v>103</v>
      </c>
      <c r="B43" s="805" t="s">
        <v>329</v>
      </c>
      <c r="C43" s="806">
        <v>674</v>
      </c>
      <c r="D43" s="806">
        <v>824</v>
      </c>
      <c r="E43" s="806">
        <v>792</v>
      </c>
      <c r="F43" s="806">
        <v>851</v>
      </c>
      <c r="G43" s="806">
        <v>801</v>
      </c>
      <c r="H43" s="806">
        <v>824</v>
      </c>
      <c r="I43" s="807">
        <v>893</v>
      </c>
      <c r="J43" s="802"/>
      <c r="K43" s="806">
        <v>822</v>
      </c>
      <c r="M43" s="676">
        <f>H43/'Poverty 1998-2010'!AC44</f>
        <v>0.24414814814814814</v>
      </c>
    </row>
    <row r="44" spans="1:13" ht="13.5" thickBot="1">
      <c r="A44" s="1097" t="s">
        <v>105</v>
      </c>
      <c r="B44" s="805" t="s">
        <v>106</v>
      </c>
      <c r="C44" s="806">
        <v>1533</v>
      </c>
      <c r="D44" s="806">
        <v>1532</v>
      </c>
      <c r="E44" s="806">
        <v>1472</v>
      </c>
      <c r="F44" s="806">
        <v>1418</v>
      </c>
      <c r="G44" s="806">
        <v>1374</v>
      </c>
      <c r="H44" s="806">
        <v>1362</v>
      </c>
      <c r="I44" s="807">
        <v>1324</v>
      </c>
      <c r="J44" s="802"/>
      <c r="K44" s="806">
        <v>1358</v>
      </c>
      <c r="M44" s="676">
        <f>H44/'Poverty 1998-2010'!AC45</f>
        <v>0.19932679642909409</v>
      </c>
    </row>
    <row r="45" spans="1:13" ht="13.5" thickBot="1">
      <c r="A45" s="1097" t="s">
        <v>109</v>
      </c>
      <c r="B45" s="805" t="s">
        <v>110</v>
      </c>
      <c r="C45" s="806">
        <v>794</v>
      </c>
      <c r="D45" s="806">
        <v>737</v>
      </c>
      <c r="E45" s="806">
        <v>708</v>
      </c>
      <c r="F45" s="806">
        <v>723</v>
      </c>
      <c r="G45" s="806">
        <v>820</v>
      </c>
      <c r="H45" s="806">
        <v>965</v>
      </c>
      <c r="I45" s="807">
        <v>988</v>
      </c>
      <c r="J45" s="802"/>
      <c r="K45" s="806">
        <v>961</v>
      </c>
      <c r="M45" s="676">
        <f>H45/'Poverty 1998-2010'!AC46</f>
        <v>0.18493675737830587</v>
      </c>
    </row>
    <row r="46" spans="1:13" ht="13.5" thickBot="1">
      <c r="A46" s="1097" t="s">
        <v>111</v>
      </c>
      <c r="B46" s="805" t="s">
        <v>112</v>
      </c>
      <c r="C46" s="806">
        <v>6186</v>
      </c>
      <c r="D46" s="806">
        <v>6388</v>
      </c>
      <c r="E46" s="806">
        <v>6032</v>
      </c>
      <c r="F46" s="806">
        <v>5646</v>
      </c>
      <c r="G46" s="806">
        <v>6393</v>
      </c>
      <c r="H46" s="806">
        <v>7706</v>
      </c>
      <c r="I46" s="807">
        <v>7953</v>
      </c>
      <c r="J46" s="802"/>
      <c r="K46" s="806">
        <v>7653</v>
      </c>
      <c r="M46" s="676">
        <f>H46/'Poverty 1998-2010'!AC47</f>
        <v>0.25697802381031781</v>
      </c>
    </row>
    <row r="47" spans="1:13" ht="13.5" thickBot="1">
      <c r="A47" s="1097" t="s">
        <v>113</v>
      </c>
      <c r="B47" s="805" t="s">
        <v>367</v>
      </c>
      <c r="C47" s="806">
        <v>2840</v>
      </c>
      <c r="D47" s="806">
        <v>2769</v>
      </c>
      <c r="E47" s="806">
        <v>2605</v>
      </c>
      <c r="F47" s="806">
        <v>2515</v>
      </c>
      <c r="G47" s="806">
        <v>2783</v>
      </c>
      <c r="H47" s="806">
        <v>2992</v>
      </c>
      <c r="I47" s="807">
        <v>2932</v>
      </c>
      <c r="J47" s="802"/>
      <c r="K47" s="806">
        <v>2989</v>
      </c>
      <c r="M47" s="676">
        <f>H47/'Poverty 1998-2010'!AC48</f>
        <v>0.23612974508720702</v>
      </c>
    </row>
    <row r="48" spans="1:13" ht="13.5" thickBot="1">
      <c r="A48" s="1097" t="s">
        <v>115</v>
      </c>
      <c r="B48" s="805" t="s">
        <v>116</v>
      </c>
      <c r="C48" s="806">
        <v>21</v>
      </c>
      <c r="D48" s="806">
        <v>19</v>
      </c>
      <c r="E48" s="806">
        <v>11</v>
      </c>
      <c r="F48" s="806">
        <v>4</v>
      </c>
      <c r="G48" s="806">
        <v>4</v>
      </c>
      <c r="H48" s="806">
        <v>1</v>
      </c>
      <c r="I48" s="807">
        <v>6</v>
      </c>
      <c r="J48" s="802"/>
      <c r="K48" s="806">
        <v>1</v>
      </c>
      <c r="M48" s="676">
        <f>H48/'Poverty 1998-2010'!AC49</f>
        <v>3.0303030303030303E-3</v>
      </c>
    </row>
    <row r="49" spans="1:13" ht="13.5" thickBot="1">
      <c r="A49" s="1097" t="s">
        <v>119</v>
      </c>
      <c r="B49" s="805" t="s">
        <v>283</v>
      </c>
      <c r="C49" s="806">
        <v>655</v>
      </c>
      <c r="D49" s="806">
        <v>681</v>
      </c>
      <c r="E49" s="806">
        <v>635</v>
      </c>
      <c r="F49" s="806">
        <v>615</v>
      </c>
      <c r="G49" s="806">
        <v>711</v>
      </c>
      <c r="H49" s="806">
        <v>812</v>
      </c>
      <c r="I49" s="807">
        <v>832</v>
      </c>
      <c r="J49" s="802"/>
      <c r="K49" s="806">
        <v>811</v>
      </c>
      <c r="M49" s="676">
        <f>H49/'Poverty 1998-2010'!AC50</f>
        <v>0.26346528228423099</v>
      </c>
    </row>
    <row r="50" spans="1:13" ht="13.5" thickBot="1">
      <c r="A50" s="1097" t="s">
        <v>121</v>
      </c>
      <c r="B50" s="805" t="s">
        <v>122</v>
      </c>
      <c r="C50" s="806">
        <v>624</v>
      </c>
      <c r="D50" s="806">
        <v>606</v>
      </c>
      <c r="E50" s="806">
        <v>522</v>
      </c>
      <c r="F50" s="806">
        <v>522</v>
      </c>
      <c r="G50" s="806">
        <v>624</v>
      </c>
      <c r="H50" s="806">
        <v>791</v>
      </c>
      <c r="I50" s="807">
        <v>820</v>
      </c>
      <c r="J50" s="802"/>
      <c r="K50" s="806">
        <v>789</v>
      </c>
      <c r="M50" s="676">
        <f>H50/'Poverty 1998-2010'!AC51</f>
        <v>0.15610815077955398</v>
      </c>
    </row>
    <row r="51" spans="1:13" ht="13.5" thickBot="1">
      <c r="A51" s="1097" t="s">
        <v>123</v>
      </c>
      <c r="B51" s="805" t="s">
        <v>351</v>
      </c>
      <c r="C51" s="806">
        <v>163</v>
      </c>
      <c r="D51" s="806">
        <v>153</v>
      </c>
      <c r="E51" s="806">
        <v>130</v>
      </c>
      <c r="F51" s="806">
        <v>128</v>
      </c>
      <c r="G51" s="806">
        <v>147</v>
      </c>
      <c r="H51" s="806">
        <v>178</v>
      </c>
      <c r="I51" s="807">
        <v>162</v>
      </c>
      <c r="J51" s="802"/>
      <c r="K51" s="806">
        <v>178</v>
      </c>
      <c r="M51" s="676">
        <f>H51/'Poverty 1998-2010'!AC52</f>
        <v>0.20045045045045046</v>
      </c>
    </row>
    <row r="52" spans="1:13" ht="13.5" thickBot="1">
      <c r="A52" s="1097" t="s">
        <v>125</v>
      </c>
      <c r="B52" s="805" t="s">
        <v>126</v>
      </c>
      <c r="C52" s="806">
        <v>176</v>
      </c>
      <c r="D52" s="806">
        <v>183</v>
      </c>
      <c r="E52" s="806">
        <v>209</v>
      </c>
      <c r="F52" s="806">
        <v>249</v>
      </c>
      <c r="G52" s="806">
        <v>234</v>
      </c>
      <c r="H52" s="806">
        <v>292</v>
      </c>
      <c r="I52" s="807">
        <v>330</v>
      </c>
      <c r="J52" s="802"/>
      <c r="K52" s="806">
        <v>287</v>
      </c>
      <c r="M52" s="676">
        <f>H52/'Poverty 1998-2010'!AC53</f>
        <v>0.1814791796146675</v>
      </c>
    </row>
    <row r="53" spans="1:13" ht="13.5" thickBot="1">
      <c r="A53" s="1097" t="s">
        <v>127</v>
      </c>
      <c r="B53" s="805" t="s">
        <v>128</v>
      </c>
      <c r="C53" s="806">
        <v>241</v>
      </c>
      <c r="D53" s="806">
        <v>189</v>
      </c>
      <c r="E53" s="806">
        <v>193</v>
      </c>
      <c r="F53" s="806">
        <v>164</v>
      </c>
      <c r="G53" s="806">
        <v>215</v>
      </c>
      <c r="H53" s="806">
        <v>296</v>
      </c>
      <c r="I53" s="807">
        <v>295</v>
      </c>
      <c r="J53" s="802"/>
      <c r="K53" s="806">
        <v>296</v>
      </c>
      <c r="M53" s="676">
        <f>H53/'Poverty 1998-2010'!AC54</f>
        <v>0.24065040650406505</v>
      </c>
    </row>
    <row r="54" spans="1:13" ht="13.5" thickBot="1">
      <c r="A54" s="1097" t="s">
        <v>129</v>
      </c>
      <c r="B54" s="805" t="s">
        <v>130</v>
      </c>
      <c r="C54" s="806">
        <v>286</v>
      </c>
      <c r="D54" s="806">
        <v>268</v>
      </c>
      <c r="E54" s="806">
        <v>216</v>
      </c>
      <c r="F54" s="806">
        <v>195</v>
      </c>
      <c r="G54" s="806">
        <v>250</v>
      </c>
      <c r="H54" s="806">
        <v>236</v>
      </c>
      <c r="I54" s="807">
        <v>250</v>
      </c>
      <c r="J54" s="802"/>
      <c r="K54" s="806">
        <v>236</v>
      </c>
      <c r="M54" s="676">
        <f>H54/'Poverty 1998-2010'!AC55</f>
        <v>0.15157353885677585</v>
      </c>
    </row>
    <row r="55" spans="1:13" ht="13.5" thickBot="1">
      <c r="A55" s="1097" t="s">
        <v>131</v>
      </c>
      <c r="B55" s="805" t="s">
        <v>132</v>
      </c>
      <c r="C55" s="806">
        <v>1634</v>
      </c>
      <c r="D55" s="806">
        <v>1562</v>
      </c>
      <c r="E55" s="806">
        <v>1426</v>
      </c>
      <c r="F55" s="806">
        <v>1267</v>
      </c>
      <c r="G55" s="806">
        <v>1288</v>
      </c>
      <c r="H55" s="806">
        <v>1422</v>
      </c>
      <c r="I55" s="807">
        <v>1426</v>
      </c>
      <c r="J55" s="802"/>
      <c r="K55" s="806">
        <v>1422</v>
      </c>
      <c r="M55" s="676">
        <f>H55/'Poverty 1998-2010'!AC56</f>
        <v>0.23361261705273534</v>
      </c>
    </row>
    <row r="56" spans="1:13" ht="13.5" thickBot="1">
      <c r="A56" s="1097" t="s">
        <v>133</v>
      </c>
      <c r="B56" s="805" t="s">
        <v>134</v>
      </c>
      <c r="C56" s="806">
        <v>1331</v>
      </c>
      <c r="D56" s="806">
        <v>1415</v>
      </c>
      <c r="E56" s="806">
        <v>1409</v>
      </c>
      <c r="F56" s="806">
        <v>1550</v>
      </c>
      <c r="G56" s="806">
        <v>1690</v>
      </c>
      <c r="H56" s="806">
        <v>1838</v>
      </c>
      <c r="I56" s="807">
        <v>1554</v>
      </c>
      <c r="J56" s="802"/>
      <c r="K56" s="806">
        <v>1836</v>
      </c>
      <c r="M56" s="676">
        <f>H56/'Poverty 1998-2010'!AC57</f>
        <v>0.15947939262472885</v>
      </c>
    </row>
    <row r="57" spans="1:13" ht="13.5" thickBot="1">
      <c r="A57" s="1097" t="s">
        <v>135</v>
      </c>
      <c r="B57" s="805" t="s">
        <v>136</v>
      </c>
      <c r="C57" s="806">
        <v>558</v>
      </c>
      <c r="D57" s="806">
        <v>568</v>
      </c>
      <c r="E57" s="806">
        <v>558</v>
      </c>
      <c r="F57" s="806">
        <v>503</v>
      </c>
      <c r="G57" s="806">
        <v>578</v>
      </c>
      <c r="H57" s="806">
        <v>621</v>
      </c>
      <c r="I57" s="807">
        <v>651</v>
      </c>
      <c r="J57" s="802"/>
      <c r="K57" s="806">
        <v>617</v>
      </c>
      <c r="M57" s="676">
        <f>H57/'Poverty 1998-2010'!AC58</f>
        <v>0.19054924823565511</v>
      </c>
    </row>
    <row r="58" spans="1:13" ht="13.5" thickBot="1">
      <c r="A58" s="1097" t="s">
        <v>137</v>
      </c>
      <c r="B58" s="805" t="s">
        <v>138</v>
      </c>
      <c r="C58" s="806">
        <v>225</v>
      </c>
      <c r="D58" s="806">
        <v>210</v>
      </c>
      <c r="E58" s="806">
        <v>187</v>
      </c>
      <c r="F58" s="806">
        <v>216</v>
      </c>
      <c r="G58" s="806">
        <v>229</v>
      </c>
      <c r="H58" s="806">
        <v>285</v>
      </c>
      <c r="I58" s="807">
        <v>349</v>
      </c>
      <c r="J58" s="802"/>
      <c r="K58" s="806">
        <v>285</v>
      </c>
      <c r="M58" s="676">
        <f>H58/'Poverty 1998-2010'!AC59</f>
        <v>0.1189482470784641</v>
      </c>
    </row>
    <row r="59" spans="1:13" ht="13.5" thickBot="1">
      <c r="A59" s="1097" t="s">
        <v>141</v>
      </c>
      <c r="B59" s="805" t="s">
        <v>142</v>
      </c>
      <c r="C59" s="806">
        <v>182</v>
      </c>
      <c r="D59" s="806">
        <v>154</v>
      </c>
      <c r="E59" s="806">
        <v>187</v>
      </c>
      <c r="F59" s="806">
        <v>161</v>
      </c>
      <c r="G59" s="806">
        <v>197</v>
      </c>
      <c r="H59" s="806">
        <v>199</v>
      </c>
      <c r="I59" s="807">
        <v>173</v>
      </c>
      <c r="J59" s="802"/>
      <c r="K59" s="806">
        <v>199</v>
      </c>
      <c r="M59" s="676">
        <f>H59/'Poverty 1998-2010'!AC60</f>
        <v>0.12888601036269431</v>
      </c>
    </row>
    <row r="60" spans="1:13" ht="13.5" thickBot="1">
      <c r="A60" s="1097" t="s">
        <v>147</v>
      </c>
      <c r="B60" s="805" t="s">
        <v>148</v>
      </c>
      <c r="C60" s="806">
        <v>118</v>
      </c>
      <c r="D60" s="806">
        <v>108</v>
      </c>
      <c r="E60" s="806">
        <v>110</v>
      </c>
      <c r="F60" s="806">
        <v>83</v>
      </c>
      <c r="G60" s="806">
        <v>107</v>
      </c>
      <c r="H60" s="806">
        <v>115</v>
      </c>
      <c r="I60" s="807">
        <v>121</v>
      </c>
      <c r="J60" s="802"/>
      <c r="K60" s="806">
        <v>115</v>
      </c>
      <c r="M60" s="676">
        <f>H60/'Poverty 1998-2010'!AC61</f>
        <v>0.1273532668881506</v>
      </c>
    </row>
    <row r="61" spans="1:13" ht="13.5" thickBot="1">
      <c r="A61" s="1097" t="s">
        <v>149</v>
      </c>
      <c r="B61" s="805" t="s">
        <v>150</v>
      </c>
      <c r="C61" s="806">
        <v>932</v>
      </c>
      <c r="D61" s="806">
        <v>969</v>
      </c>
      <c r="E61" s="806">
        <v>862</v>
      </c>
      <c r="F61" s="806">
        <v>862</v>
      </c>
      <c r="G61" s="806">
        <v>930</v>
      </c>
      <c r="H61" s="806">
        <v>1009</v>
      </c>
      <c r="I61" s="807">
        <v>920</v>
      </c>
      <c r="J61" s="802"/>
      <c r="K61" s="806">
        <v>1009</v>
      </c>
      <c r="M61" s="676">
        <f>H61/'Poverty 1998-2010'!AC62</f>
        <v>0.16167280884473642</v>
      </c>
    </row>
    <row r="62" spans="1:13" ht="13.5" thickBot="1">
      <c r="A62" s="1097" t="s">
        <v>151</v>
      </c>
      <c r="B62" s="805" t="s">
        <v>152</v>
      </c>
      <c r="C62" s="806">
        <v>178</v>
      </c>
      <c r="D62" s="806">
        <v>215</v>
      </c>
      <c r="E62" s="806">
        <v>195</v>
      </c>
      <c r="F62" s="806">
        <v>146</v>
      </c>
      <c r="G62" s="806">
        <v>221</v>
      </c>
      <c r="H62" s="806">
        <v>258</v>
      </c>
      <c r="I62" s="807">
        <v>222</v>
      </c>
      <c r="J62" s="802"/>
      <c r="K62" s="806">
        <v>258</v>
      </c>
      <c r="M62" s="676">
        <f>H62/'Poverty 1998-2010'!AC63</f>
        <v>0.17891816920943135</v>
      </c>
    </row>
    <row r="63" spans="1:13" ht="13.5" thickBot="1">
      <c r="A63" s="1097" t="s">
        <v>153</v>
      </c>
      <c r="B63" s="805" t="s">
        <v>154</v>
      </c>
      <c r="C63" s="806">
        <v>1868</v>
      </c>
      <c r="D63" s="806">
        <v>1987</v>
      </c>
      <c r="E63" s="806">
        <v>1890</v>
      </c>
      <c r="F63" s="806">
        <v>1717</v>
      </c>
      <c r="G63" s="806">
        <v>1897</v>
      </c>
      <c r="H63" s="806">
        <v>2045</v>
      </c>
      <c r="I63" s="807">
        <v>2069</v>
      </c>
      <c r="J63" s="802"/>
      <c r="K63" s="806">
        <v>2042</v>
      </c>
      <c r="M63" s="676">
        <f>H63/'Poverty 1998-2010'!AC64</f>
        <v>0.11705781339439038</v>
      </c>
    </row>
    <row r="64" spans="1:13" ht="13.5" thickBot="1">
      <c r="A64" s="1097" t="s">
        <v>155</v>
      </c>
      <c r="B64" s="805" t="s">
        <v>156</v>
      </c>
      <c r="C64" s="806">
        <v>173</v>
      </c>
      <c r="D64" s="806">
        <v>182</v>
      </c>
      <c r="E64" s="806">
        <v>225</v>
      </c>
      <c r="F64" s="806">
        <v>172</v>
      </c>
      <c r="G64" s="806">
        <v>214</v>
      </c>
      <c r="H64" s="806">
        <v>229</v>
      </c>
      <c r="I64" s="807">
        <v>212</v>
      </c>
      <c r="J64" s="802"/>
      <c r="K64" s="806">
        <v>225</v>
      </c>
      <c r="M64" s="676">
        <f>H64/'Poverty 1998-2010'!AC65</f>
        <v>0.11707566462167689</v>
      </c>
    </row>
    <row r="65" spans="1:13" ht="13.5" thickBot="1">
      <c r="A65" s="1097" t="s">
        <v>157</v>
      </c>
      <c r="B65" s="805" t="s">
        <v>158</v>
      </c>
      <c r="C65" s="806">
        <v>219</v>
      </c>
      <c r="D65" s="806">
        <v>197</v>
      </c>
      <c r="E65" s="806">
        <v>159</v>
      </c>
      <c r="F65" s="806">
        <v>166</v>
      </c>
      <c r="G65" s="806">
        <v>197</v>
      </c>
      <c r="H65" s="806">
        <v>198</v>
      </c>
      <c r="I65" s="807">
        <v>238</v>
      </c>
      <c r="J65" s="802"/>
      <c r="K65" s="806">
        <v>198</v>
      </c>
      <c r="M65" s="676">
        <f>H65/'Poverty 1998-2010'!AC66</f>
        <v>0.19093539054966249</v>
      </c>
    </row>
    <row r="66" spans="1:13" ht="13.5" thickBot="1">
      <c r="A66" s="1097" t="s">
        <v>163</v>
      </c>
      <c r="B66" s="805" t="s">
        <v>164</v>
      </c>
      <c r="C66" s="806">
        <v>587</v>
      </c>
      <c r="D66" s="806">
        <v>621</v>
      </c>
      <c r="E66" s="806">
        <v>596</v>
      </c>
      <c r="F66" s="806">
        <v>557</v>
      </c>
      <c r="G66" s="806">
        <v>560</v>
      </c>
      <c r="H66" s="806">
        <v>561</v>
      </c>
      <c r="I66" s="807">
        <v>615</v>
      </c>
      <c r="J66" s="802"/>
      <c r="K66" s="806">
        <v>561</v>
      </c>
      <c r="M66" s="676">
        <f>H66/'Poverty 1998-2010'!AC67</f>
        <v>0.24844995571302037</v>
      </c>
    </row>
    <row r="67" spans="1:13" ht="13.5" thickBot="1">
      <c r="A67" s="1097" t="s">
        <v>165</v>
      </c>
      <c r="B67" s="805" t="s">
        <v>166</v>
      </c>
      <c r="C67" s="806">
        <v>199</v>
      </c>
      <c r="D67" s="806">
        <v>187</v>
      </c>
      <c r="E67" s="806">
        <v>186</v>
      </c>
      <c r="F67" s="806">
        <v>174</v>
      </c>
      <c r="G67" s="806">
        <v>147</v>
      </c>
      <c r="H67" s="806">
        <v>144</v>
      </c>
      <c r="I67" s="807">
        <v>168</v>
      </c>
      <c r="J67" s="802"/>
      <c r="K67" s="806">
        <v>142</v>
      </c>
      <c r="M67" s="676">
        <f>H67/'Poverty 1998-2010'!AC68</f>
        <v>8.1540203850509627E-2</v>
      </c>
    </row>
    <row r="68" spans="1:13" ht="13.5" thickBot="1">
      <c r="A68" s="1097" t="s">
        <v>169</v>
      </c>
      <c r="B68" s="805" t="s">
        <v>170</v>
      </c>
      <c r="C68" s="806">
        <v>572</v>
      </c>
      <c r="D68" s="806">
        <v>683</v>
      </c>
      <c r="E68" s="806">
        <v>754</v>
      </c>
      <c r="F68" s="806">
        <v>692</v>
      </c>
      <c r="G68" s="806">
        <v>686</v>
      </c>
      <c r="H68" s="806">
        <v>652</v>
      </c>
      <c r="I68" s="807">
        <v>719</v>
      </c>
      <c r="J68" s="802"/>
      <c r="K68" s="806">
        <v>652</v>
      </c>
      <c r="M68" s="676">
        <f>H68/'Poverty 1998-2010'!AC69</f>
        <v>0.2245952462969342</v>
      </c>
    </row>
    <row r="69" spans="1:13" ht="13.5" thickBot="1">
      <c r="A69" s="1097" t="s">
        <v>171</v>
      </c>
      <c r="B69" s="805" t="s">
        <v>172</v>
      </c>
      <c r="C69" s="806">
        <v>475</v>
      </c>
      <c r="D69" s="806">
        <v>447</v>
      </c>
      <c r="E69" s="806">
        <v>404</v>
      </c>
      <c r="F69" s="806">
        <v>421</v>
      </c>
      <c r="G69" s="806">
        <v>434</v>
      </c>
      <c r="H69" s="806">
        <v>463</v>
      </c>
      <c r="I69" s="807">
        <v>466</v>
      </c>
      <c r="J69" s="802"/>
      <c r="K69" s="806">
        <v>462</v>
      </c>
      <c r="M69" s="676">
        <f>H69/'Poverty 1998-2010'!AC70</f>
        <v>0.13164628945123685</v>
      </c>
    </row>
    <row r="70" spans="1:13" ht="13.5" thickBot="1">
      <c r="A70" s="1097" t="s">
        <v>173</v>
      </c>
      <c r="B70" s="805" t="s">
        <v>174</v>
      </c>
      <c r="C70" s="806">
        <v>384</v>
      </c>
      <c r="D70" s="806">
        <v>396</v>
      </c>
      <c r="E70" s="806">
        <v>326</v>
      </c>
      <c r="F70" s="806">
        <v>289</v>
      </c>
      <c r="G70" s="806">
        <v>428</v>
      </c>
      <c r="H70" s="806">
        <v>555</v>
      </c>
      <c r="I70" s="807">
        <v>522</v>
      </c>
      <c r="J70" s="802"/>
      <c r="K70" s="806">
        <v>553</v>
      </c>
      <c r="M70" s="676">
        <f>H70/'Poverty 1998-2010'!AC71</f>
        <v>0.14899328859060404</v>
      </c>
    </row>
    <row r="71" spans="1:13" ht="13.5" thickBot="1">
      <c r="A71" s="1097" t="s">
        <v>175</v>
      </c>
      <c r="B71" s="805" t="s">
        <v>176</v>
      </c>
      <c r="C71" s="806">
        <v>749</v>
      </c>
      <c r="D71" s="806">
        <v>780</v>
      </c>
      <c r="E71" s="806">
        <v>731</v>
      </c>
      <c r="F71" s="806">
        <v>664</v>
      </c>
      <c r="G71" s="806">
        <v>653</v>
      </c>
      <c r="H71" s="806">
        <v>614</v>
      </c>
      <c r="I71" s="807">
        <v>623</v>
      </c>
      <c r="J71" s="802"/>
      <c r="K71" s="806">
        <v>607</v>
      </c>
      <c r="M71" s="676">
        <f>H71/'Poverty 1998-2010'!AC72</f>
        <v>0.18021719988259466</v>
      </c>
    </row>
    <row r="72" spans="1:13" ht="13.5" thickBot="1">
      <c r="A72" s="1097" t="s">
        <v>179</v>
      </c>
      <c r="B72" s="805" t="s">
        <v>180</v>
      </c>
      <c r="C72" s="806">
        <v>1510</v>
      </c>
      <c r="D72" s="806">
        <v>1453</v>
      </c>
      <c r="E72" s="806">
        <v>1360</v>
      </c>
      <c r="F72" s="806">
        <v>1292</v>
      </c>
      <c r="G72" s="806">
        <v>1380</v>
      </c>
      <c r="H72" s="806">
        <v>1418</v>
      </c>
      <c r="I72" s="807">
        <v>1355</v>
      </c>
      <c r="J72" s="802"/>
      <c r="K72" s="806">
        <v>1406</v>
      </c>
      <c r="M72" s="676">
        <f>H72/'Poverty 1998-2010'!AC73</f>
        <v>0.14249824138277559</v>
      </c>
    </row>
    <row r="73" spans="1:13" ht="13.5" thickBot="1">
      <c r="A73" s="1097" t="s">
        <v>183</v>
      </c>
      <c r="B73" s="805" t="s">
        <v>184</v>
      </c>
      <c r="C73" s="806">
        <v>186</v>
      </c>
      <c r="D73" s="806">
        <v>217</v>
      </c>
      <c r="E73" s="806">
        <v>169</v>
      </c>
      <c r="F73" s="806">
        <v>183</v>
      </c>
      <c r="G73" s="806">
        <v>192</v>
      </c>
      <c r="H73" s="806">
        <v>188</v>
      </c>
      <c r="I73" s="807">
        <v>268</v>
      </c>
      <c r="J73" s="802"/>
      <c r="K73" s="806">
        <v>188</v>
      </c>
      <c r="M73" s="676">
        <f>H73/'Poverty 1998-2010'!AC74</f>
        <v>0.10323997803404723</v>
      </c>
    </row>
    <row r="74" spans="1:13" ht="13.5" thickBot="1">
      <c r="A74" s="1097" t="s">
        <v>185</v>
      </c>
      <c r="B74" s="805" t="s">
        <v>186</v>
      </c>
      <c r="C74" s="806">
        <v>687</v>
      </c>
      <c r="D74" s="806">
        <v>799</v>
      </c>
      <c r="E74" s="806">
        <v>779</v>
      </c>
      <c r="F74" s="806">
        <v>726</v>
      </c>
      <c r="G74" s="806">
        <v>729</v>
      </c>
      <c r="H74" s="806">
        <v>822</v>
      </c>
      <c r="I74" s="807">
        <v>795</v>
      </c>
      <c r="J74" s="802"/>
      <c r="K74" s="806">
        <v>822</v>
      </c>
      <c r="M74" s="676">
        <f>H74/'Poverty 1998-2010'!AC75</f>
        <v>0.18948824343015214</v>
      </c>
    </row>
    <row r="75" spans="1:13" ht="13.5" thickBot="1">
      <c r="A75" s="1097" t="s">
        <v>187</v>
      </c>
      <c r="B75" s="805" t="s">
        <v>188</v>
      </c>
      <c r="C75" s="806">
        <v>472</v>
      </c>
      <c r="D75" s="806">
        <v>535</v>
      </c>
      <c r="E75" s="806">
        <v>522</v>
      </c>
      <c r="F75" s="806">
        <v>508</v>
      </c>
      <c r="G75" s="806">
        <v>558</v>
      </c>
      <c r="H75" s="806">
        <v>546</v>
      </c>
      <c r="I75" s="807">
        <v>502</v>
      </c>
      <c r="J75" s="802"/>
      <c r="K75" s="806">
        <v>544</v>
      </c>
      <c r="M75" s="676">
        <f>H75/'Poverty 1998-2010'!AC76</f>
        <v>0.18187874750166555</v>
      </c>
    </row>
    <row r="76" spans="1:13" ht="13.5" thickBot="1">
      <c r="A76" s="1097" t="s">
        <v>189</v>
      </c>
      <c r="B76" s="805" t="s">
        <v>190</v>
      </c>
      <c r="C76" s="806">
        <v>6216</v>
      </c>
      <c r="D76" s="806">
        <v>6226</v>
      </c>
      <c r="E76" s="806">
        <v>5952</v>
      </c>
      <c r="F76" s="806">
        <v>5958</v>
      </c>
      <c r="G76" s="806">
        <v>6898</v>
      </c>
      <c r="H76" s="806">
        <v>7959</v>
      </c>
      <c r="I76" s="807">
        <v>7876</v>
      </c>
      <c r="J76" s="802"/>
      <c r="K76" s="806">
        <v>7920</v>
      </c>
      <c r="M76" s="676">
        <f>H76/'Poverty 1998-2010'!AC77</f>
        <v>0.32227891156462585</v>
      </c>
    </row>
    <row r="77" spans="1:13" ht="13.5" thickBot="1">
      <c r="A77" s="1097" t="s">
        <v>191</v>
      </c>
      <c r="B77" s="805" t="s">
        <v>192</v>
      </c>
      <c r="C77" s="806">
        <v>1078</v>
      </c>
      <c r="D77" s="806">
        <v>988</v>
      </c>
      <c r="E77" s="806">
        <v>1030</v>
      </c>
      <c r="F77" s="806">
        <v>954</v>
      </c>
      <c r="G77" s="806">
        <v>992</v>
      </c>
      <c r="H77" s="806">
        <v>1043</v>
      </c>
      <c r="I77" s="807">
        <v>1048</v>
      </c>
      <c r="J77" s="802"/>
      <c r="K77" s="806">
        <v>1034</v>
      </c>
      <c r="M77" s="676">
        <f>H77/'Poverty 1998-2010'!AC78</f>
        <v>0.19477124183006536</v>
      </c>
    </row>
    <row r="78" spans="1:13" ht="13.5" thickBot="1">
      <c r="A78" s="1097" t="s">
        <v>195</v>
      </c>
      <c r="B78" s="805" t="s">
        <v>196</v>
      </c>
      <c r="C78" s="806">
        <v>41</v>
      </c>
      <c r="D78" s="806">
        <v>26</v>
      </c>
      <c r="E78" s="806">
        <v>26</v>
      </c>
      <c r="F78" s="806">
        <v>51</v>
      </c>
      <c r="G78" s="806">
        <v>54</v>
      </c>
      <c r="H78" s="806">
        <v>29</v>
      </c>
      <c r="I78" s="807">
        <v>38</v>
      </c>
      <c r="J78" s="802"/>
      <c r="K78" s="806">
        <v>29</v>
      </c>
      <c r="M78" s="676">
        <f>H78/'Poverty 1998-2010'!AC79</f>
        <v>4.027777777777778E-2</v>
      </c>
    </row>
    <row r="79" spans="1:13" ht="13.5" thickBot="1">
      <c r="A79" s="1097" t="s">
        <v>199</v>
      </c>
      <c r="B79" s="805" t="s">
        <v>285</v>
      </c>
      <c r="C79" s="806">
        <v>255</v>
      </c>
      <c r="D79" s="806">
        <v>236</v>
      </c>
      <c r="E79" s="806">
        <v>218</v>
      </c>
      <c r="F79" s="806">
        <v>190</v>
      </c>
      <c r="G79" s="806">
        <v>213</v>
      </c>
      <c r="H79" s="806">
        <v>212</v>
      </c>
      <c r="I79" s="807">
        <v>198</v>
      </c>
      <c r="J79" s="802"/>
      <c r="K79" s="806">
        <v>212</v>
      </c>
      <c r="M79" s="676">
        <f>H79/'Poverty 1998-2010'!AC80</f>
        <v>0.15395787944807551</v>
      </c>
    </row>
    <row r="80" spans="1:13" ht="13.5" thickBot="1">
      <c r="A80" s="1097" t="s">
        <v>203</v>
      </c>
      <c r="B80" s="805" t="s">
        <v>368</v>
      </c>
      <c r="C80" s="806">
        <v>1383</v>
      </c>
      <c r="D80" s="806">
        <v>1386</v>
      </c>
      <c r="E80" s="806">
        <v>1438</v>
      </c>
      <c r="F80" s="806">
        <v>1467</v>
      </c>
      <c r="G80" s="806">
        <v>1623</v>
      </c>
      <c r="H80" s="806">
        <v>1762</v>
      </c>
      <c r="I80" s="807">
        <v>1720</v>
      </c>
      <c r="J80" s="802"/>
      <c r="K80" s="806">
        <v>1745</v>
      </c>
      <c r="M80" s="676">
        <f>H80/'Poverty 1998-2010'!AC81</f>
        <v>0.20637151557741859</v>
      </c>
    </row>
    <row r="81" spans="1:13" ht="13.5" thickBot="1">
      <c r="A81" s="1097" t="s">
        <v>205</v>
      </c>
      <c r="B81" s="805" t="s">
        <v>359</v>
      </c>
      <c r="C81" s="806">
        <v>470</v>
      </c>
      <c r="D81" s="806">
        <v>430</v>
      </c>
      <c r="E81" s="806">
        <v>383</v>
      </c>
      <c r="F81" s="806">
        <v>330</v>
      </c>
      <c r="G81" s="806">
        <v>434</v>
      </c>
      <c r="H81" s="806">
        <v>443</v>
      </c>
      <c r="I81" s="807">
        <v>529</v>
      </c>
      <c r="J81" s="802"/>
      <c r="K81" s="806">
        <v>438</v>
      </c>
      <c r="M81" s="676">
        <f>H81/'Poverty 1998-2010'!AC82</f>
        <v>9.5783783783783785E-2</v>
      </c>
    </row>
    <row r="82" spans="1:13" ht="13.5" thickBot="1">
      <c r="A82" s="1097" t="s">
        <v>207</v>
      </c>
      <c r="B82" s="805" t="s">
        <v>360</v>
      </c>
      <c r="C82" s="806">
        <v>1680</v>
      </c>
      <c r="D82" s="806">
        <v>1967</v>
      </c>
      <c r="E82" s="806">
        <v>1842</v>
      </c>
      <c r="F82" s="806">
        <v>1676</v>
      </c>
      <c r="G82" s="806">
        <v>1758</v>
      </c>
      <c r="H82" s="806">
        <v>2208</v>
      </c>
      <c r="I82" s="807">
        <v>2243</v>
      </c>
      <c r="J82" s="802"/>
      <c r="K82" s="806">
        <v>2192</v>
      </c>
      <c r="M82" s="676">
        <f>H82/'Poverty 1998-2010'!AC83</f>
        <v>0.10736166488378877</v>
      </c>
    </row>
    <row r="83" spans="1:13" ht="13.5" thickBot="1">
      <c r="A83" s="1097" t="s">
        <v>209</v>
      </c>
      <c r="B83" s="805" t="s">
        <v>210</v>
      </c>
      <c r="C83" s="806">
        <v>1511</v>
      </c>
      <c r="D83" s="806">
        <v>1462</v>
      </c>
      <c r="E83" s="806">
        <v>1360</v>
      </c>
      <c r="F83" s="806">
        <v>1245</v>
      </c>
      <c r="G83" s="806">
        <v>1306</v>
      </c>
      <c r="H83" s="806">
        <v>1411</v>
      </c>
      <c r="I83" s="807">
        <v>1293</v>
      </c>
      <c r="J83" s="802"/>
      <c r="K83" s="806">
        <v>1407</v>
      </c>
      <c r="M83" s="676">
        <f>H83/'Poverty 1998-2010'!AC84</f>
        <v>0.2727624202590373</v>
      </c>
    </row>
    <row r="84" spans="1:13" ht="13.5" thickBot="1">
      <c r="A84" s="1097" t="s">
        <v>211</v>
      </c>
      <c r="B84" s="805" t="s">
        <v>212</v>
      </c>
      <c r="C84" s="806">
        <v>1054</v>
      </c>
      <c r="D84" s="806">
        <v>983</v>
      </c>
      <c r="E84" s="806">
        <v>991</v>
      </c>
      <c r="F84" s="806">
        <v>916</v>
      </c>
      <c r="G84" s="806">
        <v>1020</v>
      </c>
      <c r="H84" s="806">
        <v>1100</v>
      </c>
      <c r="I84" s="807">
        <v>1051</v>
      </c>
      <c r="J84" s="802"/>
      <c r="K84" s="806">
        <v>1100</v>
      </c>
      <c r="M84" s="676">
        <f>H84/'Poverty 1998-2010'!AC85</f>
        <v>0.25894538606403011</v>
      </c>
    </row>
    <row r="85" spans="1:13" ht="13.5" thickBot="1">
      <c r="A85" s="1097" t="s">
        <v>213</v>
      </c>
      <c r="B85" s="805" t="s">
        <v>214</v>
      </c>
      <c r="C85" s="806">
        <v>244</v>
      </c>
      <c r="D85" s="806">
        <v>287</v>
      </c>
      <c r="E85" s="806">
        <v>227</v>
      </c>
      <c r="F85" s="806">
        <v>244</v>
      </c>
      <c r="G85" s="806">
        <v>358</v>
      </c>
      <c r="H85" s="806">
        <v>320</v>
      </c>
      <c r="I85" s="807">
        <v>386</v>
      </c>
      <c r="J85" s="802"/>
      <c r="K85" s="806">
        <v>320</v>
      </c>
      <c r="M85" s="676">
        <f>H85/'Poverty 1998-2010'!AC86</f>
        <v>6.5816536404771697E-2</v>
      </c>
    </row>
    <row r="86" spans="1:13" ht="13.5" thickBot="1">
      <c r="A86" s="1097" t="s">
        <v>215</v>
      </c>
      <c r="B86" s="805" t="s">
        <v>216</v>
      </c>
      <c r="C86" s="806">
        <v>925</v>
      </c>
      <c r="D86" s="806">
        <v>967</v>
      </c>
      <c r="E86" s="806">
        <v>907</v>
      </c>
      <c r="F86" s="806">
        <v>867</v>
      </c>
      <c r="G86" s="806">
        <v>1069</v>
      </c>
      <c r="H86" s="806">
        <v>1173</v>
      </c>
      <c r="I86" s="807">
        <v>1214</v>
      </c>
      <c r="J86" s="802"/>
      <c r="K86" s="806">
        <v>1168</v>
      </c>
      <c r="M86" s="676">
        <f>H86/'Poverty 1998-2010'!AC87</f>
        <v>0.19969356486210418</v>
      </c>
    </row>
    <row r="87" spans="1:13" ht="13.5" thickBot="1">
      <c r="A87" s="1097" t="s">
        <v>217</v>
      </c>
      <c r="B87" s="805" t="s">
        <v>218</v>
      </c>
      <c r="C87" s="806">
        <v>598</v>
      </c>
      <c r="D87" s="806">
        <v>637</v>
      </c>
      <c r="E87" s="806">
        <v>632</v>
      </c>
      <c r="F87" s="806">
        <v>654</v>
      </c>
      <c r="G87" s="806">
        <v>663</v>
      </c>
      <c r="H87" s="806">
        <v>663</v>
      </c>
      <c r="I87" s="807">
        <v>699</v>
      </c>
      <c r="J87" s="802"/>
      <c r="K87" s="806">
        <v>659</v>
      </c>
      <c r="M87" s="676">
        <f>H87/'Poverty 1998-2010'!AC88</f>
        <v>0.23771961276443171</v>
      </c>
    </row>
    <row r="88" spans="1:13" ht="13.5" thickBot="1">
      <c r="A88" s="1097" t="s">
        <v>219</v>
      </c>
      <c r="B88" s="805" t="s">
        <v>220</v>
      </c>
      <c r="C88" s="806">
        <v>1133</v>
      </c>
      <c r="D88" s="806">
        <v>1185</v>
      </c>
      <c r="E88" s="806">
        <v>1321</v>
      </c>
      <c r="F88" s="806">
        <v>1442</v>
      </c>
      <c r="G88" s="806">
        <v>1898</v>
      </c>
      <c r="H88" s="806">
        <v>2280</v>
      </c>
      <c r="I88" s="807">
        <v>2468</v>
      </c>
      <c r="J88" s="802"/>
      <c r="K88" s="806">
        <v>2266</v>
      </c>
      <c r="M88" s="676">
        <f>H88/'Poverty 1998-2010'!AC89</f>
        <v>0.2363919129082426</v>
      </c>
    </row>
    <row r="89" spans="1:13" ht="13.5" thickBot="1">
      <c r="A89" s="1097" t="s">
        <v>221</v>
      </c>
      <c r="B89" s="805" t="s">
        <v>222</v>
      </c>
      <c r="C89" s="806">
        <v>1124</v>
      </c>
      <c r="D89" s="806">
        <v>1355</v>
      </c>
      <c r="E89" s="806">
        <v>1465</v>
      </c>
      <c r="F89" s="806">
        <v>1623</v>
      </c>
      <c r="G89" s="806">
        <v>1803</v>
      </c>
      <c r="H89" s="806">
        <v>1842</v>
      </c>
      <c r="I89" s="807">
        <v>1799</v>
      </c>
      <c r="J89" s="802"/>
      <c r="K89" s="806">
        <v>1821</v>
      </c>
      <c r="M89" s="676">
        <f>H89/'Poverty 1998-2010'!AC90</f>
        <v>0.28203950390445565</v>
      </c>
    </row>
    <row r="90" spans="1:13" ht="13.5" thickBot="1">
      <c r="A90" s="1097" t="s">
        <v>225</v>
      </c>
      <c r="B90" s="805" t="s">
        <v>226</v>
      </c>
      <c r="C90" s="806">
        <v>179</v>
      </c>
      <c r="D90" s="806">
        <v>218</v>
      </c>
      <c r="E90" s="806">
        <v>181</v>
      </c>
      <c r="F90" s="806">
        <v>145</v>
      </c>
      <c r="G90" s="806">
        <v>221</v>
      </c>
      <c r="H90" s="806">
        <v>290</v>
      </c>
      <c r="I90" s="807">
        <v>261</v>
      </c>
      <c r="J90" s="802"/>
      <c r="K90" s="806">
        <v>286</v>
      </c>
      <c r="M90" s="676">
        <f>H90/'Poverty 1998-2010'!AC91</f>
        <v>0.33295063145809417</v>
      </c>
    </row>
    <row r="91" spans="1:13" ht="13.5" thickBot="1">
      <c r="A91" s="1097" t="s">
        <v>227</v>
      </c>
      <c r="B91" s="805" t="s">
        <v>228</v>
      </c>
      <c r="C91" s="806">
        <v>410</v>
      </c>
      <c r="D91" s="806">
        <v>443</v>
      </c>
      <c r="E91" s="806">
        <v>451</v>
      </c>
      <c r="F91" s="806">
        <v>443</v>
      </c>
      <c r="G91" s="806">
        <v>414</v>
      </c>
      <c r="H91" s="806">
        <v>434</v>
      </c>
      <c r="I91" s="807">
        <v>433</v>
      </c>
      <c r="J91" s="802"/>
      <c r="K91" s="806">
        <v>430</v>
      </c>
      <c r="M91" s="676">
        <f>H91/'Poverty 1998-2010'!AC92</f>
        <v>0.20356472795497185</v>
      </c>
    </row>
    <row r="92" spans="1:13" ht="13.5" thickBot="1">
      <c r="A92" s="1097" t="s">
        <v>229</v>
      </c>
      <c r="B92" s="805" t="s">
        <v>230</v>
      </c>
      <c r="C92" s="806">
        <v>2148</v>
      </c>
      <c r="D92" s="806">
        <v>1963</v>
      </c>
      <c r="E92" s="806">
        <v>1851</v>
      </c>
      <c r="F92" s="806">
        <v>1615</v>
      </c>
      <c r="G92" s="806">
        <v>1584</v>
      </c>
      <c r="H92" s="806">
        <v>1696</v>
      </c>
      <c r="I92" s="807">
        <v>1454</v>
      </c>
      <c r="J92" s="802"/>
      <c r="K92" s="806">
        <v>1693</v>
      </c>
      <c r="M92" s="676">
        <f>H92/'Poverty 1998-2010'!AC93</f>
        <v>0.21107654013690105</v>
      </c>
    </row>
    <row r="93" spans="1:13" ht="13.5" thickBot="1">
      <c r="A93" s="1097" t="s">
        <v>233</v>
      </c>
      <c r="B93" s="805" t="s">
        <v>234</v>
      </c>
      <c r="C93" s="806">
        <v>540</v>
      </c>
      <c r="D93" s="806">
        <v>535</v>
      </c>
      <c r="E93" s="806">
        <v>495</v>
      </c>
      <c r="F93" s="806">
        <v>512</v>
      </c>
      <c r="G93" s="806">
        <v>731</v>
      </c>
      <c r="H93" s="806">
        <v>773</v>
      </c>
      <c r="I93" s="807">
        <v>767</v>
      </c>
      <c r="J93" s="802"/>
      <c r="K93" s="806">
        <v>770</v>
      </c>
      <c r="M93" s="676">
        <f>H93/'Poverty 1998-2010'!AC94</f>
        <v>0.2027806925498426</v>
      </c>
    </row>
    <row r="94" spans="1:13" ht="13.5" thickBot="1">
      <c r="A94" s="1097" t="s">
        <v>235</v>
      </c>
      <c r="B94" s="805" t="s">
        <v>236</v>
      </c>
      <c r="C94" s="806">
        <v>990</v>
      </c>
      <c r="D94" s="806">
        <v>990</v>
      </c>
      <c r="E94" s="806">
        <v>1042</v>
      </c>
      <c r="F94" s="806">
        <v>945</v>
      </c>
      <c r="G94" s="806">
        <v>1125</v>
      </c>
      <c r="H94" s="806">
        <v>1282</v>
      </c>
      <c r="I94" s="807">
        <v>1188</v>
      </c>
      <c r="J94" s="802"/>
      <c r="K94" s="806">
        <v>1277</v>
      </c>
      <c r="M94" s="676">
        <f>H94/'Poverty 1998-2010'!AC95</f>
        <v>0.17093333333333333</v>
      </c>
    </row>
    <row r="95" spans="1:13" ht="13.5" thickBot="1">
      <c r="A95" s="1097" t="s">
        <v>237</v>
      </c>
      <c r="B95" s="805" t="s">
        <v>238</v>
      </c>
      <c r="C95" s="806">
        <v>513</v>
      </c>
      <c r="D95" s="806">
        <v>452</v>
      </c>
      <c r="E95" s="806">
        <v>425</v>
      </c>
      <c r="F95" s="806">
        <v>416</v>
      </c>
      <c r="G95" s="806">
        <v>472</v>
      </c>
      <c r="H95" s="806">
        <v>443</v>
      </c>
      <c r="I95" s="807">
        <v>556</v>
      </c>
      <c r="J95" s="802"/>
      <c r="K95" s="806">
        <v>441</v>
      </c>
      <c r="M95" s="676">
        <f>H95/'Poverty 1998-2010'!AC96</f>
        <v>0.17338551859099804</v>
      </c>
    </row>
    <row r="96" spans="1:13" ht="13.5" thickBot="1">
      <c r="A96" s="1097" t="s">
        <v>243</v>
      </c>
      <c r="B96" s="805" t="s">
        <v>244</v>
      </c>
      <c r="C96" s="806">
        <v>2566</v>
      </c>
      <c r="D96" s="806">
        <v>2449</v>
      </c>
      <c r="E96" s="806">
        <v>2297</v>
      </c>
      <c r="F96" s="806">
        <v>2245</v>
      </c>
      <c r="G96" s="806">
        <v>2288</v>
      </c>
      <c r="H96" s="806">
        <v>2402</v>
      </c>
      <c r="I96" s="807">
        <v>2138</v>
      </c>
      <c r="J96" s="802"/>
      <c r="K96" s="806">
        <v>2402</v>
      </c>
      <c r="M96" s="676">
        <f>H96/'Poverty 1998-2010'!AC97</f>
        <v>0.28179258564054432</v>
      </c>
    </row>
    <row r="97" spans="1:13" ht="13.5" thickBot="1">
      <c r="A97" s="1097" t="s">
        <v>245</v>
      </c>
      <c r="B97" s="805" t="s">
        <v>246</v>
      </c>
      <c r="C97" s="806">
        <v>785</v>
      </c>
      <c r="D97" s="806">
        <v>845</v>
      </c>
      <c r="E97" s="806">
        <v>772</v>
      </c>
      <c r="F97" s="806">
        <v>724</v>
      </c>
      <c r="G97" s="806">
        <v>744</v>
      </c>
      <c r="H97" s="806">
        <v>812</v>
      </c>
      <c r="I97" s="807">
        <v>812</v>
      </c>
      <c r="J97" s="802"/>
      <c r="K97" s="806">
        <v>799</v>
      </c>
      <c r="M97" s="676">
        <f>H97/'Poverty 1998-2010'!AC98</f>
        <v>0.17737003058103976</v>
      </c>
    </row>
    <row r="98" spans="1:13" ht="13.5" thickBot="1">
      <c r="A98" s="1097" t="s">
        <v>247</v>
      </c>
      <c r="B98" s="805" t="s">
        <v>248</v>
      </c>
      <c r="C98" s="806">
        <v>450</v>
      </c>
      <c r="D98" s="806">
        <v>514</v>
      </c>
      <c r="E98" s="806">
        <v>478</v>
      </c>
      <c r="F98" s="806">
        <v>442</v>
      </c>
      <c r="G98" s="806">
        <v>523</v>
      </c>
      <c r="H98" s="806">
        <v>628</v>
      </c>
      <c r="I98" s="807">
        <v>752</v>
      </c>
      <c r="J98" s="802"/>
      <c r="K98" s="806">
        <v>621</v>
      </c>
      <c r="M98" s="676">
        <f>H98/'Poverty 1998-2010'!AC99</f>
        <v>0.1547560374568753</v>
      </c>
    </row>
    <row r="99" spans="1:13" ht="13.5" thickBot="1">
      <c r="A99" s="1097" t="s">
        <v>14</v>
      </c>
      <c r="B99" s="805" t="s">
        <v>15</v>
      </c>
      <c r="C99" s="806">
        <v>2564</v>
      </c>
      <c r="D99" s="806">
        <v>2274</v>
      </c>
      <c r="E99" s="806">
        <v>2167</v>
      </c>
      <c r="F99" s="806">
        <v>2154</v>
      </c>
      <c r="G99" s="806">
        <v>2326</v>
      </c>
      <c r="H99" s="806">
        <v>2520</v>
      </c>
      <c r="I99" s="807">
        <v>2596</v>
      </c>
      <c r="J99" s="802"/>
      <c r="K99" s="806">
        <v>2510</v>
      </c>
      <c r="M99" s="676">
        <f>H99/'Poverty 1998-2010'!AC100</f>
        <v>0.19537912854706155</v>
      </c>
    </row>
    <row r="100" spans="1:13" ht="13.5" thickBot="1">
      <c r="A100" s="1097" t="s">
        <v>35</v>
      </c>
      <c r="B100" s="805" t="s">
        <v>36</v>
      </c>
      <c r="C100" s="806">
        <v>1224</v>
      </c>
      <c r="D100" s="806">
        <v>1318</v>
      </c>
      <c r="E100" s="806">
        <v>1301</v>
      </c>
      <c r="F100" s="806">
        <v>1284</v>
      </c>
      <c r="G100" s="806">
        <v>1355</v>
      </c>
      <c r="H100" s="806">
        <v>1401</v>
      </c>
      <c r="I100" s="807">
        <v>1517</v>
      </c>
      <c r="J100" s="802"/>
      <c r="K100" s="806">
        <v>1398</v>
      </c>
      <c r="M100" s="676">
        <f>H100/'Poverty 1998-2010'!AC101</f>
        <v>0.37419871794871795</v>
      </c>
    </row>
    <row r="101" spans="1:13" ht="13.5" thickBot="1">
      <c r="A101" s="1097" t="s">
        <v>53</v>
      </c>
      <c r="B101" s="805" t="s">
        <v>54</v>
      </c>
      <c r="C101" s="806">
        <v>1699</v>
      </c>
      <c r="D101" s="806">
        <v>1614</v>
      </c>
      <c r="E101" s="806">
        <v>1469</v>
      </c>
      <c r="F101" s="806">
        <v>1451</v>
      </c>
      <c r="G101" s="806">
        <v>1614</v>
      </c>
      <c r="H101" s="806">
        <v>1699</v>
      </c>
      <c r="I101" s="807">
        <v>1691</v>
      </c>
      <c r="J101" s="802"/>
      <c r="K101" s="806">
        <v>1681</v>
      </c>
      <c r="M101" s="676">
        <f>H101/'Poverty 1998-2010'!AC102</f>
        <v>0.20257541433170384</v>
      </c>
    </row>
    <row r="102" spans="1:13" ht="13.5" thickBot="1">
      <c r="A102" s="1097" t="s">
        <v>55</v>
      </c>
      <c r="B102" s="805" t="s">
        <v>56</v>
      </c>
      <c r="C102" s="806">
        <v>5474</v>
      </c>
      <c r="D102" s="806">
        <v>5520</v>
      </c>
      <c r="E102" s="806">
        <v>4950</v>
      </c>
      <c r="F102" s="806">
        <v>5052</v>
      </c>
      <c r="G102" s="806">
        <v>5636</v>
      </c>
      <c r="H102" s="806">
        <v>6110</v>
      </c>
      <c r="I102" s="807">
        <v>6029</v>
      </c>
      <c r="J102" s="802"/>
      <c r="K102" s="806">
        <v>6047</v>
      </c>
      <c r="M102" s="676">
        <f>H102/'Poverty 1998-2010'!AC103</f>
        <v>0.34978245935424779</v>
      </c>
    </row>
    <row r="103" spans="1:13" ht="13.5" thickBot="1">
      <c r="A103" s="1097" t="s">
        <v>67</v>
      </c>
      <c r="B103" s="805" t="s">
        <v>68</v>
      </c>
      <c r="C103" s="806">
        <v>3276</v>
      </c>
      <c r="D103" s="806">
        <v>3249</v>
      </c>
      <c r="E103" s="806">
        <v>3126</v>
      </c>
      <c r="F103" s="806">
        <v>2779</v>
      </c>
      <c r="G103" s="806">
        <v>2892</v>
      </c>
      <c r="H103" s="806">
        <v>2912</v>
      </c>
      <c r="I103" s="807">
        <v>2697</v>
      </c>
      <c r="J103" s="802"/>
      <c r="K103" s="806">
        <v>2902</v>
      </c>
      <c r="M103" s="676">
        <f>H103/'Poverty 1998-2010'!AC104</f>
        <v>0.26395939086294418</v>
      </c>
    </row>
    <row r="104" spans="1:13" ht="13.5" thickBot="1">
      <c r="A104" s="1097" t="s">
        <v>83</v>
      </c>
      <c r="B104" s="805" t="s">
        <v>84</v>
      </c>
      <c r="C104" s="806">
        <v>600</v>
      </c>
      <c r="D104" s="806">
        <v>626</v>
      </c>
      <c r="E104" s="806">
        <v>493</v>
      </c>
      <c r="F104" s="806">
        <v>483</v>
      </c>
      <c r="G104" s="806">
        <v>487</v>
      </c>
      <c r="H104" s="806">
        <v>575</v>
      </c>
      <c r="I104" s="807">
        <v>644</v>
      </c>
      <c r="J104" s="802"/>
      <c r="K104" s="806">
        <v>566</v>
      </c>
      <c r="M104" s="676">
        <f>H104/'Poverty 1998-2010'!AC105</f>
        <v>0.31369339879978175</v>
      </c>
    </row>
    <row r="105" spans="1:13" ht="13.5" thickBot="1">
      <c r="A105" s="1097" t="s">
        <v>89</v>
      </c>
      <c r="B105" s="805" t="s">
        <v>90</v>
      </c>
      <c r="C105" s="806">
        <v>827</v>
      </c>
      <c r="D105" s="806">
        <v>874</v>
      </c>
      <c r="E105" s="806">
        <v>851</v>
      </c>
      <c r="F105" s="806">
        <v>904</v>
      </c>
      <c r="G105" s="806">
        <v>1105</v>
      </c>
      <c r="H105" s="806">
        <v>1208</v>
      </c>
      <c r="I105" s="807">
        <v>1219</v>
      </c>
      <c r="J105" s="802"/>
      <c r="K105" s="806">
        <v>1196</v>
      </c>
      <c r="M105" s="676">
        <f>H105/'Poverty 1998-2010'!AC106</f>
        <v>0.27846934071000462</v>
      </c>
    </row>
    <row r="106" spans="1:13" ht="13.5" thickBot="1">
      <c r="A106" s="1097" t="s">
        <v>91</v>
      </c>
      <c r="B106" s="805" t="s">
        <v>92</v>
      </c>
      <c r="C106" s="806">
        <v>398</v>
      </c>
      <c r="D106" s="806">
        <v>370</v>
      </c>
      <c r="E106" s="806">
        <v>366</v>
      </c>
      <c r="F106" s="806">
        <v>365</v>
      </c>
      <c r="G106" s="806">
        <v>481</v>
      </c>
      <c r="H106" s="806">
        <v>559</v>
      </c>
      <c r="I106" s="807">
        <v>480</v>
      </c>
      <c r="J106" s="802"/>
      <c r="K106" s="806">
        <v>559</v>
      </c>
      <c r="M106" s="676">
        <f>H106/'Poverty 1998-2010'!AC107</f>
        <v>0.36970899470899471</v>
      </c>
    </row>
    <row r="107" spans="1:13" ht="13.5" thickBot="1">
      <c r="A107" s="1097" t="s">
        <v>107</v>
      </c>
      <c r="B107" s="805" t="s">
        <v>108</v>
      </c>
      <c r="C107" s="806">
        <v>6707</v>
      </c>
      <c r="D107" s="806">
        <v>6416</v>
      </c>
      <c r="E107" s="806">
        <v>5896</v>
      </c>
      <c r="F107" s="806">
        <v>5425</v>
      </c>
      <c r="G107" s="806">
        <v>5890</v>
      </c>
      <c r="H107" s="806">
        <v>6335</v>
      </c>
      <c r="I107" s="807">
        <v>6670</v>
      </c>
      <c r="J107" s="802"/>
      <c r="K107" s="806">
        <v>6308</v>
      </c>
      <c r="M107" s="676">
        <f>H107/'Poverty 1998-2010'!AC108</f>
        <v>0.36326624233040883</v>
      </c>
    </row>
    <row r="108" spans="1:13" ht="13.5" thickBot="1">
      <c r="A108" s="1097" t="s">
        <v>117</v>
      </c>
      <c r="B108" s="805" t="s">
        <v>118</v>
      </c>
      <c r="C108" s="806">
        <v>1613</v>
      </c>
      <c r="D108" s="806">
        <v>1650</v>
      </c>
      <c r="E108" s="806">
        <v>1472</v>
      </c>
      <c r="F108" s="806">
        <v>1513</v>
      </c>
      <c r="G108" s="806">
        <v>1642</v>
      </c>
      <c r="H108" s="806">
        <v>1726</v>
      </c>
      <c r="I108" s="807">
        <v>1732</v>
      </c>
      <c r="J108" s="802"/>
      <c r="K108" s="806">
        <v>1714</v>
      </c>
      <c r="M108" s="676">
        <f>H108/'Poverty 1998-2010'!AC109</f>
        <v>0.44726613112205232</v>
      </c>
    </row>
    <row r="109" spans="1:13" ht="13.5" thickBot="1">
      <c r="A109" s="1097" t="s">
        <v>139</v>
      </c>
      <c r="B109" s="805" t="s">
        <v>140</v>
      </c>
      <c r="C109" s="806">
        <v>3009</v>
      </c>
      <c r="D109" s="806">
        <v>2946</v>
      </c>
      <c r="E109" s="806">
        <v>2805</v>
      </c>
      <c r="F109" s="806">
        <v>2632</v>
      </c>
      <c r="G109" s="806">
        <v>2821</v>
      </c>
      <c r="H109" s="806">
        <v>3316</v>
      </c>
      <c r="I109" s="807">
        <v>3361</v>
      </c>
      <c r="J109" s="802"/>
      <c r="K109" s="806">
        <v>3295</v>
      </c>
      <c r="M109" s="676">
        <f>H109/'Poverty 1998-2010'!AC110</f>
        <v>0.22223711547483413</v>
      </c>
    </row>
    <row r="110" spans="1:13" ht="13.5" thickBot="1">
      <c r="A110" s="1097" t="s">
        <v>143</v>
      </c>
      <c r="B110" s="805" t="s">
        <v>144</v>
      </c>
      <c r="C110" s="806">
        <v>912</v>
      </c>
      <c r="D110" s="806">
        <v>882</v>
      </c>
      <c r="E110" s="806">
        <v>876</v>
      </c>
      <c r="F110" s="806">
        <v>1015</v>
      </c>
      <c r="G110" s="806">
        <v>1120</v>
      </c>
      <c r="H110" s="806">
        <v>1298</v>
      </c>
      <c r="I110" s="807">
        <v>1317</v>
      </c>
      <c r="J110" s="802"/>
      <c r="K110" s="806">
        <v>1296</v>
      </c>
      <c r="M110" s="676">
        <f>H110/'Poverty 1998-2010'!AC111</f>
        <v>0.29320081319177771</v>
      </c>
    </row>
    <row r="111" spans="1:13" ht="13.5" thickBot="1">
      <c r="A111" s="1097" t="s">
        <v>145</v>
      </c>
      <c r="B111" s="805" t="s">
        <v>146</v>
      </c>
      <c r="C111" s="806">
        <v>270</v>
      </c>
      <c r="D111" s="806">
        <v>337</v>
      </c>
      <c r="E111" s="806">
        <v>312</v>
      </c>
      <c r="F111" s="806">
        <v>334</v>
      </c>
      <c r="G111" s="806">
        <v>336</v>
      </c>
      <c r="H111" s="806">
        <v>337</v>
      </c>
      <c r="I111" s="807">
        <v>250</v>
      </c>
      <c r="J111" s="802"/>
      <c r="K111" s="806">
        <v>335</v>
      </c>
      <c r="M111" s="676">
        <f>H111/'Poverty 1998-2010'!AC112</f>
        <v>0.27221324717285944</v>
      </c>
    </row>
    <row r="112" spans="1:13" ht="13.5" thickBot="1">
      <c r="A112" s="1097" t="s">
        <v>159</v>
      </c>
      <c r="B112" s="805" t="s">
        <v>160</v>
      </c>
      <c r="C112" s="806">
        <v>8771</v>
      </c>
      <c r="D112" s="806">
        <v>8922</v>
      </c>
      <c r="E112" s="806">
        <v>8257</v>
      </c>
      <c r="F112" s="806">
        <v>7622</v>
      </c>
      <c r="G112" s="806">
        <v>8469</v>
      </c>
      <c r="H112" s="806">
        <v>9376</v>
      </c>
      <c r="I112" s="807">
        <v>9735</v>
      </c>
      <c r="J112" s="802"/>
      <c r="K112" s="806">
        <v>9311</v>
      </c>
      <c r="M112" s="676">
        <f>H112/'Poverty 1998-2010'!AC113</f>
        <v>0.35939895737503835</v>
      </c>
    </row>
    <row r="113" spans="1:13" ht="13.5" thickBot="1">
      <c r="A113" s="1097" t="s">
        <v>161</v>
      </c>
      <c r="B113" s="805" t="s">
        <v>162</v>
      </c>
      <c r="C113" s="806">
        <v>11826</v>
      </c>
      <c r="D113" s="806">
        <v>11398</v>
      </c>
      <c r="E113" s="806">
        <v>10790</v>
      </c>
      <c r="F113" s="806">
        <v>10129</v>
      </c>
      <c r="G113" s="806">
        <v>10847</v>
      </c>
      <c r="H113" s="806">
        <v>11828</v>
      </c>
      <c r="I113" s="807">
        <v>11996</v>
      </c>
      <c r="J113" s="802"/>
      <c r="K113" s="806">
        <v>11784</v>
      </c>
      <c r="M113" s="676">
        <f>H113/'Poverty 1998-2010'!AC114</f>
        <v>0.29641881562789762</v>
      </c>
    </row>
    <row r="114" spans="1:13" ht="13.5" thickBot="1">
      <c r="A114" s="1097" t="s">
        <v>167</v>
      </c>
      <c r="B114" s="805" t="s">
        <v>168</v>
      </c>
      <c r="C114" s="806">
        <v>273</v>
      </c>
      <c r="D114" s="806">
        <v>319</v>
      </c>
      <c r="E114" s="806">
        <v>291</v>
      </c>
      <c r="F114" s="806">
        <v>280</v>
      </c>
      <c r="G114" s="806">
        <v>297</v>
      </c>
      <c r="H114" s="806">
        <v>329</v>
      </c>
      <c r="I114" s="807">
        <v>280</v>
      </c>
      <c r="J114" s="802"/>
      <c r="K114" s="806">
        <v>329</v>
      </c>
      <c r="M114" s="676">
        <f>H114/'Poverty 1998-2010'!AC115</f>
        <v>0.4323258869908016</v>
      </c>
    </row>
    <row r="115" spans="1:13" ht="13.5" thickBot="1">
      <c r="A115" s="1097" t="s">
        <v>177</v>
      </c>
      <c r="B115" s="805" t="s">
        <v>178</v>
      </c>
      <c r="C115" s="806">
        <v>2982</v>
      </c>
      <c r="D115" s="806">
        <v>2896</v>
      </c>
      <c r="E115" s="806">
        <v>2620</v>
      </c>
      <c r="F115" s="806">
        <v>2508</v>
      </c>
      <c r="G115" s="806">
        <v>2740</v>
      </c>
      <c r="H115" s="806">
        <v>3147</v>
      </c>
      <c r="I115" s="807">
        <v>3158</v>
      </c>
      <c r="J115" s="802"/>
      <c r="K115" s="806">
        <v>3127</v>
      </c>
      <c r="M115" s="676">
        <f>H115/'Poverty 1998-2010'!AC116</f>
        <v>0.39263880224578912</v>
      </c>
    </row>
    <row r="116" spans="1:13" ht="13.5" thickBot="1">
      <c r="A116" s="1097" t="s">
        <v>181</v>
      </c>
      <c r="B116" s="805" t="s">
        <v>182</v>
      </c>
      <c r="C116" s="806">
        <v>6846</v>
      </c>
      <c r="D116" s="806">
        <v>6807</v>
      </c>
      <c r="E116" s="806">
        <v>6503</v>
      </c>
      <c r="F116" s="806">
        <v>5774</v>
      </c>
      <c r="G116" s="806">
        <v>5912</v>
      </c>
      <c r="H116" s="806">
        <v>6306</v>
      </c>
      <c r="I116" s="807">
        <v>6221</v>
      </c>
      <c r="J116" s="802"/>
      <c r="K116" s="806">
        <v>6248</v>
      </c>
      <c r="M116" s="676">
        <f>H116/'Poverty 1998-2010'!AC117</f>
        <v>0.37348969438521679</v>
      </c>
    </row>
    <row r="117" spans="1:13" ht="13.5" thickBot="1">
      <c r="A117" s="1097" t="s">
        <v>193</v>
      </c>
      <c r="B117" s="805" t="s">
        <v>194</v>
      </c>
      <c r="C117" s="806">
        <v>449</v>
      </c>
      <c r="D117" s="806">
        <v>469</v>
      </c>
      <c r="E117" s="806">
        <v>480</v>
      </c>
      <c r="F117" s="806">
        <v>435</v>
      </c>
      <c r="G117" s="806">
        <v>418</v>
      </c>
      <c r="H117" s="806">
        <v>454</v>
      </c>
      <c r="I117" s="807">
        <v>447</v>
      </c>
      <c r="J117" s="802"/>
      <c r="K117" s="806">
        <v>454</v>
      </c>
      <c r="M117" s="676">
        <f>H117/'Poverty 1998-2010'!AC118</f>
        <v>0.12879432624113477</v>
      </c>
    </row>
    <row r="118" spans="1:13" ht="13.5" thickBot="1">
      <c r="A118" s="1097" t="s">
        <v>197</v>
      </c>
      <c r="B118" s="805" t="s">
        <v>198</v>
      </c>
      <c r="C118" s="806">
        <v>15835</v>
      </c>
      <c r="D118" s="806">
        <v>15094</v>
      </c>
      <c r="E118" s="806">
        <v>13822</v>
      </c>
      <c r="F118" s="806">
        <v>12850</v>
      </c>
      <c r="G118" s="806">
        <v>12925</v>
      </c>
      <c r="H118" s="806">
        <v>14142</v>
      </c>
      <c r="I118" s="807">
        <v>14534</v>
      </c>
      <c r="J118" s="802"/>
      <c r="K118" s="806">
        <v>14068</v>
      </c>
      <c r="M118" s="676">
        <f>H118/'Poverty 1998-2010'!AC119</f>
        <v>0.2896170387057137</v>
      </c>
    </row>
    <row r="119" spans="1:13" ht="13.5" thickBot="1">
      <c r="A119" s="1097" t="s">
        <v>201</v>
      </c>
      <c r="B119" s="805" t="s">
        <v>202</v>
      </c>
      <c r="C119" s="806">
        <v>6087</v>
      </c>
      <c r="D119" s="806">
        <v>5921</v>
      </c>
      <c r="E119" s="806">
        <v>5611</v>
      </c>
      <c r="F119" s="806">
        <v>5580</v>
      </c>
      <c r="G119" s="806">
        <v>6098</v>
      </c>
      <c r="H119" s="806">
        <v>6773</v>
      </c>
      <c r="I119" s="807">
        <v>6918</v>
      </c>
      <c r="J119" s="802"/>
      <c r="K119" s="806">
        <v>6736</v>
      </c>
      <c r="M119" s="676">
        <f>H119/'Poverty 1998-2010'!AC120</f>
        <v>0.31628840945176051</v>
      </c>
    </row>
    <row r="120" spans="1:13" ht="13.5" thickBot="1">
      <c r="A120" s="1097" t="s">
        <v>223</v>
      </c>
      <c r="B120" s="805" t="s">
        <v>224</v>
      </c>
      <c r="C120" s="806">
        <v>2668</v>
      </c>
      <c r="D120" s="806">
        <v>2793</v>
      </c>
      <c r="E120" s="806">
        <v>2567</v>
      </c>
      <c r="F120" s="806">
        <v>2142</v>
      </c>
      <c r="G120" s="806">
        <v>2227</v>
      </c>
      <c r="H120" s="806">
        <v>2401</v>
      </c>
      <c r="I120" s="807">
        <v>2323</v>
      </c>
      <c r="J120" s="802"/>
      <c r="K120" s="806">
        <v>2399</v>
      </c>
      <c r="M120" s="676">
        <f>H120/'Poverty 1998-2010'!AC121</f>
        <v>0.24116110887906789</v>
      </c>
    </row>
    <row r="121" spans="1:13" ht="13.5" thickBot="1">
      <c r="A121" s="1097" t="s">
        <v>231</v>
      </c>
      <c r="B121" s="805" t="s">
        <v>232</v>
      </c>
      <c r="C121" s="806">
        <v>6267</v>
      </c>
      <c r="D121" s="806">
        <v>6022</v>
      </c>
      <c r="E121" s="806">
        <v>5708</v>
      </c>
      <c r="F121" s="806">
        <v>5498</v>
      </c>
      <c r="G121" s="806">
        <v>5784</v>
      </c>
      <c r="H121" s="806">
        <v>6268</v>
      </c>
      <c r="I121" s="807">
        <v>6379</v>
      </c>
      <c r="J121" s="802"/>
      <c r="K121" s="806">
        <v>6232</v>
      </c>
      <c r="M121" s="676">
        <f>H121/'Poverty 1998-2010'!AC122</f>
        <v>0.18272454304288255</v>
      </c>
    </row>
    <row r="122" spans="1:13" ht="13.5" thickBot="1">
      <c r="A122" s="1097" t="s">
        <v>239</v>
      </c>
      <c r="B122" s="805" t="s">
        <v>240</v>
      </c>
      <c r="C122" s="806">
        <v>166</v>
      </c>
      <c r="D122" s="806">
        <v>229</v>
      </c>
      <c r="E122" s="806">
        <v>184</v>
      </c>
      <c r="F122" s="806">
        <v>156</v>
      </c>
      <c r="G122" s="806">
        <v>217</v>
      </c>
      <c r="H122" s="806">
        <v>258</v>
      </c>
      <c r="I122" s="807">
        <v>277</v>
      </c>
      <c r="J122" s="802"/>
      <c r="K122" s="806">
        <v>255</v>
      </c>
      <c r="M122" s="676">
        <f>H122/'Poverty 1998-2010'!AC123</f>
        <v>0.13945945945945945</v>
      </c>
    </row>
    <row r="123" spans="1:13" ht="13.5" thickBot="1">
      <c r="A123" s="1097" t="s">
        <v>241</v>
      </c>
      <c r="B123" s="805" t="s">
        <v>242</v>
      </c>
      <c r="C123" s="806">
        <v>628</v>
      </c>
      <c r="D123" s="806">
        <v>630</v>
      </c>
      <c r="E123" s="806">
        <v>635</v>
      </c>
      <c r="F123" s="806">
        <v>575</v>
      </c>
      <c r="G123" s="806">
        <v>833</v>
      </c>
      <c r="H123" s="806">
        <v>933</v>
      </c>
      <c r="I123" s="807">
        <v>977</v>
      </c>
      <c r="J123" s="802"/>
      <c r="K123" s="806">
        <v>916</v>
      </c>
      <c r="M123" s="676">
        <f>H123/'Poverty 1998-2010'!AC124</f>
        <v>0.19146316437512825</v>
      </c>
    </row>
    <row r="124" spans="1:13" ht="13.5" thickBot="1">
      <c r="A124" s="1098" t="s">
        <v>8</v>
      </c>
      <c r="B124" s="808" t="s">
        <v>328</v>
      </c>
      <c r="C124" s="806">
        <f>SUM(C4:C123)</f>
        <v>180378</v>
      </c>
      <c r="D124" s="806">
        <f>SUM(D4:D123)</f>
        <v>179388</v>
      </c>
      <c r="E124" s="806">
        <f>SUM(E4:E123)</f>
        <v>168934</v>
      </c>
      <c r="F124" s="806">
        <f>SUM(F4:F123)</f>
        <v>161280</v>
      </c>
      <c r="G124" s="806">
        <f>SUM(G4:G123)</f>
        <v>176984</v>
      </c>
      <c r="H124" s="806">
        <v>194547</v>
      </c>
      <c r="I124" s="806">
        <f>SUM(I4:I123)</f>
        <v>195548</v>
      </c>
      <c r="J124" s="802"/>
      <c r="K124" s="806">
        <f>SUM(K4:K123)</f>
        <v>193580</v>
      </c>
      <c r="M124" s="676">
        <f>H124/'Poverty 1998-2010'!AC4</f>
        <v>0.22471602525452039</v>
      </c>
    </row>
    <row r="126" spans="1:13">
      <c r="A126" s="778" t="s">
        <v>1173</v>
      </c>
    </row>
    <row r="128" spans="1:13" s="519" customFormat="1">
      <c r="A128" s="519" t="s">
        <v>250</v>
      </c>
    </row>
    <row r="129" spans="1:2" s="519" customFormat="1">
      <c r="A129" s="536" t="s">
        <v>251</v>
      </c>
      <c r="B129" s="407" t="s">
        <v>252</v>
      </c>
    </row>
  </sheetData>
  <hyperlinks>
    <hyperlink ref="B129" r:id="rId1"/>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AB134"/>
  <sheetViews>
    <sheetView topLeftCell="A96" workbookViewId="0">
      <selection activeCell="A131" sqref="A131:K131"/>
    </sheetView>
  </sheetViews>
  <sheetFormatPr defaultRowHeight="12.75"/>
  <cols>
    <col min="1" max="1" width="5.625" style="779" customWidth="1"/>
    <col min="2" max="2" width="30.125" style="779" customWidth="1"/>
    <col min="3" max="4" width="8.875" style="779" bestFit="1" customWidth="1"/>
    <col min="5" max="5" width="10.375" style="779" customWidth="1"/>
    <col min="6" max="6" width="7.875" style="779" bestFit="1" customWidth="1"/>
    <col min="7" max="7" width="1" style="779" customWidth="1"/>
    <col min="8" max="8" width="10.625" style="779" customWidth="1"/>
    <col min="9" max="9" width="8.875" style="779" bestFit="1" customWidth="1"/>
    <col min="10" max="10" width="10.375" style="779" bestFit="1" customWidth="1"/>
    <col min="11" max="11" width="7.875" style="779" bestFit="1" customWidth="1"/>
    <col min="12" max="12" width="10.375" style="779" bestFit="1" customWidth="1"/>
    <col min="13" max="16" width="9" style="779"/>
    <col min="17" max="17" width="7.375" style="779" bestFit="1" customWidth="1"/>
    <col min="18" max="18" width="8.875" style="779" bestFit="1" customWidth="1"/>
    <col min="19" max="19" width="9.5" style="779" customWidth="1"/>
    <col min="20" max="20" width="7.375" style="779" bestFit="1" customWidth="1"/>
    <col min="21" max="21" width="9" style="779"/>
    <col min="22" max="23" width="8.875" style="779" bestFit="1" customWidth="1"/>
    <col min="24" max="25" width="9" style="779"/>
    <col min="26" max="27" width="8.875" style="779" bestFit="1" customWidth="1"/>
    <col min="28" max="16384" width="9" style="779"/>
  </cols>
  <sheetData>
    <row r="1" spans="1:28">
      <c r="B1" s="1340" t="s">
        <v>993</v>
      </c>
      <c r="C1" s="1340"/>
      <c r="D1" s="1340"/>
      <c r="E1" s="1340"/>
      <c r="F1" s="1340"/>
      <c r="G1" s="1340"/>
      <c r="H1" s="1340"/>
      <c r="I1" s="1340"/>
      <c r="J1" s="1340"/>
      <c r="K1" s="1340"/>
      <c r="L1" s="1340"/>
    </row>
    <row r="2" spans="1:28">
      <c r="B2" s="1340" t="s">
        <v>994</v>
      </c>
      <c r="C2" s="1340"/>
      <c r="D2" s="1340"/>
      <c r="E2" s="1340"/>
      <c r="F2" s="1340"/>
      <c r="G2" s="1340"/>
      <c r="H2" s="1340"/>
      <c r="I2" s="1340"/>
      <c r="J2" s="1340"/>
      <c r="K2" s="1340"/>
      <c r="L2" s="1340"/>
    </row>
    <row r="3" spans="1:28">
      <c r="B3" s="780"/>
      <c r="Q3" s="1335" t="s">
        <v>995</v>
      </c>
      <c r="R3" s="1336"/>
      <c r="S3" s="1336"/>
      <c r="T3" s="1336"/>
      <c r="U3" s="1336"/>
      <c r="V3" s="1336"/>
      <c r="W3" s="1336"/>
      <c r="X3" s="1336"/>
      <c r="Y3" s="1336"/>
      <c r="Z3" s="1336"/>
      <c r="AA3" s="1336"/>
      <c r="AB3" s="1337"/>
    </row>
    <row r="4" spans="1:28" ht="12.75" customHeight="1" thickBot="1">
      <c r="B4" s="781"/>
      <c r="C4" s="781"/>
      <c r="D4" s="781"/>
      <c r="E4" s="781"/>
      <c r="F4" s="781"/>
      <c r="G4" s="781"/>
      <c r="H4" s="781"/>
      <c r="I4" s="781"/>
      <c r="J4" s="781"/>
      <c r="K4" s="781"/>
      <c r="L4" s="781"/>
      <c r="O4" s="1341" t="s">
        <v>841</v>
      </c>
      <c r="P4" s="1342"/>
    </row>
    <row r="5" spans="1:28" ht="19.5" customHeight="1">
      <c r="B5" s="781"/>
      <c r="C5" s="1343" t="s">
        <v>672</v>
      </c>
      <c r="D5" s="1344"/>
      <c r="E5" s="1344"/>
      <c r="F5" s="1345"/>
      <c r="G5" s="781"/>
      <c r="H5" s="1343" t="s">
        <v>7</v>
      </c>
      <c r="I5" s="1344"/>
      <c r="J5" s="1344"/>
      <c r="K5" s="1345"/>
      <c r="L5" s="781"/>
      <c r="O5" s="1341"/>
      <c r="P5" s="1342"/>
      <c r="Q5" s="1335" t="s">
        <v>672</v>
      </c>
      <c r="R5" s="1336"/>
      <c r="S5" s="1336"/>
      <c r="T5" s="1337"/>
      <c r="U5" s="1335" t="s">
        <v>671</v>
      </c>
      <c r="V5" s="1336"/>
      <c r="W5" s="1336"/>
      <c r="X5" s="1337"/>
      <c r="Y5" s="1335" t="s">
        <v>328</v>
      </c>
      <c r="Z5" s="1336"/>
      <c r="AA5" s="1336"/>
      <c r="AB5" s="1337"/>
    </row>
    <row r="6" spans="1:28" ht="39" thickBot="1">
      <c r="A6" s="782" t="s">
        <v>4</v>
      </c>
      <c r="B6" s="783" t="s">
        <v>996</v>
      </c>
      <c r="C6" s="784" t="s">
        <v>838</v>
      </c>
      <c r="D6" s="785" t="s">
        <v>2</v>
      </c>
      <c r="E6" s="785" t="s">
        <v>773</v>
      </c>
      <c r="F6" s="786" t="s">
        <v>668</v>
      </c>
      <c r="G6" s="785"/>
      <c r="H6" s="784" t="s">
        <v>675</v>
      </c>
      <c r="I6" s="785" t="s">
        <v>2</v>
      </c>
      <c r="J6" s="785" t="s">
        <v>773</v>
      </c>
      <c r="K6" s="786" t="s">
        <v>668</v>
      </c>
      <c r="L6" s="785" t="s">
        <v>328</v>
      </c>
      <c r="O6" s="779" t="s">
        <v>2</v>
      </c>
      <c r="P6" s="779" t="s">
        <v>667</v>
      </c>
      <c r="Q6" s="773" t="s">
        <v>2</v>
      </c>
      <c r="R6" s="773" t="s">
        <v>773</v>
      </c>
      <c r="S6" s="773" t="s">
        <v>771</v>
      </c>
      <c r="T6" s="773" t="s">
        <v>328</v>
      </c>
      <c r="U6" s="773" t="s">
        <v>2</v>
      </c>
      <c r="V6" s="773" t="s">
        <v>773</v>
      </c>
      <c r="W6" s="773" t="s">
        <v>771</v>
      </c>
      <c r="X6" s="773" t="s">
        <v>328</v>
      </c>
      <c r="Y6" s="773" t="s">
        <v>2</v>
      </c>
      <c r="Z6" s="773" t="s">
        <v>773</v>
      </c>
      <c r="AA6" s="773" t="s">
        <v>771</v>
      </c>
      <c r="AB6" s="773" t="s">
        <v>328</v>
      </c>
    </row>
    <row r="7" spans="1:28">
      <c r="A7" s="787" t="s">
        <v>10</v>
      </c>
      <c r="B7" s="788" t="s">
        <v>11</v>
      </c>
      <c r="C7" s="789">
        <v>2944</v>
      </c>
      <c r="D7" s="790">
        <v>1306</v>
      </c>
      <c r="E7" s="790">
        <v>1605</v>
      </c>
      <c r="F7" s="791">
        <v>33</v>
      </c>
      <c r="G7" s="790"/>
      <c r="H7" s="789">
        <v>5332</v>
      </c>
      <c r="I7" s="790">
        <v>2705</v>
      </c>
      <c r="J7" s="790">
        <v>2495</v>
      </c>
      <c r="K7" s="791">
        <v>132</v>
      </c>
      <c r="L7" s="790">
        <f t="shared" ref="L7:L38" si="0">+H7+C7</f>
        <v>8276</v>
      </c>
      <c r="M7" s="792"/>
      <c r="N7" s="792"/>
      <c r="O7" s="779">
        <v>0.91829689298043726</v>
      </c>
      <c r="P7" s="779">
        <v>4.3153049482163405E-2</v>
      </c>
      <c r="Q7" s="779">
        <v>1255</v>
      </c>
      <c r="R7" s="779">
        <v>1603</v>
      </c>
      <c r="S7" s="779">
        <v>56</v>
      </c>
      <c r="T7" s="779">
        <v>2914</v>
      </c>
      <c r="U7" s="779">
        <v>1494</v>
      </c>
      <c r="V7" s="779">
        <v>2438</v>
      </c>
      <c r="W7" s="779">
        <v>1319</v>
      </c>
      <c r="X7" s="779">
        <v>5251</v>
      </c>
      <c r="Y7" s="779">
        <v>2749</v>
      </c>
      <c r="Z7" s="779">
        <v>4041</v>
      </c>
      <c r="AA7" s="779">
        <v>1375</v>
      </c>
      <c r="AB7" s="779">
        <v>8165</v>
      </c>
    </row>
    <row r="8" spans="1:28">
      <c r="A8" s="787" t="s">
        <v>12</v>
      </c>
      <c r="B8" s="788" t="s">
        <v>13</v>
      </c>
      <c r="C8" s="789">
        <v>3093</v>
      </c>
      <c r="D8" s="790">
        <v>2062</v>
      </c>
      <c r="E8" s="790">
        <v>811</v>
      </c>
      <c r="F8" s="791">
        <v>220</v>
      </c>
      <c r="G8" s="790"/>
      <c r="H8" s="789">
        <v>6251</v>
      </c>
      <c r="I8" s="790">
        <v>3668</v>
      </c>
      <c r="J8" s="790">
        <v>1706</v>
      </c>
      <c r="K8" s="791">
        <v>877</v>
      </c>
      <c r="L8" s="790">
        <f t="shared" si="0"/>
        <v>9344</v>
      </c>
      <c r="M8" s="792"/>
      <c r="N8" s="792"/>
      <c r="O8" s="779">
        <v>0.90088255261371353</v>
      </c>
      <c r="P8" s="779">
        <v>5.4989816700610997E-2</v>
      </c>
      <c r="Q8" s="779">
        <v>2019</v>
      </c>
      <c r="R8" s="779">
        <v>808</v>
      </c>
      <c r="S8" s="779">
        <v>48</v>
      </c>
      <c r="T8" s="779">
        <v>2875</v>
      </c>
      <c r="U8" s="779">
        <v>2671</v>
      </c>
      <c r="V8" s="779">
        <v>1645</v>
      </c>
      <c r="W8" s="779">
        <v>1107</v>
      </c>
      <c r="X8" s="779">
        <v>5423</v>
      </c>
      <c r="Y8" s="779">
        <v>4690</v>
      </c>
      <c r="Z8" s="779">
        <v>2453</v>
      </c>
      <c r="AA8" s="779">
        <v>1155</v>
      </c>
      <c r="AB8" s="779">
        <v>8298</v>
      </c>
    </row>
    <row r="9" spans="1:28">
      <c r="A9" s="787" t="s">
        <v>16</v>
      </c>
      <c r="B9" s="788" t="s">
        <v>364</v>
      </c>
      <c r="C9" s="789">
        <v>2279</v>
      </c>
      <c r="D9" s="790">
        <v>2001</v>
      </c>
      <c r="E9" s="790">
        <v>246</v>
      </c>
      <c r="F9" s="791">
        <v>32</v>
      </c>
      <c r="G9" s="790"/>
      <c r="H9" s="789">
        <v>2825</v>
      </c>
      <c r="I9" s="790">
        <v>2295</v>
      </c>
      <c r="J9" s="790">
        <v>278</v>
      </c>
      <c r="K9" s="791">
        <v>252</v>
      </c>
      <c r="L9" s="790">
        <f t="shared" si="0"/>
        <v>5104</v>
      </c>
      <c r="M9" s="792"/>
      <c r="N9" s="792"/>
      <c r="O9" s="779">
        <v>0.97468354430379744</v>
      </c>
      <c r="P9" s="779">
        <v>1.2658227848101266E-2</v>
      </c>
      <c r="Q9" s="779">
        <v>1993</v>
      </c>
      <c r="R9" s="779">
        <v>246</v>
      </c>
      <c r="S9" s="779">
        <v>8</v>
      </c>
      <c r="T9" s="779">
        <v>2247</v>
      </c>
      <c r="U9" s="779">
        <v>2202</v>
      </c>
      <c r="V9" s="779">
        <v>277</v>
      </c>
      <c r="W9" s="779">
        <v>95</v>
      </c>
      <c r="X9" s="779">
        <v>2574</v>
      </c>
      <c r="Y9" s="779">
        <v>4195</v>
      </c>
      <c r="Z9" s="779">
        <v>523</v>
      </c>
      <c r="AA9" s="779">
        <v>103</v>
      </c>
      <c r="AB9" s="779">
        <v>4821</v>
      </c>
    </row>
    <row r="10" spans="1:28">
      <c r="A10" s="787" t="s">
        <v>18</v>
      </c>
      <c r="B10" s="788" t="s">
        <v>19</v>
      </c>
      <c r="C10" s="789">
        <v>1077</v>
      </c>
      <c r="D10" s="790">
        <v>611</v>
      </c>
      <c r="E10" s="790">
        <v>454</v>
      </c>
      <c r="F10" s="791">
        <v>12</v>
      </c>
      <c r="G10" s="790"/>
      <c r="H10" s="789">
        <v>1528</v>
      </c>
      <c r="I10" s="790">
        <v>969</v>
      </c>
      <c r="J10" s="790">
        <v>501</v>
      </c>
      <c r="K10" s="791">
        <v>58</v>
      </c>
      <c r="L10" s="790">
        <f t="shared" si="0"/>
        <v>2605</v>
      </c>
      <c r="M10" s="792"/>
      <c r="N10" s="792"/>
      <c r="O10" s="779">
        <v>0.81481481481481477</v>
      </c>
      <c r="P10" s="779">
        <v>0.14814814814814814</v>
      </c>
      <c r="Q10" s="779">
        <v>603</v>
      </c>
      <c r="R10" s="779">
        <v>453</v>
      </c>
      <c r="S10" s="779">
        <v>10</v>
      </c>
      <c r="T10" s="779">
        <v>1066</v>
      </c>
      <c r="U10" s="779">
        <v>906</v>
      </c>
      <c r="V10" s="779">
        <v>490</v>
      </c>
      <c r="W10" s="779">
        <v>77</v>
      </c>
      <c r="X10" s="779">
        <v>1473</v>
      </c>
      <c r="Y10" s="779">
        <v>1509</v>
      </c>
      <c r="Z10" s="779">
        <v>943</v>
      </c>
      <c r="AA10" s="779">
        <v>87</v>
      </c>
      <c r="AB10" s="779">
        <v>2539</v>
      </c>
    </row>
    <row r="11" spans="1:28">
      <c r="A11" s="787" t="s">
        <v>20</v>
      </c>
      <c r="B11" s="788" t="s">
        <v>21</v>
      </c>
      <c r="C11" s="789">
        <v>2192</v>
      </c>
      <c r="D11" s="790">
        <v>1493</v>
      </c>
      <c r="E11" s="790">
        <v>636</v>
      </c>
      <c r="F11" s="791">
        <v>63</v>
      </c>
      <c r="G11" s="790"/>
      <c r="H11" s="789">
        <v>3402</v>
      </c>
      <c r="I11" s="790">
        <v>2151</v>
      </c>
      <c r="J11" s="790">
        <v>941</v>
      </c>
      <c r="K11" s="791">
        <v>310</v>
      </c>
      <c r="L11" s="790">
        <f t="shared" si="0"/>
        <v>5594</v>
      </c>
      <c r="M11" s="792"/>
      <c r="N11" s="792"/>
      <c r="O11" s="779">
        <v>0.8539325842696629</v>
      </c>
      <c r="P11" s="779">
        <v>0.11797752808988764</v>
      </c>
      <c r="Q11" s="779">
        <v>1483</v>
      </c>
      <c r="R11" s="779">
        <v>635</v>
      </c>
      <c r="S11" s="779">
        <v>12</v>
      </c>
      <c r="T11" s="779">
        <v>2130</v>
      </c>
      <c r="U11" s="779">
        <v>2053</v>
      </c>
      <c r="V11" s="779">
        <v>927</v>
      </c>
      <c r="W11" s="779">
        <v>115</v>
      </c>
      <c r="X11" s="779">
        <v>3095</v>
      </c>
      <c r="Y11" s="779">
        <v>3536</v>
      </c>
      <c r="Z11" s="779">
        <v>1562</v>
      </c>
      <c r="AA11" s="779">
        <v>127</v>
      </c>
      <c r="AB11" s="779">
        <v>5225</v>
      </c>
    </row>
    <row r="12" spans="1:28">
      <c r="A12" s="787" t="s">
        <v>22</v>
      </c>
      <c r="B12" s="788" t="s">
        <v>23</v>
      </c>
      <c r="C12" s="789">
        <v>1398</v>
      </c>
      <c r="D12" s="790">
        <v>878</v>
      </c>
      <c r="E12" s="790">
        <v>506</v>
      </c>
      <c r="F12" s="791">
        <v>14</v>
      </c>
      <c r="G12" s="790"/>
      <c r="H12" s="789">
        <v>1827</v>
      </c>
      <c r="I12" s="790">
        <v>1086</v>
      </c>
      <c r="J12" s="790">
        <v>674</v>
      </c>
      <c r="K12" s="791">
        <v>67</v>
      </c>
      <c r="L12" s="790">
        <f t="shared" si="0"/>
        <v>3225</v>
      </c>
      <c r="M12" s="792"/>
      <c r="N12" s="792"/>
      <c r="O12" s="779">
        <v>0.79629629629629628</v>
      </c>
      <c r="P12" s="779">
        <v>0.20370370370370369</v>
      </c>
      <c r="Q12" s="779">
        <v>871</v>
      </c>
      <c r="R12" s="779">
        <v>504</v>
      </c>
      <c r="S12" s="779">
        <v>9</v>
      </c>
      <c r="T12" s="779">
        <v>1384</v>
      </c>
      <c r="U12" s="779">
        <v>1057</v>
      </c>
      <c r="V12" s="779">
        <v>666</v>
      </c>
      <c r="W12" s="779">
        <v>37</v>
      </c>
      <c r="X12" s="779">
        <v>1760</v>
      </c>
      <c r="Y12" s="779">
        <v>1928</v>
      </c>
      <c r="Z12" s="779">
        <v>1170</v>
      </c>
      <c r="AA12" s="779">
        <v>46</v>
      </c>
      <c r="AB12" s="779">
        <v>3144</v>
      </c>
    </row>
    <row r="13" spans="1:28">
      <c r="A13" s="787" t="s">
        <v>24</v>
      </c>
      <c r="B13" s="788" t="s">
        <v>25</v>
      </c>
      <c r="C13" s="789">
        <v>4207</v>
      </c>
      <c r="D13" s="790">
        <v>2079</v>
      </c>
      <c r="E13" s="790">
        <v>1416</v>
      </c>
      <c r="F13" s="791">
        <v>712</v>
      </c>
      <c r="G13" s="790"/>
      <c r="H13" s="789">
        <v>9085</v>
      </c>
      <c r="I13" s="790">
        <v>5460</v>
      </c>
      <c r="J13" s="790">
        <v>1965</v>
      </c>
      <c r="K13" s="791">
        <v>1660</v>
      </c>
      <c r="L13" s="790">
        <f t="shared" si="0"/>
        <v>13292</v>
      </c>
      <c r="M13" s="792"/>
      <c r="N13" s="792"/>
      <c r="O13" s="779">
        <v>0.9374328456897264</v>
      </c>
      <c r="P13" s="779">
        <v>1.686089759484255E-2</v>
      </c>
      <c r="Q13" s="779">
        <v>1428</v>
      </c>
      <c r="R13" s="779">
        <v>1404</v>
      </c>
      <c r="S13" s="779">
        <v>694</v>
      </c>
      <c r="T13" s="779">
        <v>3526</v>
      </c>
      <c r="U13" s="779">
        <v>652</v>
      </c>
      <c r="V13" s="779">
        <v>1879</v>
      </c>
      <c r="W13" s="779">
        <v>5129</v>
      </c>
      <c r="X13" s="779">
        <v>7660</v>
      </c>
      <c r="Y13" s="779">
        <v>2080</v>
      </c>
      <c r="Z13" s="779">
        <v>3283</v>
      </c>
      <c r="AA13" s="779">
        <v>5823</v>
      </c>
      <c r="AB13" s="779">
        <v>11186</v>
      </c>
    </row>
    <row r="14" spans="1:28">
      <c r="A14" s="787" t="s">
        <v>26</v>
      </c>
      <c r="B14" s="788" t="s">
        <v>1114</v>
      </c>
      <c r="C14" s="789">
        <v>7842</v>
      </c>
      <c r="D14" s="790">
        <v>6685</v>
      </c>
      <c r="E14" s="790">
        <v>962</v>
      </c>
      <c r="F14" s="791">
        <v>195</v>
      </c>
      <c r="G14" s="790"/>
      <c r="H14" s="789">
        <v>12409</v>
      </c>
      <c r="I14" s="790">
        <v>9767</v>
      </c>
      <c r="J14" s="790">
        <v>1670</v>
      </c>
      <c r="K14" s="791">
        <v>972</v>
      </c>
      <c r="L14" s="790">
        <f t="shared" si="0"/>
        <v>20251</v>
      </c>
      <c r="M14" s="792"/>
      <c r="N14" s="792"/>
      <c r="O14" s="779">
        <v>0.92241379310344829</v>
      </c>
      <c r="P14" s="779">
        <v>3.7617554858934171E-2</v>
      </c>
      <c r="Q14" s="779">
        <v>6621</v>
      </c>
      <c r="R14" s="779">
        <v>959</v>
      </c>
      <c r="S14" s="779">
        <v>69</v>
      </c>
      <c r="T14" s="779">
        <v>7649</v>
      </c>
      <c r="U14" s="779">
        <v>8869</v>
      </c>
      <c r="V14" s="779">
        <v>1633</v>
      </c>
      <c r="W14" s="779">
        <v>973</v>
      </c>
      <c r="X14" s="779">
        <v>11475</v>
      </c>
      <c r="Y14" s="779">
        <v>15490</v>
      </c>
      <c r="Z14" s="779">
        <v>2592</v>
      </c>
      <c r="AA14" s="779">
        <v>1042</v>
      </c>
      <c r="AB14" s="779">
        <v>19124</v>
      </c>
    </row>
    <row r="15" spans="1:28">
      <c r="A15" s="787" t="s">
        <v>27</v>
      </c>
      <c r="B15" s="788" t="s">
        <v>28</v>
      </c>
      <c r="C15" s="789">
        <v>310</v>
      </c>
      <c r="D15" s="790">
        <v>285</v>
      </c>
      <c r="E15" s="790">
        <v>24</v>
      </c>
      <c r="F15" s="791">
        <v>1</v>
      </c>
      <c r="G15" s="790"/>
      <c r="H15" s="789">
        <v>390</v>
      </c>
      <c r="I15" s="790">
        <v>350</v>
      </c>
      <c r="J15" s="790">
        <v>18</v>
      </c>
      <c r="K15" s="791">
        <v>22</v>
      </c>
      <c r="L15" s="790">
        <f t="shared" si="0"/>
        <v>700</v>
      </c>
      <c r="M15" s="792"/>
      <c r="N15" s="792"/>
      <c r="O15" s="779">
        <v>0.75</v>
      </c>
      <c r="P15" s="779">
        <v>0</v>
      </c>
      <c r="Q15" s="779">
        <v>283</v>
      </c>
      <c r="R15" s="779">
        <v>24</v>
      </c>
      <c r="S15" s="779">
        <v>3</v>
      </c>
      <c r="T15" s="779">
        <v>310</v>
      </c>
      <c r="U15" s="779">
        <v>334</v>
      </c>
      <c r="V15" s="779">
        <v>18</v>
      </c>
      <c r="W15" s="779">
        <v>21</v>
      </c>
      <c r="X15" s="779">
        <v>373</v>
      </c>
      <c r="Y15" s="779">
        <v>617</v>
      </c>
      <c r="Z15" s="779">
        <v>42</v>
      </c>
      <c r="AA15" s="779">
        <v>24</v>
      </c>
      <c r="AB15" s="779">
        <v>683</v>
      </c>
    </row>
    <row r="16" spans="1:28">
      <c r="A16" s="787" t="s">
        <v>29</v>
      </c>
      <c r="B16" s="788" t="s">
        <v>366</v>
      </c>
      <c r="C16" s="789">
        <v>3856</v>
      </c>
      <c r="D16" s="790">
        <v>3127</v>
      </c>
      <c r="E16" s="790">
        <v>626</v>
      </c>
      <c r="F16" s="791">
        <v>103</v>
      </c>
      <c r="G16" s="790"/>
      <c r="H16" s="789">
        <v>6155</v>
      </c>
      <c r="I16" s="790">
        <v>4772</v>
      </c>
      <c r="J16" s="790">
        <v>855</v>
      </c>
      <c r="K16" s="791">
        <v>528</v>
      </c>
      <c r="L16" s="790">
        <f t="shared" si="0"/>
        <v>10011</v>
      </c>
      <c r="M16" s="792"/>
      <c r="N16" s="792"/>
      <c r="O16" s="779">
        <v>0.93036211699164351</v>
      </c>
      <c r="P16" s="779">
        <v>3.0640668523676879E-2</v>
      </c>
      <c r="Q16" s="779">
        <v>3100</v>
      </c>
      <c r="R16" s="779">
        <v>625</v>
      </c>
      <c r="S16" s="779">
        <v>29</v>
      </c>
      <c r="T16" s="779">
        <v>3754</v>
      </c>
      <c r="U16" s="779">
        <v>4527</v>
      </c>
      <c r="V16" s="779">
        <v>847</v>
      </c>
      <c r="W16" s="779">
        <v>263</v>
      </c>
      <c r="X16" s="779">
        <v>5637</v>
      </c>
      <c r="Y16" s="779">
        <v>7627</v>
      </c>
      <c r="Z16" s="779">
        <v>1472</v>
      </c>
      <c r="AA16" s="779">
        <v>292</v>
      </c>
      <c r="AB16" s="779">
        <v>9391</v>
      </c>
    </row>
    <row r="17" spans="1:28">
      <c r="A17" s="787" t="s">
        <v>31</v>
      </c>
      <c r="B17" s="788" t="s">
        <v>32</v>
      </c>
      <c r="C17" s="789">
        <v>476</v>
      </c>
      <c r="D17" s="790">
        <v>444</v>
      </c>
      <c r="E17" s="790">
        <v>10</v>
      </c>
      <c r="F17" s="791">
        <v>22</v>
      </c>
      <c r="G17" s="790"/>
      <c r="H17" s="789">
        <v>537</v>
      </c>
      <c r="I17" s="790">
        <v>487</v>
      </c>
      <c r="J17" s="790">
        <v>10</v>
      </c>
      <c r="K17" s="791">
        <v>40</v>
      </c>
      <c r="L17" s="790">
        <f t="shared" si="0"/>
        <v>1013</v>
      </c>
      <c r="M17" s="792"/>
      <c r="N17" s="792"/>
      <c r="O17" s="779">
        <v>0.9</v>
      </c>
      <c r="P17" s="779">
        <v>0</v>
      </c>
      <c r="Q17" s="779">
        <v>443</v>
      </c>
      <c r="R17" s="779">
        <v>10</v>
      </c>
      <c r="S17" s="779">
        <v>1</v>
      </c>
      <c r="T17" s="779">
        <v>454</v>
      </c>
      <c r="U17" s="779">
        <v>482</v>
      </c>
      <c r="V17" s="779">
        <v>10</v>
      </c>
      <c r="W17" s="779">
        <v>5</v>
      </c>
      <c r="X17" s="779">
        <v>497</v>
      </c>
      <c r="Y17" s="779">
        <v>925</v>
      </c>
      <c r="Z17" s="779">
        <v>20</v>
      </c>
      <c r="AA17" s="779">
        <v>6</v>
      </c>
      <c r="AB17" s="779">
        <v>951</v>
      </c>
    </row>
    <row r="18" spans="1:28">
      <c r="A18" s="787" t="s">
        <v>33</v>
      </c>
      <c r="B18" s="788" t="s">
        <v>34</v>
      </c>
      <c r="C18" s="789">
        <v>1062</v>
      </c>
      <c r="D18" s="790">
        <v>978</v>
      </c>
      <c r="E18" s="790">
        <v>55</v>
      </c>
      <c r="F18" s="791">
        <v>29</v>
      </c>
      <c r="G18" s="790"/>
      <c r="H18" s="789">
        <v>1703</v>
      </c>
      <c r="I18" s="790">
        <v>1511</v>
      </c>
      <c r="J18" s="790">
        <v>73</v>
      </c>
      <c r="K18" s="791">
        <v>119</v>
      </c>
      <c r="L18" s="790">
        <f t="shared" si="0"/>
        <v>2765</v>
      </c>
      <c r="M18" s="792"/>
      <c r="N18" s="792"/>
      <c r="O18" s="779">
        <v>0.97560975609756095</v>
      </c>
      <c r="P18" s="779">
        <v>8.130081300813009E-3</v>
      </c>
      <c r="Q18" s="779">
        <v>973</v>
      </c>
      <c r="R18" s="779">
        <v>55</v>
      </c>
      <c r="S18" s="779">
        <v>5</v>
      </c>
      <c r="T18" s="779">
        <v>1033</v>
      </c>
      <c r="U18" s="779">
        <v>1422</v>
      </c>
      <c r="V18" s="779">
        <v>72</v>
      </c>
      <c r="W18" s="779">
        <v>91</v>
      </c>
      <c r="X18" s="779">
        <v>1585</v>
      </c>
      <c r="Y18" s="779">
        <v>2395</v>
      </c>
      <c r="Z18" s="779">
        <v>127</v>
      </c>
      <c r="AA18" s="779">
        <v>96</v>
      </c>
      <c r="AB18" s="779">
        <v>2618</v>
      </c>
    </row>
    <row r="19" spans="1:28">
      <c r="A19" s="787" t="s">
        <v>37</v>
      </c>
      <c r="B19" s="788" t="s">
        <v>38</v>
      </c>
      <c r="C19" s="789">
        <v>2035</v>
      </c>
      <c r="D19" s="790">
        <v>505</v>
      </c>
      <c r="E19" s="790">
        <v>1512</v>
      </c>
      <c r="F19" s="791">
        <v>18</v>
      </c>
      <c r="G19" s="790"/>
      <c r="H19" s="789">
        <v>2396</v>
      </c>
      <c r="I19" s="790">
        <v>527</v>
      </c>
      <c r="J19" s="790">
        <v>1798</v>
      </c>
      <c r="K19" s="791">
        <v>71</v>
      </c>
      <c r="L19" s="790">
        <f t="shared" si="0"/>
        <v>4431</v>
      </c>
      <c r="M19" s="792"/>
      <c r="N19" s="792"/>
      <c r="O19" s="779">
        <v>0.66666666666666663</v>
      </c>
      <c r="P19" s="779">
        <v>0.2857142857142857</v>
      </c>
      <c r="Q19" s="779">
        <v>497</v>
      </c>
      <c r="R19" s="779">
        <v>1509</v>
      </c>
      <c r="S19" s="779">
        <v>12</v>
      </c>
      <c r="T19" s="779">
        <v>2018</v>
      </c>
      <c r="U19" s="779">
        <v>478</v>
      </c>
      <c r="V19" s="779">
        <v>1777</v>
      </c>
      <c r="W19" s="779">
        <v>73</v>
      </c>
      <c r="X19" s="779">
        <v>2328</v>
      </c>
      <c r="Y19" s="779">
        <v>975</v>
      </c>
      <c r="Z19" s="779">
        <v>3286</v>
      </c>
      <c r="AA19" s="779">
        <v>85</v>
      </c>
      <c r="AB19" s="779">
        <v>4346</v>
      </c>
    </row>
    <row r="20" spans="1:28">
      <c r="A20" s="787" t="s">
        <v>39</v>
      </c>
      <c r="B20" s="788" t="s">
        <v>40</v>
      </c>
      <c r="C20" s="789">
        <v>3432</v>
      </c>
      <c r="D20" s="790">
        <v>3384</v>
      </c>
      <c r="E20" s="790">
        <v>8</v>
      </c>
      <c r="F20" s="791">
        <v>40</v>
      </c>
      <c r="G20" s="790"/>
      <c r="H20" s="789">
        <v>3149</v>
      </c>
      <c r="I20" s="790">
        <v>3006</v>
      </c>
      <c r="J20" s="790">
        <v>17</v>
      </c>
      <c r="K20" s="791">
        <v>126</v>
      </c>
      <c r="L20" s="790">
        <f t="shared" si="0"/>
        <v>6581</v>
      </c>
      <c r="M20" s="792"/>
      <c r="N20" s="792"/>
      <c r="O20" s="779">
        <v>0.91666666666666663</v>
      </c>
      <c r="P20" s="779">
        <v>6.25E-2</v>
      </c>
      <c r="Q20" s="779">
        <v>3375</v>
      </c>
      <c r="R20" s="779">
        <v>7</v>
      </c>
      <c r="S20" s="779">
        <v>10</v>
      </c>
      <c r="T20" s="779">
        <v>3392</v>
      </c>
      <c r="U20" s="779">
        <v>2951</v>
      </c>
      <c r="V20" s="779">
        <v>13</v>
      </c>
      <c r="W20" s="779">
        <v>60</v>
      </c>
      <c r="X20" s="779">
        <v>3024</v>
      </c>
      <c r="Y20" s="779">
        <v>6326</v>
      </c>
      <c r="Z20" s="779">
        <v>20</v>
      </c>
      <c r="AA20" s="779">
        <v>70</v>
      </c>
      <c r="AB20" s="779">
        <v>6416</v>
      </c>
    </row>
    <row r="21" spans="1:28">
      <c r="A21" s="787" t="s">
        <v>41</v>
      </c>
      <c r="B21" s="788" t="s">
        <v>42</v>
      </c>
      <c r="C21" s="789">
        <v>1504</v>
      </c>
      <c r="D21" s="790">
        <v>754</v>
      </c>
      <c r="E21" s="790">
        <v>720</v>
      </c>
      <c r="F21" s="791">
        <v>30</v>
      </c>
      <c r="G21" s="790"/>
      <c r="H21" s="789">
        <v>2011</v>
      </c>
      <c r="I21" s="790">
        <v>1051</v>
      </c>
      <c r="J21" s="790">
        <v>830</v>
      </c>
      <c r="K21" s="791">
        <v>130</v>
      </c>
      <c r="L21" s="790">
        <f t="shared" si="0"/>
        <v>3515</v>
      </c>
      <c r="M21" s="792"/>
      <c r="N21" s="792"/>
      <c r="O21" s="779">
        <v>0.8771929824561403</v>
      </c>
      <c r="P21" s="779">
        <v>7.0175438596491224E-2</v>
      </c>
      <c r="Q21" s="779">
        <v>744</v>
      </c>
      <c r="R21" s="779">
        <v>719</v>
      </c>
      <c r="S21" s="779">
        <v>11</v>
      </c>
      <c r="T21" s="779">
        <v>1474</v>
      </c>
      <c r="U21" s="779">
        <v>987</v>
      </c>
      <c r="V21" s="779">
        <v>825</v>
      </c>
      <c r="W21" s="779">
        <v>73</v>
      </c>
      <c r="X21" s="779">
        <v>1885</v>
      </c>
      <c r="Y21" s="779">
        <v>1731</v>
      </c>
      <c r="Z21" s="779">
        <v>1544</v>
      </c>
      <c r="AA21" s="779">
        <v>84</v>
      </c>
      <c r="AB21" s="779">
        <v>3359</v>
      </c>
    </row>
    <row r="22" spans="1:28">
      <c r="A22" s="787" t="s">
        <v>43</v>
      </c>
      <c r="B22" s="788" t="s">
        <v>44</v>
      </c>
      <c r="C22" s="789">
        <v>4245</v>
      </c>
      <c r="D22" s="790">
        <v>3072</v>
      </c>
      <c r="E22" s="790">
        <v>1063</v>
      </c>
      <c r="F22" s="791">
        <v>110</v>
      </c>
      <c r="G22" s="790"/>
      <c r="H22" s="789">
        <v>6052</v>
      </c>
      <c r="I22" s="790">
        <v>4085</v>
      </c>
      <c r="J22" s="790">
        <v>1442</v>
      </c>
      <c r="K22" s="791">
        <v>525</v>
      </c>
      <c r="L22" s="790">
        <f t="shared" si="0"/>
        <v>10297</v>
      </c>
      <c r="M22" s="792"/>
      <c r="N22" s="792"/>
      <c r="O22" s="779">
        <v>0.88288288288288286</v>
      </c>
      <c r="P22" s="779">
        <v>9.90990990990991E-2</v>
      </c>
      <c r="Q22" s="779">
        <v>3036</v>
      </c>
      <c r="R22" s="779">
        <v>1059</v>
      </c>
      <c r="S22" s="779">
        <v>41</v>
      </c>
      <c r="T22" s="779">
        <v>4136</v>
      </c>
      <c r="U22" s="779">
        <v>3908</v>
      </c>
      <c r="V22" s="779">
        <v>1422</v>
      </c>
      <c r="W22" s="779">
        <v>201</v>
      </c>
      <c r="X22" s="779">
        <v>5531</v>
      </c>
      <c r="Y22" s="779">
        <v>6944</v>
      </c>
      <c r="Z22" s="779">
        <v>2481</v>
      </c>
      <c r="AA22" s="779">
        <v>242</v>
      </c>
      <c r="AB22" s="779">
        <v>9667</v>
      </c>
    </row>
    <row r="23" spans="1:28">
      <c r="A23" s="787" t="s">
        <v>45</v>
      </c>
      <c r="B23" s="788" t="s">
        <v>46</v>
      </c>
      <c r="C23" s="789">
        <v>1893</v>
      </c>
      <c r="D23" s="790">
        <v>1016</v>
      </c>
      <c r="E23" s="790">
        <v>781</v>
      </c>
      <c r="F23" s="791">
        <v>96</v>
      </c>
      <c r="G23" s="790"/>
      <c r="H23" s="789">
        <v>3534</v>
      </c>
      <c r="I23" s="790">
        <v>1876</v>
      </c>
      <c r="J23" s="790">
        <v>1330</v>
      </c>
      <c r="K23" s="791">
        <v>328</v>
      </c>
      <c r="L23" s="790">
        <f t="shared" si="0"/>
        <v>5427</v>
      </c>
      <c r="M23" s="792"/>
      <c r="N23" s="792"/>
      <c r="O23" s="779">
        <v>0.85994397759103647</v>
      </c>
      <c r="P23" s="779">
        <v>7.0028011204481794E-2</v>
      </c>
      <c r="Q23" s="779">
        <v>992</v>
      </c>
      <c r="R23" s="779">
        <v>779</v>
      </c>
      <c r="S23" s="779">
        <v>28</v>
      </c>
      <c r="T23" s="779">
        <v>1799</v>
      </c>
      <c r="U23" s="779">
        <v>1720</v>
      </c>
      <c r="V23" s="779">
        <v>1317</v>
      </c>
      <c r="W23" s="779">
        <v>181</v>
      </c>
      <c r="X23" s="779">
        <v>3218</v>
      </c>
      <c r="Y23" s="779">
        <v>2712</v>
      </c>
      <c r="Z23" s="779">
        <v>2096</v>
      </c>
      <c r="AA23" s="779">
        <v>209</v>
      </c>
      <c r="AB23" s="779">
        <v>5017</v>
      </c>
    </row>
    <row r="24" spans="1:28">
      <c r="A24" s="787" t="s">
        <v>47</v>
      </c>
      <c r="B24" s="788" t="s">
        <v>48</v>
      </c>
      <c r="C24" s="789">
        <v>3101</v>
      </c>
      <c r="D24" s="790">
        <v>3030</v>
      </c>
      <c r="E24" s="790">
        <v>18</v>
      </c>
      <c r="F24" s="791">
        <v>53</v>
      </c>
      <c r="G24" s="790"/>
      <c r="H24" s="789">
        <v>3879</v>
      </c>
      <c r="I24" s="790">
        <v>3563</v>
      </c>
      <c r="J24" s="790">
        <v>49</v>
      </c>
      <c r="K24" s="791">
        <v>267</v>
      </c>
      <c r="L24" s="790">
        <f t="shared" si="0"/>
        <v>6980</v>
      </c>
      <c r="M24" s="792"/>
      <c r="N24" s="792"/>
      <c r="O24" s="779">
        <v>0.96727272727272728</v>
      </c>
      <c r="P24" s="779">
        <v>1.8181818181818181E-2</v>
      </c>
      <c r="Q24" s="779">
        <v>3011</v>
      </c>
      <c r="R24" s="779">
        <v>18</v>
      </c>
      <c r="S24" s="779">
        <v>20</v>
      </c>
      <c r="T24" s="779">
        <v>3049</v>
      </c>
      <c r="U24" s="779">
        <v>3300</v>
      </c>
      <c r="V24" s="779">
        <v>44</v>
      </c>
      <c r="W24" s="779">
        <v>272</v>
      </c>
      <c r="X24" s="779">
        <v>3616</v>
      </c>
      <c r="Y24" s="779">
        <v>6311</v>
      </c>
      <c r="Z24" s="779">
        <v>62</v>
      </c>
      <c r="AA24" s="779">
        <v>292</v>
      </c>
      <c r="AB24" s="779">
        <v>6665</v>
      </c>
    </row>
    <row r="25" spans="1:28">
      <c r="A25" s="787" t="s">
        <v>49</v>
      </c>
      <c r="B25" s="788" t="s">
        <v>279</v>
      </c>
      <c r="C25" s="789">
        <v>525</v>
      </c>
      <c r="D25" s="790">
        <v>154</v>
      </c>
      <c r="E25" s="790">
        <v>331</v>
      </c>
      <c r="F25" s="791">
        <v>40</v>
      </c>
      <c r="G25" s="790"/>
      <c r="H25" s="789">
        <v>691</v>
      </c>
      <c r="I25" s="790">
        <v>198</v>
      </c>
      <c r="J25" s="790">
        <v>383</v>
      </c>
      <c r="K25" s="791">
        <v>110</v>
      </c>
      <c r="L25" s="790">
        <f t="shared" si="0"/>
        <v>1216</v>
      </c>
      <c r="M25" s="792"/>
      <c r="N25" s="792"/>
      <c r="O25" s="779">
        <v>0.375</v>
      </c>
      <c r="P25" s="779">
        <v>6.25E-2</v>
      </c>
      <c r="Q25" s="779">
        <v>152</v>
      </c>
      <c r="R25" s="779">
        <v>331</v>
      </c>
      <c r="S25" s="779">
        <v>4</v>
      </c>
      <c r="T25" s="779">
        <v>487</v>
      </c>
      <c r="U25" s="779">
        <v>195</v>
      </c>
      <c r="V25" s="779">
        <v>382</v>
      </c>
      <c r="W25" s="779">
        <v>9</v>
      </c>
      <c r="X25" s="779">
        <v>586</v>
      </c>
      <c r="Y25" s="779">
        <v>347</v>
      </c>
      <c r="Z25" s="779">
        <v>713</v>
      </c>
      <c r="AA25" s="779">
        <v>13</v>
      </c>
      <c r="AB25" s="779">
        <v>1073</v>
      </c>
    </row>
    <row r="26" spans="1:28">
      <c r="A26" s="787" t="s">
        <v>51</v>
      </c>
      <c r="B26" s="788" t="s">
        <v>52</v>
      </c>
      <c r="C26" s="789">
        <v>1501</v>
      </c>
      <c r="D26" s="790">
        <v>727</v>
      </c>
      <c r="E26" s="790">
        <v>760</v>
      </c>
      <c r="F26" s="791">
        <v>14</v>
      </c>
      <c r="G26" s="790"/>
      <c r="H26" s="789">
        <v>1831</v>
      </c>
      <c r="I26" s="790">
        <v>923</v>
      </c>
      <c r="J26" s="790">
        <v>850</v>
      </c>
      <c r="K26" s="791">
        <v>58</v>
      </c>
      <c r="L26" s="790">
        <f t="shared" si="0"/>
        <v>3332</v>
      </c>
      <c r="M26" s="792"/>
      <c r="N26" s="792"/>
      <c r="O26" s="779">
        <v>0.91891891891891897</v>
      </c>
      <c r="P26" s="779">
        <v>8.1081081081081086E-2</v>
      </c>
      <c r="Q26" s="779">
        <v>719</v>
      </c>
      <c r="R26" s="779">
        <v>759</v>
      </c>
      <c r="S26" s="779">
        <v>9</v>
      </c>
      <c r="T26" s="779">
        <v>1487</v>
      </c>
      <c r="U26" s="779">
        <v>855</v>
      </c>
      <c r="V26" s="779">
        <v>844</v>
      </c>
      <c r="W26" s="779">
        <v>74</v>
      </c>
      <c r="X26" s="779">
        <v>1773</v>
      </c>
      <c r="Y26" s="779">
        <v>1574</v>
      </c>
      <c r="Z26" s="779">
        <v>1603</v>
      </c>
      <c r="AA26" s="779">
        <v>83</v>
      </c>
      <c r="AB26" s="779">
        <v>3260</v>
      </c>
    </row>
    <row r="27" spans="1:28">
      <c r="A27" s="787" t="s">
        <v>57</v>
      </c>
      <c r="B27" s="788" t="s">
        <v>362</v>
      </c>
      <c r="C27" s="789">
        <v>12632</v>
      </c>
      <c r="D27" s="790">
        <v>7018</v>
      </c>
      <c r="E27" s="790">
        <v>4436</v>
      </c>
      <c r="F27" s="791">
        <v>1178</v>
      </c>
      <c r="G27" s="790"/>
      <c r="H27" s="789">
        <v>29891</v>
      </c>
      <c r="I27" s="790">
        <v>14504</v>
      </c>
      <c r="J27" s="790">
        <v>11244</v>
      </c>
      <c r="K27" s="791">
        <v>4143</v>
      </c>
      <c r="L27" s="790">
        <f t="shared" si="0"/>
        <v>42523</v>
      </c>
      <c r="M27" s="792"/>
      <c r="N27" s="792"/>
      <c r="O27" s="779">
        <v>0.86455368693402324</v>
      </c>
      <c r="P27" s="779">
        <v>8.4993531694695992E-2</v>
      </c>
      <c r="Q27" s="779">
        <v>6608</v>
      </c>
      <c r="R27" s="779">
        <v>4396</v>
      </c>
      <c r="S27" s="779">
        <v>474</v>
      </c>
      <c r="T27" s="779">
        <v>11478</v>
      </c>
      <c r="U27" s="779">
        <v>9713</v>
      </c>
      <c r="V27" s="779">
        <v>10773</v>
      </c>
      <c r="W27" s="779">
        <v>5542</v>
      </c>
      <c r="X27" s="779">
        <v>26028</v>
      </c>
      <c r="Y27" s="779">
        <v>16321</v>
      </c>
      <c r="Z27" s="779">
        <v>15169</v>
      </c>
      <c r="AA27" s="779">
        <v>6016</v>
      </c>
      <c r="AB27" s="779">
        <v>37506</v>
      </c>
    </row>
    <row r="28" spans="1:28">
      <c r="A28" s="787" t="s">
        <v>59</v>
      </c>
      <c r="B28" s="788" t="s">
        <v>60</v>
      </c>
      <c r="C28" s="789">
        <v>537</v>
      </c>
      <c r="D28" s="790">
        <v>429</v>
      </c>
      <c r="E28" s="790">
        <v>91</v>
      </c>
      <c r="F28" s="791">
        <v>17</v>
      </c>
      <c r="G28" s="790"/>
      <c r="H28" s="789">
        <v>713</v>
      </c>
      <c r="I28" s="790">
        <v>574</v>
      </c>
      <c r="J28" s="790">
        <v>85</v>
      </c>
      <c r="K28" s="791">
        <v>54</v>
      </c>
      <c r="L28" s="790">
        <f t="shared" si="0"/>
        <v>1250</v>
      </c>
      <c r="M28" s="792"/>
      <c r="N28" s="792"/>
      <c r="O28" s="779">
        <v>0.97395833333333337</v>
      </c>
      <c r="P28" s="779">
        <v>1.5625E-2</v>
      </c>
      <c r="Q28" s="779">
        <v>420</v>
      </c>
      <c r="R28" s="779">
        <v>91</v>
      </c>
      <c r="S28" s="779">
        <v>9</v>
      </c>
      <c r="T28" s="779">
        <v>520</v>
      </c>
      <c r="U28" s="779">
        <v>470</v>
      </c>
      <c r="V28" s="779">
        <v>83</v>
      </c>
      <c r="W28" s="779">
        <v>107</v>
      </c>
      <c r="X28" s="779">
        <v>660</v>
      </c>
      <c r="Y28" s="779">
        <v>890</v>
      </c>
      <c r="Z28" s="779">
        <v>174</v>
      </c>
      <c r="AA28" s="779">
        <v>116</v>
      </c>
      <c r="AB28" s="779">
        <v>1180</v>
      </c>
    </row>
    <row r="29" spans="1:28">
      <c r="A29" s="787" t="s">
        <v>61</v>
      </c>
      <c r="B29" s="788" t="s">
        <v>62</v>
      </c>
      <c r="C29" s="789">
        <v>386</v>
      </c>
      <c r="D29" s="790">
        <v>378</v>
      </c>
      <c r="E29" s="790">
        <v>2</v>
      </c>
      <c r="F29" s="791">
        <v>6</v>
      </c>
      <c r="G29" s="790"/>
      <c r="H29" s="789">
        <v>522</v>
      </c>
      <c r="I29" s="790">
        <v>487</v>
      </c>
      <c r="J29" s="790">
        <v>2</v>
      </c>
      <c r="K29" s="791">
        <v>33</v>
      </c>
      <c r="L29" s="790">
        <f t="shared" si="0"/>
        <v>908</v>
      </c>
      <c r="M29" s="792"/>
      <c r="N29" s="792"/>
      <c r="O29" s="779">
        <v>1</v>
      </c>
      <c r="P29" s="779">
        <v>0</v>
      </c>
      <c r="Q29" s="779">
        <v>374</v>
      </c>
      <c r="R29" s="779">
        <v>2</v>
      </c>
      <c r="S29" s="779">
        <v>4</v>
      </c>
      <c r="T29" s="779">
        <v>380</v>
      </c>
      <c r="U29" s="779">
        <v>463</v>
      </c>
      <c r="V29" s="779">
        <v>2</v>
      </c>
      <c r="W29" s="779">
        <v>24</v>
      </c>
      <c r="X29" s="779">
        <v>489</v>
      </c>
      <c r="Y29" s="779">
        <v>837</v>
      </c>
      <c r="Z29" s="779">
        <v>4</v>
      </c>
      <c r="AA29" s="779">
        <v>28</v>
      </c>
      <c r="AB29" s="779">
        <v>869</v>
      </c>
    </row>
    <row r="30" spans="1:28">
      <c r="A30" s="787" t="s">
        <v>63</v>
      </c>
      <c r="B30" s="788" t="s">
        <v>64</v>
      </c>
      <c r="C30" s="789">
        <v>2561</v>
      </c>
      <c r="D30" s="790">
        <v>1639</v>
      </c>
      <c r="E30" s="790">
        <v>863</v>
      </c>
      <c r="F30" s="791">
        <v>59</v>
      </c>
      <c r="G30" s="790"/>
      <c r="H30" s="789">
        <v>5119</v>
      </c>
      <c r="I30" s="790">
        <v>3155</v>
      </c>
      <c r="J30" s="790">
        <v>1389</v>
      </c>
      <c r="K30" s="791">
        <v>575</v>
      </c>
      <c r="L30" s="790">
        <f t="shared" si="0"/>
        <v>7680</v>
      </c>
      <c r="M30" s="792"/>
      <c r="N30" s="792"/>
      <c r="O30" s="779">
        <v>0.8936725375081539</v>
      </c>
      <c r="P30" s="779">
        <v>8.1539465101108932E-2</v>
      </c>
      <c r="Q30" s="779">
        <v>1584</v>
      </c>
      <c r="R30" s="779">
        <v>858</v>
      </c>
      <c r="S30" s="779">
        <v>61</v>
      </c>
      <c r="T30" s="779">
        <v>2503</v>
      </c>
      <c r="U30" s="779">
        <v>2282</v>
      </c>
      <c r="V30" s="779">
        <v>1309</v>
      </c>
      <c r="W30" s="779">
        <v>977</v>
      </c>
      <c r="X30" s="779">
        <v>4568</v>
      </c>
      <c r="Y30" s="779">
        <v>3866</v>
      </c>
      <c r="Z30" s="779">
        <v>2167</v>
      </c>
      <c r="AA30" s="779">
        <v>1038</v>
      </c>
      <c r="AB30" s="779">
        <v>7071</v>
      </c>
    </row>
    <row r="31" spans="1:28">
      <c r="A31" s="787" t="s">
        <v>65</v>
      </c>
      <c r="B31" s="788" t="s">
        <v>66</v>
      </c>
      <c r="C31" s="789">
        <v>1064</v>
      </c>
      <c r="D31" s="790">
        <v>501</v>
      </c>
      <c r="E31" s="790">
        <v>548</v>
      </c>
      <c r="F31" s="791">
        <v>15</v>
      </c>
      <c r="G31" s="790"/>
      <c r="H31" s="789">
        <v>1488</v>
      </c>
      <c r="I31" s="790">
        <v>741</v>
      </c>
      <c r="J31" s="790">
        <v>682</v>
      </c>
      <c r="K31" s="791">
        <v>65</v>
      </c>
      <c r="L31" s="790">
        <f t="shared" si="0"/>
        <v>2552</v>
      </c>
      <c r="M31" s="792"/>
      <c r="N31" s="792"/>
      <c r="O31" s="779">
        <v>0.81428571428571428</v>
      </c>
      <c r="P31" s="779">
        <v>0.12857142857142856</v>
      </c>
      <c r="Q31" s="779">
        <v>490</v>
      </c>
      <c r="R31" s="779">
        <v>546</v>
      </c>
      <c r="S31" s="779">
        <v>14</v>
      </c>
      <c r="T31" s="779">
        <v>1050</v>
      </c>
      <c r="U31" s="779">
        <v>695</v>
      </c>
      <c r="V31" s="779">
        <v>675</v>
      </c>
      <c r="W31" s="779">
        <v>56</v>
      </c>
      <c r="X31" s="779">
        <v>1426</v>
      </c>
      <c r="Y31" s="779">
        <v>1185</v>
      </c>
      <c r="Z31" s="779">
        <v>1221</v>
      </c>
      <c r="AA31" s="779">
        <v>70</v>
      </c>
      <c r="AB31" s="779">
        <v>2476</v>
      </c>
    </row>
    <row r="32" spans="1:28">
      <c r="A32" s="787" t="s">
        <v>69</v>
      </c>
      <c r="B32" s="788" t="s">
        <v>70</v>
      </c>
      <c r="C32" s="789">
        <v>2416</v>
      </c>
      <c r="D32" s="790">
        <v>2396</v>
      </c>
      <c r="E32" s="790">
        <v>10</v>
      </c>
      <c r="F32" s="791">
        <v>10</v>
      </c>
      <c r="G32" s="790"/>
      <c r="H32" s="789">
        <v>2367</v>
      </c>
      <c r="I32" s="790">
        <v>2284</v>
      </c>
      <c r="J32" s="790">
        <v>22</v>
      </c>
      <c r="K32" s="791">
        <v>61</v>
      </c>
      <c r="L32" s="790">
        <f t="shared" si="0"/>
        <v>4783</v>
      </c>
      <c r="M32" s="792"/>
      <c r="N32" s="792"/>
      <c r="O32" s="779">
        <v>0.96666666666666667</v>
      </c>
      <c r="P32" s="779">
        <v>0</v>
      </c>
      <c r="Q32" s="779">
        <v>2387</v>
      </c>
      <c r="R32" s="779">
        <v>10</v>
      </c>
      <c r="S32" s="779">
        <v>9</v>
      </c>
      <c r="T32" s="779">
        <v>2406</v>
      </c>
      <c r="U32" s="779">
        <v>2260</v>
      </c>
      <c r="V32" s="779">
        <v>22</v>
      </c>
      <c r="W32" s="779">
        <v>25</v>
      </c>
      <c r="X32" s="779">
        <v>2307</v>
      </c>
      <c r="Y32" s="779">
        <v>4647</v>
      </c>
      <c r="Z32" s="779">
        <v>32</v>
      </c>
      <c r="AA32" s="779">
        <v>34</v>
      </c>
      <c r="AB32" s="779">
        <v>4713</v>
      </c>
    </row>
    <row r="33" spans="1:28">
      <c r="A33" s="787" t="s">
        <v>71</v>
      </c>
      <c r="B33" s="788" t="s">
        <v>72</v>
      </c>
      <c r="C33" s="789">
        <v>2194</v>
      </c>
      <c r="D33" s="790">
        <v>1114</v>
      </c>
      <c r="E33" s="790">
        <v>1005</v>
      </c>
      <c r="F33" s="791">
        <v>75</v>
      </c>
      <c r="G33" s="790"/>
      <c r="H33" s="789">
        <v>3169</v>
      </c>
      <c r="I33" s="790">
        <v>1599</v>
      </c>
      <c r="J33" s="790">
        <v>1248</v>
      </c>
      <c r="K33" s="791">
        <v>322</v>
      </c>
      <c r="L33" s="790">
        <f t="shared" si="0"/>
        <v>5363</v>
      </c>
      <c r="M33" s="792"/>
      <c r="N33" s="792"/>
      <c r="O33" s="779">
        <v>0.83050847457627119</v>
      </c>
      <c r="P33" s="779">
        <v>0.12994350282485875</v>
      </c>
      <c r="Q33" s="779">
        <v>1095</v>
      </c>
      <c r="R33" s="779">
        <v>1002</v>
      </c>
      <c r="S33" s="779">
        <v>23</v>
      </c>
      <c r="T33" s="779">
        <v>2120</v>
      </c>
      <c r="U33" s="779">
        <v>1451</v>
      </c>
      <c r="V33" s="779">
        <v>1225</v>
      </c>
      <c r="W33" s="779">
        <v>178</v>
      </c>
      <c r="X33" s="779">
        <v>2854</v>
      </c>
      <c r="Y33" s="779">
        <v>2546</v>
      </c>
      <c r="Z33" s="779">
        <v>2227</v>
      </c>
      <c r="AA33" s="779">
        <v>201</v>
      </c>
      <c r="AB33" s="779">
        <v>4974</v>
      </c>
    </row>
    <row r="34" spans="1:28">
      <c r="A34" s="787" t="s">
        <v>73</v>
      </c>
      <c r="B34" s="788" t="s">
        <v>74</v>
      </c>
      <c r="C34" s="789">
        <v>1037</v>
      </c>
      <c r="D34" s="790">
        <v>345</v>
      </c>
      <c r="E34" s="790">
        <v>648</v>
      </c>
      <c r="F34" s="791">
        <v>44</v>
      </c>
      <c r="G34" s="790"/>
      <c r="H34" s="789">
        <v>1697</v>
      </c>
      <c r="I34" s="790">
        <v>512</v>
      </c>
      <c r="J34" s="790">
        <v>976</v>
      </c>
      <c r="K34" s="791">
        <v>209</v>
      </c>
      <c r="L34" s="790">
        <f t="shared" si="0"/>
        <v>2734</v>
      </c>
      <c r="M34" s="792"/>
      <c r="N34" s="792"/>
      <c r="O34" s="779">
        <v>0.85245901639344257</v>
      </c>
      <c r="P34" s="779">
        <v>0.13114754098360656</v>
      </c>
      <c r="Q34" s="779">
        <v>340</v>
      </c>
      <c r="R34" s="779">
        <v>647</v>
      </c>
      <c r="S34" s="779">
        <v>6</v>
      </c>
      <c r="T34" s="779">
        <v>993</v>
      </c>
      <c r="U34" s="779">
        <v>440</v>
      </c>
      <c r="V34" s="779">
        <v>965</v>
      </c>
      <c r="W34" s="779">
        <v>85</v>
      </c>
      <c r="X34" s="779">
        <v>1490</v>
      </c>
      <c r="Y34" s="779">
        <v>780</v>
      </c>
      <c r="Z34" s="779">
        <v>1612</v>
      </c>
      <c r="AA34" s="779">
        <v>91</v>
      </c>
      <c r="AB34" s="779">
        <v>2483</v>
      </c>
    </row>
    <row r="35" spans="1:28">
      <c r="A35" s="787" t="s">
        <v>75</v>
      </c>
      <c r="B35" s="788" t="s">
        <v>363</v>
      </c>
      <c r="C35" s="789">
        <v>23650</v>
      </c>
      <c r="D35" s="790">
        <v>11555</v>
      </c>
      <c r="E35" s="790">
        <v>4509</v>
      </c>
      <c r="F35" s="791">
        <v>7586</v>
      </c>
      <c r="G35" s="790"/>
      <c r="H35" s="789">
        <v>68761</v>
      </c>
      <c r="I35" s="790">
        <v>40421</v>
      </c>
      <c r="J35" s="790">
        <v>12386</v>
      </c>
      <c r="K35" s="791">
        <v>15954</v>
      </c>
      <c r="L35" s="790">
        <f t="shared" si="0"/>
        <v>92411</v>
      </c>
      <c r="M35" s="792"/>
      <c r="N35" s="792"/>
      <c r="O35" s="779">
        <v>0.92673000982911147</v>
      </c>
      <c r="P35" s="779">
        <v>2.6883481919608217E-2</v>
      </c>
      <c r="Q35" s="779">
        <v>9208</v>
      </c>
      <c r="R35" s="779">
        <v>4441</v>
      </c>
      <c r="S35" s="779">
        <v>2533</v>
      </c>
      <c r="T35" s="779">
        <v>16182</v>
      </c>
      <c r="U35" s="779">
        <v>8527</v>
      </c>
      <c r="V35" s="779">
        <v>11461</v>
      </c>
      <c r="W35" s="779">
        <v>34416</v>
      </c>
      <c r="X35" s="779">
        <v>54404</v>
      </c>
      <c r="Y35" s="779">
        <v>17735</v>
      </c>
      <c r="Z35" s="779">
        <v>15902</v>
      </c>
      <c r="AA35" s="779">
        <v>36949</v>
      </c>
      <c r="AB35" s="779">
        <v>70586</v>
      </c>
    </row>
    <row r="36" spans="1:28">
      <c r="A36" s="787" t="s">
        <v>77</v>
      </c>
      <c r="B36" s="788" t="s">
        <v>78</v>
      </c>
      <c r="C36" s="789">
        <v>2077</v>
      </c>
      <c r="D36" s="790">
        <v>1404</v>
      </c>
      <c r="E36" s="790">
        <v>565</v>
      </c>
      <c r="F36" s="791">
        <v>108</v>
      </c>
      <c r="G36" s="790"/>
      <c r="H36" s="789">
        <v>4265</v>
      </c>
      <c r="I36" s="790">
        <v>2695</v>
      </c>
      <c r="J36" s="790">
        <v>887</v>
      </c>
      <c r="K36" s="791">
        <v>683</v>
      </c>
      <c r="L36" s="790">
        <f t="shared" si="0"/>
        <v>6342</v>
      </c>
      <c r="M36" s="792"/>
      <c r="N36" s="792"/>
      <c r="O36" s="779">
        <v>0.91281451141018144</v>
      </c>
      <c r="P36" s="779">
        <v>4.9736688121708603E-2</v>
      </c>
      <c r="Q36" s="779">
        <v>1361</v>
      </c>
      <c r="R36" s="779">
        <v>563</v>
      </c>
      <c r="S36" s="779">
        <v>47</v>
      </c>
      <c r="T36" s="779">
        <v>1971</v>
      </c>
      <c r="U36" s="779">
        <v>1915</v>
      </c>
      <c r="V36" s="779">
        <v>844</v>
      </c>
      <c r="W36" s="779">
        <v>855</v>
      </c>
      <c r="X36" s="779">
        <v>3614</v>
      </c>
      <c r="Y36" s="779">
        <v>3276</v>
      </c>
      <c r="Z36" s="779">
        <v>1407</v>
      </c>
      <c r="AA36" s="779">
        <v>902</v>
      </c>
      <c r="AB36" s="779">
        <v>5585</v>
      </c>
    </row>
    <row r="37" spans="1:28">
      <c r="A37" s="787" t="s">
        <v>79</v>
      </c>
      <c r="B37" s="788" t="s">
        <v>80</v>
      </c>
      <c r="C37" s="789">
        <v>1109</v>
      </c>
      <c r="D37" s="790">
        <v>1023</v>
      </c>
      <c r="E37" s="790">
        <v>53</v>
      </c>
      <c r="F37" s="791">
        <v>33</v>
      </c>
      <c r="G37" s="790"/>
      <c r="H37" s="789">
        <v>1648</v>
      </c>
      <c r="I37" s="790">
        <v>1516</v>
      </c>
      <c r="J37" s="790">
        <v>59</v>
      </c>
      <c r="K37" s="791">
        <v>73</v>
      </c>
      <c r="L37" s="790">
        <f t="shared" si="0"/>
        <v>2757</v>
      </c>
      <c r="M37" s="792"/>
      <c r="N37" s="792"/>
      <c r="O37" s="779">
        <v>0.93396226415094341</v>
      </c>
      <c r="P37" s="779">
        <v>5.6603773584905662E-2</v>
      </c>
      <c r="Q37" s="779">
        <v>1016</v>
      </c>
      <c r="R37" s="779">
        <v>53</v>
      </c>
      <c r="S37" s="779">
        <v>7</v>
      </c>
      <c r="T37" s="779">
        <v>1076</v>
      </c>
      <c r="U37" s="779">
        <v>1397</v>
      </c>
      <c r="V37" s="779">
        <v>52</v>
      </c>
      <c r="W37" s="779">
        <v>127</v>
      </c>
      <c r="X37" s="779">
        <v>1576</v>
      </c>
      <c r="Y37" s="779">
        <v>2413</v>
      </c>
      <c r="Z37" s="779">
        <v>105</v>
      </c>
      <c r="AA37" s="779">
        <v>134</v>
      </c>
      <c r="AB37" s="779">
        <v>2652</v>
      </c>
    </row>
    <row r="38" spans="1:28">
      <c r="A38" s="787" t="s">
        <v>81</v>
      </c>
      <c r="B38" s="788" t="s">
        <v>82</v>
      </c>
      <c r="C38" s="789">
        <v>872</v>
      </c>
      <c r="D38" s="790">
        <v>547</v>
      </c>
      <c r="E38" s="790">
        <v>311</v>
      </c>
      <c r="F38" s="791">
        <v>14</v>
      </c>
      <c r="G38" s="790"/>
      <c r="H38" s="789">
        <v>1704</v>
      </c>
      <c r="I38" s="790">
        <v>1087</v>
      </c>
      <c r="J38" s="790">
        <v>534</v>
      </c>
      <c r="K38" s="791">
        <v>83</v>
      </c>
      <c r="L38" s="790">
        <f t="shared" si="0"/>
        <v>2576</v>
      </c>
      <c r="M38" s="792"/>
      <c r="N38" s="792"/>
      <c r="O38" s="779">
        <v>0.81382978723404253</v>
      </c>
      <c r="P38" s="779">
        <v>0.12234042553191489</v>
      </c>
      <c r="Q38" s="779">
        <v>535</v>
      </c>
      <c r="R38" s="779">
        <v>309</v>
      </c>
      <c r="S38" s="779">
        <v>15</v>
      </c>
      <c r="T38" s="779">
        <v>859</v>
      </c>
      <c r="U38" s="779">
        <v>1002</v>
      </c>
      <c r="V38" s="779">
        <v>521</v>
      </c>
      <c r="W38" s="779">
        <v>105</v>
      </c>
      <c r="X38" s="779">
        <v>1628</v>
      </c>
      <c r="Y38" s="779">
        <v>1537</v>
      </c>
      <c r="Z38" s="779">
        <v>830</v>
      </c>
      <c r="AA38" s="779">
        <v>120</v>
      </c>
      <c r="AB38" s="779">
        <v>2487</v>
      </c>
    </row>
    <row r="39" spans="1:28">
      <c r="A39" s="787" t="s">
        <v>85</v>
      </c>
      <c r="B39" s="788" t="s">
        <v>86</v>
      </c>
      <c r="C39" s="789">
        <v>3964</v>
      </c>
      <c r="D39" s="790">
        <v>3250</v>
      </c>
      <c r="E39" s="790">
        <v>546</v>
      </c>
      <c r="F39" s="791">
        <v>168</v>
      </c>
      <c r="G39" s="790"/>
      <c r="H39" s="789">
        <v>5967</v>
      </c>
      <c r="I39" s="790">
        <v>4414</v>
      </c>
      <c r="J39" s="790">
        <v>763</v>
      </c>
      <c r="K39" s="791">
        <v>790</v>
      </c>
      <c r="L39" s="790">
        <f t="shared" ref="L39:L70" si="1">+H39+C39</f>
        <v>9931</v>
      </c>
      <c r="M39" s="792"/>
      <c r="N39" s="792"/>
      <c r="O39" s="779">
        <v>0.87878787878787878</v>
      </c>
      <c r="P39" s="779">
        <v>6.8686868686868685E-2</v>
      </c>
      <c r="Q39" s="779">
        <v>3225</v>
      </c>
      <c r="R39" s="779">
        <v>544</v>
      </c>
      <c r="S39" s="779">
        <v>28</v>
      </c>
      <c r="T39" s="779">
        <v>3797</v>
      </c>
      <c r="U39" s="779">
        <v>4082</v>
      </c>
      <c r="V39" s="779">
        <v>737</v>
      </c>
      <c r="W39" s="779">
        <v>378</v>
      </c>
      <c r="X39" s="779">
        <v>5197</v>
      </c>
      <c r="Y39" s="779">
        <v>7307</v>
      </c>
      <c r="Z39" s="779">
        <v>1281</v>
      </c>
      <c r="AA39" s="779">
        <v>406</v>
      </c>
      <c r="AB39" s="779">
        <v>8994</v>
      </c>
    </row>
    <row r="40" spans="1:28">
      <c r="A40" s="787" t="s">
        <v>87</v>
      </c>
      <c r="B40" s="788" t="s">
        <v>88</v>
      </c>
      <c r="C40" s="789">
        <v>3144</v>
      </c>
      <c r="D40" s="790">
        <v>2794</v>
      </c>
      <c r="E40" s="790">
        <v>212</v>
      </c>
      <c r="F40" s="791">
        <v>138</v>
      </c>
      <c r="G40" s="790"/>
      <c r="H40" s="789">
        <v>6871</v>
      </c>
      <c r="I40" s="790">
        <v>5621</v>
      </c>
      <c r="J40" s="790">
        <v>603</v>
      </c>
      <c r="K40" s="791">
        <v>647</v>
      </c>
      <c r="L40" s="790">
        <f t="shared" si="1"/>
        <v>10015</v>
      </c>
      <c r="M40" s="792"/>
      <c r="N40" s="792"/>
      <c r="O40" s="779">
        <v>0.91957874581139298</v>
      </c>
      <c r="P40" s="779">
        <v>5.1699377692675921E-2</v>
      </c>
      <c r="Q40" s="779">
        <v>2712</v>
      </c>
      <c r="R40" s="779">
        <v>207</v>
      </c>
      <c r="S40" s="779">
        <v>89</v>
      </c>
      <c r="T40" s="779">
        <v>3008</v>
      </c>
      <c r="U40" s="779">
        <v>4246</v>
      </c>
      <c r="V40" s="779">
        <v>526</v>
      </c>
      <c r="W40" s="779">
        <v>1495</v>
      </c>
      <c r="X40" s="779">
        <v>6267</v>
      </c>
      <c r="Y40" s="779">
        <v>6958</v>
      </c>
      <c r="Z40" s="779">
        <v>733</v>
      </c>
      <c r="AA40" s="779">
        <v>1584</v>
      </c>
      <c r="AB40" s="779">
        <v>9275</v>
      </c>
    </row>
    <row r="41" spans="1:28">
      <c r="A41" s="787" t="s">
        <v>93</v>
      </c>
      <c r="B41" s="788" t="s">
        <v>94</v>
      </c>
      <c r="C41" s="789">
        <v>1577</v>
      </c>
      <c r="D41" s="790">
        <v>1530</v>
      </c>
      <c r="E41" s="790">
        <v>36</v>
      </c>
      <c r="F41" s="791">
        <v>11</v>
      </c>
      <c r="G41" s="790"/>
      <c r="H41" s="789">
        <v>1952</v>
      </c>
      <c r="I41" s="790">
        <v>1845</v>
      </c>
      <c r="J41" s="790">
        <v>52</v>
      </c>
      <c r="K41" s="791">
        <v>55</v>
      </c>
      <c r="L41" s="790">
        <f t="shared" si="1"/>
        <v>3529</v>
      </c>
      <c r="M41" s="792"/>
      <c r="N41" s="792"/>
      <c r="O41" s="779">
        <v>1</v>
      </c>
      <c r="P41" s="779">
        <v>0</v>
      </c>
      <c r="Q41" s="779">
        <v>1517</v>
      </c>
      <c r="R41" s="779">
        <v>36</v>
      </c>
      <c r="S41" s="779">
        <v>13</v>
      </c>
      <c r="T41" s="779">
        <v>1566</v>
      </c>
      <c r="U41" s="779">
        <v>1769</v>
      </c>
      <c r="V41" s="779">
        <v>52</v>
      </c>
      <c r="W41" s="779">
        <v>76</v>
      </c>
      <c r="X41" s="779">
        <v>1897</v>
      </c>
      <c r="Y41" s="779">
        <v>3286</v>
      </c>
      <c r="Z41" s="779">
        <v>88</v>
      </c>
      <c r="AA41" s="779">
        <v>89</v>
      </c>
      <c r="AB41" s="779">
        <v>3463</v>
      </c>
    </row>
    <row r="42" spans="1:28">
      <c r="A42" s="787" t="s">
        <v>95</v>
      </c>
      <c r="B42" s="788" t="s">
        <v>96</v>
      </c>
      <c r="C42" s="789">
        <v>1882</v>
      </c>
      <c r="D42" s="790">
        <v>1473</v>
      </c>
      <c r="E42" s="790">
        <v>343</v>
      </c>
      <c r="F42" s="791">
        <v>66</v>
      </c>
      <c r="G42" s="790"/>
      <c r="H42" s="789">
        <v>3137</v>
      </c>
      <c r="I42" s="790">
        <v>2365</v>
      </c>
      <c r="J42" s="790">
        <v>493</v>
      </c>
      <c r="K42" s="791">
        <v>279</v>
      </c>
      <c r="L42" s="790">
        <f t="shared" si="1"/>
        <v>5019</v>
      </c>
      <c r="M42" s="792"/>
      <c r="N42" s="792"/>
      <c r="O42" s="779">
        <v>0.85428571428571431</v>
      </c>
      <c r="P42" s="779">
        <v>0.06</v>
      </c>
      <c r="Q42" s="779">
        <v>1455</v>
      </c>
      <c r="R42" s="779">
        <v>342</v>
      </c>
      <c r="S42" s="779">
        <v>21</v>
      </c>
      <c r="T42" s="779">
        <v>1818</v>
      </c>
      <c r="U42" s="779">
        <v>2257</v>
      </c>
      <c r="V42" s="779">
        <v>485</v>
      </c>
      <c r="W42" s="779">
        <v>126</v>
      </c>
      <c r="X42" s="779">
        <v>2868</v>
      </c>
      <c r="Y42" s="779">
        <v>3712</v>
      </c>
      <c r="Z42" s="779">
        <v>827</v>
      </c>
      <c r="AA42" s="779">
        <v>147</v>
      </c>
      <c r="AB42" s="779">
        <v>4686</v>
      </c>
    </row>
    <row r="43" spans="1:28">
      <c r="A43" s="787" t="s">
        <v>97</v>
      </c>
      <c r="B43" s="788" t="s">
        <v>98</v>
      </c>
      <c r="C43" s="789">
        <v>745</v>
      </c>
      <c r="D43" s="790">
        <v>342</v>
      </c>
      <c r="E43" s="790">
        <v>372</v>
      </c>
      <c r="F43" s="791">
        <v>31</v>
      </c>
      <c r="G43" s="790"/>
      <c r="H43" s="789">
        <v>1101</v>
      </c>
      <c r="I43" s="790">
        <v>561</v>
      </c>
      <c r="J43" s="790">
        <v>466</v>
      </c>
      <c r="K43" s="791">
        <v>74</v>
      </c>
      <c r="L43" s="790">
        <f t="shared" si="1"/>
        <v>1846</v>
      </c>
      <c r="M43" s="792"/>
      <c r="N43" s="792"/>
      <c r="O43" s="779">
        <v>0.79245283018867929</v>
      </c>
      <c r="P43" s="779">
        <v>0.14150943396226415</v>
      </c>
      <c r="Q43" s="779">
        <v>333</v>
      </c>
      <c r="R43" s="779">
        <v>370</v>
      </c>
      <c r="S43" s="779">
        <v>11</v>
      </c>
      <c r="T43" s="779">
        <v>714</v>
      </c>
      <c r="U43" s="779">
        <v>487</v>
      </c>
      <c r="V43" s="779">
        <v>453</v>
      </c>
      <c r="W43" s="779">
        <v>93</v>
      </c>
      <c r="X43" s="779">
        <v>1033</v>
      </c>
      <c r="Y43" s="779">
        <v>820</v>
      </c>
      <c r="Z43" s="779">
        <v>823</v>
      </c>
      <c r="AA43" s="779">
        <v>104</v>
      </c>
      <c r="AB43" s="779">
        <v>1747</v>
      </c>
    </row>
    <row r="44" spans="1:28">
      <c r="A44" s="787" t="s">
        <v>99</v>
      </c>
      <c r="B44" s="788" t="s">
        <v>100</v>
      </c>
      <c r="C44" s="789">
        <v>1815</v>
      </c>
      <c r="D44" s="790">
        <v>1749</v>
      </c>
      <c r="E44" s="790">
        <v>52</v>
      </c>
      <c r="F44" s="791">
        <v>14</v>
      </c>
      <c r="G44" s="790"/>
      <c r="H44" s="789">
        <v>2040</v>
      </c>
      <c r="I44" s="790">
        <v>1871</v>
      </c>
      <c r="J44" s="790">
        <v>84</v>
      </c>
      <c r="K44" s="791">
        <v>85</v>
      </c>
      <c r="L44" s="790">
        <f t="shared" si="1"/>
        <v>3855</v>
      </c>
      <c r="M44" s="792"/>
      <c r="N44" s="792"/>
      <c r="O44" s="779">
        <v>0.93103448275862066</v>
      </c>
      <c r="P44" s="779">
        <v>2.2988505747126436E-2</v>
      </c>
      <c r="Q44" s="779">
        <v>1744</v>
      </c>
      <c r="R44" s="779">
        <v>52</v>
      </c>
      <c r="S44" s="779">
        <v>5</v>
      </c>
      <c r="T44" s="779">
        <v>1801</v>
      </c>
      <c r="U44" s="779">
        <v>1754</v>
      </c>
      <c r="V44" s="779">
        <v>81</v>
      </c>
      <c r="W44" s="779">
        <v>126</v>
      </c>
      <c r="X44" s="779">
        <v>1961</v>
      </c>
      <c r="Y44" s="779">
        <v>3498</v>
      </c>
      <c r="Z44" s="779">
        <v>133</v>
      </c>
      <c r="AA44" s="779">
        <v>131</v>
      </c>
      <c r="AB44" s="779">
        <v>3762</v>
      </c>
    </row>
    <row r="45" spans="1:28">
      <c r="A45" s="787" t="s">
        <v>101</v>
      </c>
      <c r="B45" s="788" t="s">
        <v>102</v>
      </c>
      <c r="C45" s="789">
        <v>981</v>
      </c>
      <c r="D45" s="790">
        <v>815</v>
      </c>
      <c r="E45" s="790">
        <v>127</v>
      </c>
      <c r="F45" s="791">
        <v>39</v>
      </c>
      <c r="G45" s="790"/>
      <c r="H45" s="789">
        <v>1833</v>
      </c>
      <c r="I45" s="790">
        <v>1318</v>
      </c>
      <c r="J45" s="790">
        <v>274</v>
      </c>
      <c r="K45" s="791">
        <v>241</v>
      </c>
      <c r="L45" s="790">
        <f t="shared" si="1"/>
        <v>2814</v>
      </c>
      <c r="M45" s="792"/>
      <c r="N45" s="792"/>
      <c r="O45" s="779">
        <v>0.94594594594594594</v>
      </c>
      <c r="P45" s="779">
        <v>1.3513513513513514E-2</v>
      </c>
      <c r="Q45" s="779">
        <v>806</v>
      </c>
      <c r="R45" s="779">
        <v>127</v>
      </c>
      <c r="S45" s="779">
        <v>10</v>
      </c>
      <c r="T45" s="779">
        <v>943</v>
      </c>
      <c r="U45" s="779">
        <v>1171</v>
      </c>
      <c r="V45" s="779">
        <v>272</v>
      </c>
      <c r="W45" s="779">
        <v>155</v>
      </c>
      <c r="X45" s="779">
        <v>1598</v>
      </c>
      <c r="Y45" s="779">
        <v>1977</v>
      </c>
      <c r="Z45" s="779">
        <v>399</v>
      </c>
      <c r="AA45" s="779">
        <v>165</v>
      </c>
      <c r="AB45" s="779">
        <v>2541</v>
      </c>
    </row>
    <row r="46" spans="1:28">
      <c r="A46" s="787" t="s">
        <v>103</v>
      </c>
      <c r="B46" s="788" t="s">
        <v>329</v>
      </c>
      <c r="C46" s="789">
        <v>2031</v>
      </c>
      <c r="D46" s="790">
        <v>387</v>
      </c>
      <c r="E46" s="790">
        <v>1616</v>
      </c>
      <c r="F46" s="791">
        <v>28</v>
      </c>
      <c r="G46" s="790"/>
      <c r="H46" s="789">
        <v>2882</v>
      </c>
      <c r="I46" s="790">
        <v>437</v>
      </c>
      <c r="J46" s="790">
        <v>2373</v>
      </c>
      <c r="K46" s="791">
        <v>72</v>
      </c>
      <c r="L46" s="790">
        <f t="shared" si="1"/>
        <v>4913</v>
      </c>
      <c r="M46" s="792"/>
      <c r="N46" s="792"/>
      <c r="O46" s="779">
        <v>0.71134020618556704</v>
      </c>
      <c r="P46" s="779">
        <v>0.23195876288659795</v>
      </c>
      <c r="Q46" s="779">
        <v>382</v>
      </c>
      <c r="R46" s="779">
        <v>1614</v>
      </c>
      <c r="S46" s="779">
        <v>7</v>
      </c>
      <c r="T46" s="779">
        <v>2003</v>
      </c>
      <c r="U46" s="779">
        <v>350</v>
      </c>
      <c r="V46" s="779">
        <v>2344</v>
      </c>
      <c r="W46" s="779">
        <v>123</v>
      </c>
      <c r="X46" s="779">
        <v>2817</v>
      </c>
      <c r="Y46" s="779">
        <v>732</v>
      </c>
      <c r="Z46" s="779">
        <v>3958</v>
      </c>
      <c r="AA46" s="779">
        <v>130</v>
      </c>
      <c r="AB46" s="779">
        <v>4820</v>
      </c>
    </row>
    <row r="47" spans="1:28">
      <c r="A47" s="787" t="s">
        <v>105</v>
      </c>
      <c r="B47" s="788" t="s">
        <v>106</v>
      </c>
      <c r="C47" s="789">
        <v>4207</v>
      </c>
      <c r="D47" s="790">
        <v>1749</v>
      </c>
      <c r="E47" s="790">
        <v>2359</v>
      </c>
      <c r="F47" s="791">
        <v>99</v>
      </c>
      <c r="G47" s="790"/>
      <c r="H47" s="789">
        <v>5089</v>
      </c>
      <c r="I47" s="790">
        <v>1892</v>
      </c>
      <c r="J47" s="790">
        <v>2827</v>
      </c>
      <c r="K47" s="791">
        <v>370</v>
      </c>
      <c r="L47" s="790">
        <f t="shared" si="1"/>
        <v>9296</v>
      </c>
      <c r="M47" s="792"/>
      <c r="N47" s="792"/>
      <c r="O47" s="779">
        <v>0.79435483870967738</v>
      </c>
      <c r="P47" s="779">
        <v>0.14919354838709678</v>
      </c>
      <c r="Q47" s="779">
        <v>1711</v>
      </c>
      <c r="R47" s="779">
        <v>2352</v>
      </c>
      <c r="S47" s="779">
        <v>48</v>
      </c>
      <c r="T47" s="779">
        <v>4111</v>
      </c>
      <c r="U47" s="779">
        <v>1758</v>
      </c>
      <c r="V47" s="779">
        <v>2802</v>
      </c>
      <c r="W47" s="779">
        <v>169</v>
      </c>
      <c r="X47" s="779">
        <v>4729</v>
      </c>
      <c r="Y47" s="779">
        <v>3469</v>
      </c>
      <c r="Z47" s="779">
        <v>5154</v>
      </c>
      <c r="AA47" s="779">
        <v>217</v>
      </c>
      <c r="AB47" s="779">
        <v>8840</v>
      </c>
    </row>
    <row r="48" spans="1:28">
      <c r="A48" s="787" t="s">
        <v>109</v>
      </c>
      <c r="B48" s="788" t="s">
        <v>110</v>
      </c>
      <c r="C48" s="789">
        <v>2925</v>
      </c>
      <c r="D48" s="790">
        <v>2039</v>
      </c>
      <c r="E48" s="790">
        <v>765</v>
      </c>
      <c r="F48" s="791">
        <v>121</v>
      </c>
      <c r="G48" s="790"/>
      <c r="H48" s="789">
        <v>5138</v>
      </c>
      <c r="I48" s="790">
        <v>3216</v>
      </c>
      <c r="J48" s="790">
        <v>1356</v>
      </c>
      <c r="K48" s="791">
        <v>566</v>
      </c>
      <c r="L48" s="790">
        <f t="shared" si="1"/>
        <v>8063</v>
      </c>
      <c r="M48" s="792"/>
      <c r="N48" s="792"/>
      <c r="O48" s="779">
        <v>0.88936170212765953</v>
      </c>
      <c r="P48" s="779">
        <v>5.106382978723404E-2</v>
      </c>
      <c r="Q48" s="779">
        <v>1974</v>
      </c>
      <c r="R48" s="779">
        <v>761</v>
      </c>
      <c r="S48" s="779">
        <v>73</v>
      </c>
      <c r="T48" s="779">
        <v>2808</v>
      </c>
      <c r="U48" s="779">
        <v>2850</v>
      </c>
      <c r="V48" s="779">
        <v>1335</v>
      </c>
      <c r="W48" s="779">
        <v>412</v>
      </c>
      <c r="X48" s="779">
        <v>4597</v>
      </c>
      <c r="Y48" s="779">
        <v>4824</v>
      </c>
      <c r="Z48" s="779">
        <v>2096</v>
      </c>
      <c r="AA48" s="779">
        <v>485</v>
      </c>
      <c r="AB48" s="779">
        <v>7405</v>
      </c>
    </row>
    <row r="49" spans="1:28">
      <c r="A49" s="787" t="s">
        <v>111</v>
      </c>
      <c r="B49" s="788" t="s">
        <v>112</v>
      </c>
      <c r="C49" s="789">
        <v>13200</v>
      </c>
      <c r="D49" s="790">
        <v>4928</v>
      </c>
      <c r="E49" s="790">
        <v>6695</v>
      </c>
      <c r="F49" s="791">
        <v>1577</v>
      </c>
      <c r="G49" s="790"/>
      <c r="H49" s="789">
        <v>28874</v>
      </c>
      <c r="I49" s="790">
        <v>7883</v>
      </c>
      <c r="J49" s="790">
        <v>15496</v>
      </c>
      <c r="K49" s="791">
        <v>5495</v>
      </c>
      <c r="L49" s="790">
        <f t="shared" si="1"/>
        <v>42074</v>
      </c>
      <c r="M49" s="792"/>
      <c r="N49" s="792"/>
      <c r="O49" s="779">
        <v>0.82864333104552734</v>
      </c>
      <c r="P49" s="779">
        <v>0.11439029970258523</v>
      </c>
      <c r="Q49" s="779">
        <v>4693</v>
      </c>
      <c r="R49" s="779">
        <v>6663</v>
      </c>
      <c r="S49" s="779">
        <v>283</v>
      </c>
      <c r="T49" s="779">
        <v>11639</v>
      </c>
      <c r="U49" s="779">
        <v>5626</v>
      </c>
      <c r="V49" s="779">
        <v>15184</v>
      </c>
      <c r="W49" s="779">
        <v>2724</v>
      </c>
      <c r="X49" s="779">
        <v>23534</v>
      </c>
      <c r="Y49" s="779">
        <v>10319</v>
      </c>
      <c r="Z49" s="779">
        <v>21847</v>
      </c>
      <c r="AA49" s="779">
        <v>3007</v>
      </c>
      <c r="AB49" s="779">
        <v>35173</v>
      </c>
    </row>
    <row r="50" spans="1:28">
      <c r="A50" s="787" t="s">
        <v>113</v>
      </c>
      <c r="B50" s="788" t="s">
        <v>367</v>
      </c>
      <c r="C50" s="789">
        <v>8141</v>
      </c>
      <c r="D50" s="790">
        <v>4928</v>
      </c>
      <c r="E50" s="790">
        <v>3023</v>
      </c>
      <c r="F50" s="791">
        <v>190</v>
      </c>
      <c r="G50" s="790"/>
      <c r="H50" s="789">
        <v>10712</v>
      </c>
      <c r="I50" s="790">
        <v>6021</v>
      </c>
      <c r="J50" s="790">
        <v>3842</v>
      </c>
      <c r="K50" s="791">
        <v>849</v>
      </c>
      <c r="L50" s="790">
        <f t="shared" si="1"/>
        <v>18853</v>
      </c>
      <c r="M50" s="792"/>
      <c r="N50" s="792"/>
      <c r="O50" s="779">
        <v>0.91216216216216217</v>
      </c>
      <c r="P50" s="779">
        <v>5.7995495495495493E-2</v>
      </c>
      <c r="Q50" s="779">
        <v>4863</v>
      </c>
      <c r="R50" s="779">
        <v>3019</v>
      </c>
      <c r="S50" s="779">
        <v>71</v>
      </c>
      <c r="T50" s="779">
        <v>7953</v>
      </c>
      <c r="U50" s="779">
        <v>4888</v>
      </c>
      <c r="V50" s="779">
        <v>3770</v>
      </c>
      <c r="W50" s="779">
        <v>1242</v>
      </c>
      <c r="X50" s="779">
        <v>9900</v>
      </c>
      <c r="Y50" s="779">
        <v>9751</v>
      </c>
      <c r="Z50" s="779">
        <v>6789</v>
      </c>
      <c r="AA50" s="779">
        <v>1313</v>
      </c>
      <c r="AB50" s="779">
        <v>17853</v>
      </c>
    </row>
    <row r="51" spans="1:28">
      <c r="A51" s="787" t="s">
        <v>115</v>
      </c>
      <c r="B51" s="788" t="s">
        <v>116</v>
      </c>
      <c r="C51" s="789">
        <v>128</v>
      </c>
      <c r="D51" s="790">
        <v>121</v>
      </c>
      <c r="E51" s="790">
        <v>0</v>
      </c>
      <c r="F51" s="791">
        <v>7</v>
      </c>
      <c r="G51" s="790"/>
      <c r="H51" s="789">
        <v>159</v>
      </c>
      <c r="I51" s="790">
        <v>123</v>
      </c>
      <c r="J51" s="790">
        <v>1</v>
      </c>
      <c r="K51" s="791">
        <v>35</v>
      </c>
      <c r="L51" s="790">
        <f t="shared" si="1"/>
        <v>287</v>
      </c>
      <c r="M51" s="792"/>
      <c r="N51" s="792"/>
      <c r="O51" s="779">
        <v>0.66666666666666663</v>
      </c>
      <c r="P51" s="779">
        <v>0.33333333333333331</v>
      </c>
      <c r="Q51" s="779">
        <v>121</v>
      </c>
      <c r="R51" s="779">
        <v>0</v>
      </c>
      <c r="S51" s="779">
        <v>0</v>
      </c>
      <c r="T51" s="779">
        <v>121</v>
      </c>
      <c r="U51" s="779">
        <v>122</v>
      </c>
      <c r="V51" s="779">
        <v>0</v>
      </c>
      <c r="W51" s="779">
        <v>2</v>
      </c>
      <c r="X51" s="779">
        <v>124</v>
      </c>
      <c r="Y51" s="779">
        <v>243</v>
      </c>
      <c r="Z51" s="779">
        <v>0</v>
      </c>
      <c r="AA51" s="779">
        <v>2</v>
      </c>
      <c r="AB51" s="779">
        <v>245</v>
      </c>
    </row>
    <row r="52" spans="1:28">
      <c r="A52" s="787" t="s">
        <v>119</v>
      </c>
      <c r="B52" s="788" t="s">
        <v>283</v>
      </c>
      <c r="C52" s="789">
        <v>2161</v>
      </c>
      <c r="D52" s="790">
        <v>965</v>
      </c>
      <c r="E52" s="790">
        <v>1135</v>
      </c>
      <c r="F52" s="791">
        <v>61</v>
      </c>
      <c r="G52" s="790"/>
      <c r="H52" s="789">
        <v>2940</v>
      </c>
      <c r="I52" s="790">
        <v>1334</v>
      </c>
      <c r="J52" s="790">
        <v>1361</v>
      </c>
      <c r="K52" s="791">
        <v>245</v>
      </c>
      <c r="L52" s="790">
        <f t="shared" si="1"/>
        <v>5101</v>
      </c>
      <c r="M52" s="792"/>
      <c r="N52" s="792"/>
      <c r="O52" s="779">
        <v>0.84074074074074079</v>
      </c>
      <c r="P52" s="779">
        <v>7.0370370370370375E-2</v>
      </c>
      <c r="Q52" s="779">
        <v>947</v>
      </c>
      <c r="R52" s="779">
        <v>1133</v>
      </c>
      <c r="S52" s="779">
        <v>22</v>
      </c>
      <c r="T52" s="779">
        <v>2102</v>
      </c>
      <c r="U52" s="779">
        <v>1211</v>
      </c>
      <c r="V52" s="779">
        <v>1351</v>
      </c>
      <c r="W52" s="779">
        <v>146</v>
      </c>
      <c r="X52" s="779">
        <v>2708</v>
      </c>
      <c r="Y52" s="779">
        <v>2158</v>
      </c>
      <c r="Z52" s="779">
        <v>2484</v>
      </c>
      <c r="AA52" s="779">
        <v>168</v>
      </c>
      <c r="AB52" s="779">
        <v>4810</v>
      </c>
    </row>
    <row r="53" spans="1:28">
      <c r="A53" s="787" t="s">
        <v>121</v>
      </c>
      <c r="B53" s="788" t="s">
        <v>122</v>
      </c>
      <c r="C53" s="789">
        <v>1844</v>
      </c>
      <c r="D53" s="790">
        <v>1014</v>
      </c>
      <c r="E53" s="790">
        <v>750</v>
      </c>
      <c r="F53" s="791">
        <v>80</v>
      </c>
      <c r="G53" s="790"/>
      <c r="H53" s="789">
        <v>4286</v>
      </c>
      <c r="I53" s="790">
        <v>2112</v>
      </c>
      <c r="J53" s="790">
        <v>1711</v>
      </c>
      <c r="K53" s="791">
        <v>463</v>
      </c>
      <c r="L53" s="790">
        <f t="shared" si="1"/>
        <v>6130</v>
      </c>
      <c r="M53" s="792"/>
      <c r="N53" s="792"/>
      <c r="O53" s="779">
        <v>0.86521181001283698</v>
      </c>
      <c r="P53" s="779">
        <v>8.3440308087291401E-2</v>
      </c>
      <c r="Q53" s="779">
        <v>949</v>
      </c>
      <c r="R53" s="779">
        <v>744</v>
      </c>
      <c r="S53" s="779">
        <v>75</v>
      </c>
      <c r="T53" s="779">
        <v>1768</v>
      </c>
      <c r="U53" s="779">
        <v>1634</v>
      </c>
      <c r="V53" s="779">
        <v>1665</v>
      </c>
      <c r="W53" s="779">
        <v>553</v>
      </c>
      <c r="X53" s="779">
        <v>3852</v>
      </c>
      <c r="Y53" s="779">
        <v>2583</v>
      </c>
      <c r="Z53" s="779">
        <v>2409</v>
      </c>
      <c r="AA53" s="779">
        <v>628</v>
      </c>
      <c r="AB53" s="779">
        <v>5620</v>
      </c>
    </row>
    <row r="54" spans="1:28">
      <c r="A54" s="787" t="s">
        <v>123</v>
      </c>
      <c r="B54" s="788" t="s">
        <v>351</v>
      </c>
      <c r="C54" s="789">
        <v>625</v>
      </c>
      <c r="D54" s="790">
        <v>263</v>
      </c>
      <c r="E54" s="790">
        <v>336</v>
      </c>
      <c r="F54" s="791">
        <v>26</v>
      </c>
      <c r="G54" s="790"/>
      <c r="H54" s="789">
        <v>926</v>
      </c>
      <c r="I54" s="790">
        <v>437</v>
      </c>
      <c r="J54" s="790">
        <v>372</v>
      </c>
      <c r="K54" s="791">
        <v>117</v>
      </c>
      <c r="L54" s="790">
        <f t="shared" si="1"/>
        <v>1551</v>
      </c>
      <c r="M54" s="792"/>
      <c r="N54" s="792"/>
      <c r="O54" s="779">
        <v>0.54166666666666663</v>
      </c>
      <c r="P54" s="779">
        <v>0.16666666666666666</v>
      </c>
      <c r="Q54" s="779">
        <v>260</v>
      </c>
      <c r="R54" s="779">
        <v>335</v>
      </c>
      <c r="S54" s="779">
        <v>5</v>
      </c>
      <c r="T54" s="779">
        <v>600</v>
      </c>
      <c r="U54" s="779">
        <v>412</v>
      </c>
      <c r="V54" s="779">
        <v>364</v>
      </c>
      <c r="W54" s="779">
        <v>46</v>
      </c>
      <c r="X54" s="779">
        <v>822</v>
      </c>
      <c r="Y54" s="779">
        <v>672</v>
      </c>
      <c r="Z54" s="779">
        <v>699</v>
      </c>
      <c r="AA54" s="779">
        <v>51</v>
      </c>
      <c r="AB54" s="779">
        <v>1422</v>
      </c>
    </row>
    <row r="55" spans="1:28">
      <c r="A55" s="787" t="s">
        <v>125</v>
      </c>
      <c r="B55" s="788" t="s">
        <v>126</v>
      </c>
      <c r="C55" s="789">
        <v>1109</v>
      </c>
      <c r="D55" s="790">
        <v>678</v>
      </c>
      <c r="E55" s="790">
        <v>381</v>
      </c>
      <c r="F55" s="791">
        <v>50</v>
      </c>
      <c r="G55" s="790"/>
      <c r="H55" s="789">
        <v>2154</v>
      </c>
      <c r="I55" s="790">
        <v>1177</v>
      </c>
      <c r="J55" s="790">
        <v>740</v>
      </c>
      <c r="K55" s="791">
        <v>237</v>
      </c>
      <c r="L55" s="790">
        <f t="shared" si="1"/>
        <v>3263</v>
      </c>
      <c r="M55" s="792"/>
      <c r="N55" s="792"/>
      <c r="O55" s="779">
        <v>0.86024844720496896</v>
      </c>
      <c r="P55" s="779">
        <v>5.9006211180124224E-2</v>
      </c>
      <c r="Q55" s="779">
        <v>658</v>
      </c>
      <c r="R55" s="779">
        <v>380</v>
      </c>
      <c r="S55" s="779">
        <v>23</v>
      </c>
      <c r="T55" s="779">
        <v>1061</v>
      </c>
      <c r="U55" s="779">
        <v>1082</v>
      </c>
      <c r="V55" s="779">
        <v>733</v>
      </c>
      <c r="W55" s="779">
        <v>111</v>
      </c>
      <c r="X55" s="779">
        <v>1926</v>
      </c>
      <c r="Y55" s="779">
        <v>1740</v>
      </c>
      <c r="Z55" s="779">
        <v>1113</v>
      </c>
      <c r="AA55" s="779">
        <v>134</v>
      </c>
      <c r="AB55" s="779">
        <v>2987</v>
      </c>
    </row>
    <row r="56" spans="1:28">
      <c r="A56" s="787" t="s">
        <v>127</v>
      </c>
      <c r="B56" s="788" t="s">
        <v>128</v>
      </c>
      <c r="C56" s="789">
        <v>837</v>
      </c>
      <c r="D56" s="790">
        <v>431</v>
      </c>
      <c r="E56" s="790">
        <v>371</v>
      </c>
      <c r="F56" s="791">
        <v>35</v>
      </c>
      <c r="G56" s="790"/>
      <c r="H56" s="789">
        <v>1467</v>
      </c>
      <c r="I56" s="790">
        <v>844</v>
      </c>
      <c r="J56" s="790">
        <v>519</v>
      </c>
      <c r="K56" s="791">
        <v>104</v>
      </c>
      <c r="L56" s="790">
        <f t="shared" si="1"/>
        <v>2304</v>
      </c>
      <c r="M56" s="792"/>
      <c r="N56" s="792"/>
      <c r="O56" s="779">
        <v>0.85416666666666663</v>
      </c>
      <c r="P56" s="779">
        <v>6.25E-2</v>
      </c>
      <c r="Q56" s="779">
        <v>422</v>
      </c>
      <c r="R56" s="779">
        <v>370</v>
      </c>
      <c r="S56" s="779">
        <v>10</v>
      </c>
      <c r="T56" s="779">
        <v>802</v>
      </c>
      <c r="U56" s="779">
        <v>804</v>
      </c>
      <c r="V56" s="779">
        <v>516</v>
      </c>
      <c r="W56" s="779">
        <v>47</v>
      </c>
      <c r="X56" s="779">
        <v>1367</v>
      </c>
      <c r="Y56" s="779">
        <v>1226</v>
      </c>
      <c r="Z56" s="779">
        <v>886</v>
      </c>
      <c r="AA56" s="779">
        <v>57</v>
      </c>
      <c r="AB56" s="779">
        <v>2169</v>
      </c>
    </row>
    <row r="57" spans="1:28">
      <c r="A57" s="787" t="s">
        <v>129</v>
      </c>
      <c r="B57" s="788" t="s">
        <v>130</v>
      </c>
      <c r="C57" s="789">
        <v>868</v>
      </c>
      <c r="D57" s="790">
        <v>322</v>
      </c>
      <c r="E57" s="790">
        <v>536</v>
      </c>
      <c r="F57" s="791">
        <v>10</v>
      </c>
      <c r="G57" s="790"/>
      <c r="H57" s="789">
        <v>1248</v>
      </c>
      <c r="I57" s="790">
        <v>334</v>
      </c>
      <c r="J57" s="790">
        <v>855</v>
      </c>
      <c r="K57" s="791">
        <v>59</v>
      </c>
      <c r="L57" s="790">
        <f t="shared" si="1"/>
        <v>2116</v>
      </c>
      <c r="M57" s="792"/>
      <c r="N57" s="792"/>
      <c r="O57" s="779">
        <v>0.59523809523809523</v>
      </c>
      <c r="P57" s="779">
        <v>0.35714285714285715</v>
      </c>
      <c r="Q57" s="779">
        <v>321</v>
      </c>
      <c r="R57" s="779">
        <v>536</v>
      </c>
      <c r="S57" s="779">
        <v>1</v>
      </c>
      <c r="T57" s="779">
        <v>858</v>
      </c>
      <c r="U57" s="779">
        <v>330</v>
      </c>
      <c r="V57" s="779">
        <v>852</v>
      </c>
      <c r="W57" s="779">
        <v>7</v>
      </c>
      <c r="X57" s="779">
        <v>1189</v>
      </c>
      <c r="Y57" s="779">
        <v>651</v>
      </c>
      <c r="Z57" s="779">
        <v>1388</v>
      </c>
      <c r="AA57" s="779">
        <v>8</v>
      </c>
      <c r="AB57" s="779">
        <v>2047</v>
      </c>
    </row>
    <row r="58" spans="1:28">
      <c r="A58" s="787" t="s">
        <v>131</v>
      </c>
      <c r="B58" s="788" t="s">
        <v>132</v>
      </c>
      <c r="C58" s="789">
        <v>4181</v>
      </c>
      <c r="D58" s="790">
        <v>4128</v>
      </c>
      <c r="E58" s="790">
        <v>18</v>
      </c>
      <c r="F58" s="791">
        <v>35</v>
      </c>
      <c r="G58" s="790"/>
      <c r="H58" s="789">
        <v>3726</v>
      </c>
      <c r="I58" s="790">
        <v>3601</v>
      </c>
      <c r="J58" s="790">
        <v>34</v>
      </c>
      <c r="K58" s="791">
        <v>91</v>
      </c>
      <c r="L58" s="790">
        <f t="shared" si="1"/>
        <v>7907</v>
      </c>
      <c r="M58" s="792"/>
      <c r="N58" s="792"/>
      <c r="O58" s="779">
        <v>0.92982456140350878</v>
      </c>
      <c r="P58" s="779">
        <v>0</v>
      </c>
      <c r="Q58" s="779">
        <v>4115</v>
      </c>
      <c r="R58" s="779">
        <v>18</v>
      </c>
      <c r="S58" s="779">
        <v>14</v>
      </c>
      <c r="T58" s="779">
        <v>4147</v>
      </c>
      <c r="U58" s="779">
        <v>3520</v>
      </c>
      <c r="V58" s="779">
        <v>34</v>
      </c>
      <c r="W58" s="779">
        <v>87</v>
      </c>
      <c r="X58" s="779">
        <v>3641</v>
      </c>
      <c r="Y58" s="779">
        <v>7635</v>
      </c>
      <c r="Z58" s="779">
        <v>52</v>
      </c>
      <c r="AA58" s="779">
        <v>101</v>
      </c>
      <c r="AB58" s="779">
        <v>7788</v>
      </c>
    </row>
    <row r="59" spans="1:28">
      <c r="A59" s="787" t="s">
        <v>133</v>
      </c>
      <c r="B59" s="788" t="s">
        <v>134</v>
      </c>
      <c r="C59" s="789">
        <v>4298</v>
      </c>
      <c r="D59" s="790">
        <v>2643</v>
      </c>
      <c r="E59" s="790">
        <v>802</v>
      </c>
      <c r="F59" s="791">
        <v>853</v>
      </c>
      <c r="G59" s="790"/>
      <c r="H59" s="789">
        <v>13023</v>
      </c>
      <c r="I59" s="790">
        <v>8280</v>
      </c>
      <c r="J59" s="790">
        <v>2171</v>
      </c>
      <c r="K59" s="791">
        <v>2572</v>
      </c>
      <c r="L59" s="790">
        <f t="shared" si="1"/>
        <v>17321</v>
      </c>
      <c r="M59" s="792"/>
      <c r="N59" s="792"/>
      <c r="O59" s="779">
        <v>0.90844320694455816</v>
      </c>
      <c r="P59" s="779">
        <v>4.5368929653591024E-2</v>
      </c>
      <c r="Q59" s="779">
        <v>2224</v>
      </c>
      <c r="R59" s="779">
        <v>781</v>
      </c>
      <c r="S59" s="779">
        <v>461</v>
      </c>
      <c r="T59" s="779">
        <v>3466</v>
      </c>
      <c r="U59" s="779">
        <v>2868</v>
      </c>
      <c r="V59" s="779">
        <v>1901</v>
      </c>
      <c r="W59" s="779">
        <v>5957</v>
      </c>
      <c r="X59" s="779">
        <v>10726</v>
      </c>
      <c r="Y59" s="779">
        <v>5092</v>
      </c>
      <c r="Z59" s="779">
        <v>2682</v>
      </c>
      <c r="AA59" s="779">
        <v>6418</v>
      </c>
      <c r="AB59" s="779">
        <v>14192</v>
      </c>
    </row>
    <row r="60" spans="1:28">
      <c r="A60" s="787" t="s">
        <v>135</v>
      </c>
      <c r="B60" s="788" t="s">
        <v>136</v>
      </c>
      <c r="C60" s="789">
        <v>2105</v>
      </c>
      <c r="D60" s="790">
        <v>1276</v>
      </c>
      <c r="E60" s="790">
        <v>739</v>
      </c>
      <c r="F60" s="791">
        <v>90</v>
      </c>
      <c r="G60" s="790"/>
      <c r="H60" s="789">
        <v>3429</v>
      </c>
      <c r="I60" s="790">
        <v>2170</v>
      </c>
      <c r="J60" s="790">
        <v>912</v>
      </c>
      <c r="K60" s="791">
        <v>347</v>
      </c>
      <c r="L60" s="790">
        <f t="shared" si="1"/>
        <v>5534</v>
      </c>
      <c r="M60" s="792"/>
      <c r="N60" s="792"/>
      <c r="O60" s="779">
        <v>0.9438202247191011</v>
      </c>
      <c r="P60" s="779">
        <v>5.6179775280898875E-2</v>
      </c>
      <c r="Q60" s="779">
        <v>1259</v>
      </c>
      <c r="R60" s="779">
        <v>738</v>
      </c>
      <c r="S60" s="779">
        <v>18</v>
      </c>
      <c r="T60" s="779">
        <v>2015</v>
      </c>
      <c r="U60" s="779">
        <v>2023</v>
      </c>
      <c r="V60" s="779">
        <v>903</v>
      </c>
      <c r="W60" s="779">
        <v>156</v>
      </c>
      <c r="X60" s="779">
        <v>3082</v>
      </c>
      <c r="Y60" s="779">
        <v>3282</v>
      </c>
      <c r="Z60" s="779">
        <v>1641</v>
      </c>
      <c r="AA60" s="779">
        <v>174</v>
      </c>
      <c r="AB60" s="779">
        <v>5097</v>
      </c>
    </row>
    <row r="61" spans="1:28">
      <c r="A61" s="787" t="s">
        <v>137</v>
      </c>
      <c r="B61" s="788" t="s">
        <v>138</v>
      </c>
      <c r="C61" s="789">
        <v>1404</v>
      </c>
      <c r="D61" s="790">
        <v>617</v>
      </c>
      <c r="E61" s="790">
        <v>776</v>
      </c>
      <c r="F61" s="791">
        <v>11</v>
      </c>
      <c r="G61" s="790"/>
      <c r="H61" s="789">
        <v>1752</v>
      </c>
      <c r="I61" s="790">
        <v>856</v>
      </c>
      <c r="J61" s="790">
        <v>824</v>
      </c>
      <c r="K61" s="791">
        <v>72</v>
      </c>
      <c r="L61" s="790">
        <f t="shared" si="1"/>
        <v>3156</v>
      </c>
      <c r="M61" s="792"/>
      <c r="N61" s="792"/>
      <c r="O61" s="779">
        <v>0.72988505747126442</v>
      </c>
      <c r="P61" s="779">
        <v>0.20689655172413793</v>
      </c>
      <c r="Q61" s="779">
        <v>610</v>
      </c>
      <c r="R61" s="779">
        <v>774</v>
      </c>
      <c r="S61" s="779">
        <v>9</v>
      </c>
      <c r="T61" s="779">
        <v>1393</v>
      </c>
      <c r="U61" s="779">
        <v>765</v>
      </c>
      <c r="V61" s="779">
        <v>798</v>
      </c>
      <c r="W61" s="779">
        <v>125</v>
      </c>
      <c r="X61" s="779">
        <v>1688</v>
      </c>
      <c r="Y61" s="779">
        <v>1375</v>
      </c>
      <c r="Z61" s="779">
        <v>1572</v>
      </c>
      <c r="AA61" s="779">
        <v>134</v>
      </c>
      <c r="AB61" s="779">
        <v>3081</v>
      </c>
    </row>
    <row r="62" spans="1:28">
      <c r="A62" s="787" t="s">
        <v>141</v>
      </c>
      <c r="B62" s="788" t="s">
        <v>142</v>
      </c>
      <c r="C62" s="789">
        <v>755</v>
      </c>
      <c r="D62" s="790">
        <v>604</v>
      </c>
      <c r="E62" s="790">
        <v>136</v>
      </c>
      <c r="F62" s="791">
        <v>15</v>
      </c>
      <c r="G62" s="790"/>
      <c r="H62" s="789">
        <v>1266</v>
      </c>
      <c r="I62" s="790">
        <v>949</v>
      </c>
      <c r="J62" s="790">
        <v>227</v>
      </c>
      <c r="K62" s="791">
        <v>90</v>
      </c>
      <c r="L62" s="790">
        <f t="shared" si="1"/>
        <v>2021</v>
      </c>
      <c r="M62" s="792"/>
      <c r="N62" s="792"/>
      <c r="O62" s="779">
        <v>0.86567164179104472</v>
      </c>
      <c r="P62" s="779">
        <v>5.9701492537313432E-2</v>
      </c>
      <c r="Q62" s="779">
        <v>599</v>
      </c>
      <c r="R62" s="779">
        <v>136</v>
      </c>
      <c r="S62" s="779">
        <v>6</v>
      </c>
      <c r="T62" s="779">
        <v>741</v>
      </c>
      <c r="U62" s="779">
        <v>907</v>
      </c>
      <c r="V62" s="779">
        <v>224</v>
      </c>
      <c r="W62" s="779">
        <v>49</v>
      </c>
      <c r="X62" s="779">
        <v>1180</v>
      </c>
      <c r="Y62" s="779">
        <v>1506</v>
      </c>
      <c r="Z62" s="779">
        <v>360</v>
      </c>
      <c r="AA62" s="779">
        <v>55</v>
      </c>
      <c r="AB62" s="779">
        <v>1921</v>
      </c>
    </row>
    <row r="63" spans="1:28">
      <c r="A63" s="787" t="s">
        <v>147</v>
      </c>
      <c r="B63" s="788" t="s">
        <v>148</v>
      </c>
      <c r="C63" s="789">
        <v>479</v>
      </c>
      <c r="D63" s="790">
        <v>353</v>
      </c>
      <c r="E63" s="790">
        <v>118</v>
      </c>
      <c r="F63" s="791">
        <v>8</v>
      </c>
      <c r="G63" s="790"/>
      <c r="H63" s="789">
        <v>685</v>
      </c>
      <c r="I63" s="790">
        <v>551</v>
      </c>
      <c r="J63" s="790">
        <v>120</v>
      </c>
      <c r="K63" s="791">
        <v>14</v>
      </c>
      <c r="L63" s="790">
        <f t="shared" si="1"/>
        <v>1164</v>
      </c>
      <c r="M63" s="792"/>
      <c r="N63" s="792"/>
      <c r="O63" s="779">
        <v>0.97142857142857142</v>
      </c>
      <c r="P63" s="779">
        <v>2.8571428571428571E-2</v>
      </c>
      <c r="Q63" s="779">
        <v>349</v>
      </c>
      <c r="R63" s="779">
        <v>118</v>
      </c>
      <c r="S63" s="779">
        <v>4</v>
      </c>
      <c r="T63" s="779">
        <v>471</v>
      </c>
      <c r="U63" s="779">
        <v>517</v>
      </c>
      <c r="V63" s="779">
        <v>119</v>
      </c>
      <c r="W63" s="779">
        <v>35</v>
      </c>
      <c r="X63" s="779">
        <v>671</v>
      </c>
      <c r="Y63" s="779">
        <v>866</v>
      </c>
      <c r="Z63" s="779">
        <v>237</v>
      </c>
      <c r="AA63" s="779">
        <v>39</v>
      </c>
      <c r="AB63" s="779">
        <v>1142</v>
      </c>
    </row>
    <row r="64" spans="1:28">
      <c r="A64" s="787" t="s">
        <v>149</v>
      </c>
      <c r="B64" s="788" t="s">
        <v>150</v>
      </c>
      <c r="C64" s="789">
        <v>3057</v>
      </c>
      <c r="D64" s="790">
        <v>1146</v>
      </c>
      <c r="E64" s="790">
        <v>1879</v>
      </c>
      <c r="F64" s="791">
        <v>32</v>
      </c>
      <c r="G64" s="790"/>
      <c r="H64" s="789">
        <v>4095</v>
      </c>
      <c r="I64" s="790">
        <v>1518</v>
      </c>
      <c r="J64" s="790">
        <v>2415</v>
      </c>
      <c r="K64" s="791">
        <v>162</v>
      </c>
      <c r="L64" s="790">
        <f t="shared" si="1"/>
        <v>7152</v>
      </c>
      <c r="M64" s="792"/>
      <c r="N64" s="792"/>
      <c r="O64" s="779">
        <v>0.69675090252707583</v>
      </c>
      <c r="P64" s="779">
        <v>0.24909747292418771</v>
      </c>
      <c r="Q64" s="779">
        <v>1135</v>
      </c>
      <c r="R64" s="779">
        <v>1875</v>
      </c>
      <c r="S64" s="779">
        <v>16</v>
      </c>
      <c r="T64" s="779">
        <v>3026</v>
      </c>
      <c r="U64" s="779">
        <v>1431</v>
      </c>
      <c r="V64" s="779">
        <v>2384</v>
      </c>
      <c r="W64" s="779">
        <v>125</v>
      </c>
      <c r="X64" s="779">
        <v>3940</v>
      </c>
      <c r="Y64" s="779">
        <v>2566</v>
      </c>
      <c r="Z64" s="779">
        <v>4259</v>
      </c>
      <c r="AA64" s="779">
        <v>141</v>
      </c>
      <c r="AB64" s="779">
        <v>6966</v>
      </c>
    </row>
    <row r="65" spans="1:28">
      <c r="A65" s="787" t="s">
        <v>151</v>
      </c>
      <c r="B65" s="788" t="s">
        <v>152</v>
      </c>
      <c r="C65" s="789">
        <v>744</v>
      </c>
      <c r="D65" s="790">
        <v>452</v>
      </c>
      <c r="E65" s="790">
        <v>268</v>
      </c>
      <c r="F65" s="791">
        <v>24</v>
      </c>
      <c r="G65" s="790"/>
      <c r="H65" s="789">
        <v>1023</v>
      </c>
      <c r="I65" s="790">
        <v>648</v>
      </c>
      <c r="J65" s="790">
        <v>304</v>
      </c>
      <c r="K65" s="791">
        <v>71</v>
      </c>
      <c r="L65" s="790">
        <f t="shared" si="1"/>
        <v>1767</v>
      </c>
      <c r="M65" s="792"/>
      <c r="N65" s="792"/>
      <c r="O65" s="779">
        <v>0.9</v>
      </c>
      <c r="P65" s="779">
        <v>3.3333333333333333E-2</v>
      </c>
      <c r="Q65" s="779">
        <v>448</v>
      </c>
      <c r="R65" s="779">
        <v>268</v>
      </c>
      <c r="S65" s="779">
        <v>4</v>
      </c>
      <c r="T65" s="779">
        <v>720</v>
      </c>
      <c r="U65" s="779">
        <v>618</v>
      </c>
      <c r="V65" s="779">
        <v>303</v>
      </c>
      <c r="W65" s="779">
        <v>33</v>
      </c>
      <c r="X65" s="779">
        <v>954</v>
      </c>
      <c r="Y65" s="779">
        <v>1066</v>
      </c>
      <c r="Z65" s="779">
        <v>571</v>
      </c>
      <c r="AA65" s="779">
        <v>37</v>
      </c>
      <c r="AB65" s="779">
        <v>1674</v>
      </c>
    </row>
    <row r="66" spans="1:28">
      <c r="A66" s="787" t="s">
        <v>153</v>
      </c>
      <c r="B66" s="788" t="s">
        <v>154</v>
      </c>
      <c r="C66" s="789">
        <v>4230</v>
      </c>
      <c r="D66" s="790">
        <v>3757</v>
      </c>
      <c r="E66" s="790">
        <v>277</v>
      </c>
      <c r="F66" s="791">
        <v>196</v>
      </c>
      <c r="G66" s="790"/>
      <c r="H66" s="789">
        <v>6231</v>
      </c>
      <c r="I66" s="790">
        <v>4876</v>
      </c>
      <c r="J66" s="790">
        <v>535</v>
      </c>
      <c r="K66" s="791">
        <v>820</v>
      </c>
      <c r="L66" s="790">
        <f t="shared" si="1"/>
        <v>10461</v>
      </c>
      <c r="M66" s="792"/>
      <c r="N66" s="792"/>
      <c r="O66" s="779">
        <v>0.87438825448613378</v>
      </c>
      <c r="P66" s="779">
        <v>6.6884176182707991E-2</v>
      </c>
      <c r="Q66" s="779">
        <v>3719</v>
      </c>
      <c r="R66" s="779">
        <v>274</v>
      </c>
      <c r="S66" s="779">
        <v>43</v>
      </c>
      <c r="T66" s="779">
        <v>4036</v>
      </c>
      <c r="U66" s="779">
        <v>4593</v>
      </c>
      <c r="V66" s="779">
        <v>513</v>
      </c>
      <c r="W66" s="779">
        <v>324</v>
      </c>
      <c r="X66" s="779">
        <v>5430</v>
      </c>
      <c r="Y66" s="779">
        <v>8312</v>
      </c>
      <c r="Z66" s="779">
        <v>787</v>
      </c>
      <c r="AA66" s="779">
        <v>367</v>
      </c>
      <c r="AB66" s="779">
        <v>9466</v>
      </c>
    </row>
    <row r="67" spans="1:28">
      <c r="A67" s="787" t="s">
        <v>155</v>
      </c>
      <c r="B67" s="788" t="s">
        <v>156</v>
      </c>
      <c r="C67" s="789">
        <v>1257</v>
      </c>
      <c r="D67" s="790">
        <v>868</v>
      </c>
      <c r="E67" s="790">
        <v>341</v>
      </c>
      <c r="F67" s="791">
        <v>48</v>
      </c>
      <c r="G67" s="790"/>
      <c r="H67" s="789">
        <v>1647</v>
      </c>
      <c r="I67" s="790">
        <v>1137</v>
      </c>
      <c r="J67" s="790">
        <v>306</v>
      </c>
      <c r="K67" s="791">
        <v>204</v>
      </c>
      <c r="L67" s="790">
        <f t="shared" si="1"/>
        <v>2904</v>
      </c>
      <c r="M67" s="792"/>
      <c r="N67" s="792"/>
      <c r="O67" s="779">
        <v>0.86263736263736268</v>
      </c>
      <c r="P67" s="779">
        <v>6.5934065934065936E-2</v>
      </c>
      <c r="Q67" s="779">
        <v>859</v>
      </c>
      <c r="R67" s="779">
        <v>340</v>
      </c>
      <c r="S67" s="779">
        <v>10</v>
      </c>
      <c r="T67" s="779">
        <v>1209</v>
      </c>
      <c r="U67" s="779">
        <v>1035</v>
      </c>
      <c r="V67" s="779">
        <v>298</v>
      </c>
      <c r="W67" s="779">
        <v>118</v>
      </c>
      <c r="X67" s="779">
        <v>1451</v>
      </c>
      <c r="Y67" s="779">
        <v>1894</v>
      </c>
      <c r="Z67" s="779">
        <v>638</v>
      </c>
      <c r="AA67" s="779">
        <v>128</v>
      </c>
      <c r="AB67" s="779">
        <v>2660</v>
      </c>
    </row>
    <row r="68" spans="1:28">
      <c r="A68" s="787" t="s">
        <v>157</v>
      </c>
      <c r="B68" s="788" t="s">
        <v>158</v>
      </c>
      <c r="C68" s="789">
        <v>506</v>
      </c>
      <c r="D68" s="790">
        <v>351</v>
      </c>
      <c r="E68" s="790">
        <v>139</v>
      </c>
      <c r="F68" s="791">
        <v>16</v>
      </c>
      <c r="G68" s="790"/>
      <c r="H68" s="789">
        <v>1096</v>
      </c>
      <c r="I68" s="790">
        <v>786</v>
      </c>
      <c r="J68" s="790">
        <v>256</v>
      </c>
      <c r="K68" s="791">
        <v>54</v>
      </c>
      <c r="L68" s="790">
        <f t="shared" si="1"/>
        <v>1602</v>
      </c>
      <c r="M68" s="792"/>
      <c r="N68" s="792"/>
      <c r="O68" s="779">
        <v>0.80672268907563027</v>
      </c>
      <c r="P68" s="779">
        <v>3.3613445378151259E-2</v>
      </c>
      <c r="Q68" s="779">
        <v>345</v>
      </c>
      <c r="R68" s="779">
        <v>139</v>
      </c>
      <c r="S68" s="779">
        <v>7</v>
      </c>
      <c r="T68" s="779">
        <v>491</v>
      </c>
      <c r="U68" s="779">
        <v>727</v>
      </c>
      <c r="V68" s="779">
        <v>254</v>
      </c>
      <c r="W68" s="779">
        <v>73</v>
      </c>
      <c r="X68" s="779">
        <v>1054</v>
      </c>
      <c r="Y68" s="779">
        <v>1072</v>
      </c>
      <c r="Z68" s="779">
        <v>393</v>
      </c>
      <c r="AA68" s="779">
        <v>80</v>
      </c>
      <c r="AB68" s="779">
        <v>1545</v>
      </c>
    </row>
    <row r="69" spans="1:28">
      <c r="A69" s="787" t="s">
        <v>163</v>
      </c>
      <c r="B69" s="788" t="s">
        <v>164</v>
      </c>
      <c r="C69" s="789">
        <v>1665</v>
      </c>
      <c r="D69" s="790">
        <v>489</v>
      </c>
      <c r="E69" s="790">
        <v>1153</v>
      </c>
      <c r="F69" s="791">
        <v>23</v>
      </c>
      <c r="G69" s="790"/>
      <c r="H69" s="789">
        <v>2020</v>
      </c>
      <c r="I69" s="790">
        <v>791</v>
      </c>
      <c r="J69" s="790">
        <v>1103</v>
      </c>
      <c r="K69" s="791">
        <v>126</v>
      </c>
      <c r="L69" s="790">
        <f t="shared" si="1"/>
        <v>3685</v>
      </c>
      <c r="M69" s="792"/>
      <c r="N69" s="792"/>
      <c r="O69" s="779">
        <v>0.91874999999999996</v>
      </c>
      <c r="P69" s="779">
        <v>7.7083333333333337E-2</v>
      </c>
      <c r="Q69" s="779">
        <v>465</v>
      </c>
      <c r="R69" s="779">
        <v>1151</v>
      </c>
      <c r="S69" s="779">
        <v>26</v>
      </c>
      <c r="T69" s="779">
        <v>1642</v>
      </c>
      <c r="U69" s="779">
        <v>493</v>
      </c>
      <c r="V69" s="779">
        <v>1078</v>
      </c>
      <c r="W69" s="779">
        <v>324</v>
      </c>
      <c r="X69" s="779">
        <v>1895</v>
      </c>
      <c r="Y69" s="779">
        <v>958</v>
      </c>
      <c r="Z69" s="779">
        <v>2229</v>
      </c>
      <c r="AA69" s="779">
        <v>350</v>
      </c>
      <c r="AB69" s="779">
        <v>3537</v>
      </c>
    </row>
    <row r="70" spans="1:28">
      <c r="A70" s="787" t="s">
        <v>165</v>
      </c>
      <c r="B70" s="788" t="s">
        <v>166</v>
      </c>
      <c r="C70" s="789">
        <v>894</v>
      </c>
      <c r="D70" s="790">
        <v>360</v>
      </c>
      <c r="E70" s="790">
        <v>526</v>
      </c>
      <c r="F70" s="791">
        <v>8</v>
      </c>
      <c r="G70" s="790"/>
      <c r="H70" s="789">
        <v>1207</v>
      </c>
      <c r="I70" s="790">
        <v>483</v>
      </c>
      <c r="J70" s="790">
        <v>664</v>
      </c>
      <c r="K70" s="791">
        <v>60</v>
      </c>
      <c r="L70" s="790">
        <f t="shared" si="1"/>
        <v>2101</v>
      </c>
      <c r="M70" s="792"/>
      <c r="N70" s="792"/>
      <c r="O70" s="779">
        <v>0.79569892473118276</v>
      </c>
      <c r="P70" s="779">
        <v>0.19354838709677419</v>
      </c>
      <c r="Q70" s="779">
        <v>358</v>
      </c>
      <c r="R70" s="779">
        <v>525</v>
      </c>
      <c r="S70" s="779">
        <v>3</v>
      </c>
      <c r="T70" s="779">
        <v>886</v>
      </c>
      <c r="U70" s="779">
        <v>415</v>
      </c>
      <c r="V70" s="779">
        <v>648</v>
      </c>
      <c r="W70" s="779">
        <v>85</v>
      </c>
      <c r="X70" s="779">
        <v>1148</v>
      </c>
      <c r="Y70" s="779">
        <v>773</v>
      </c>
      <c r="Z70" s="779">
        <v>1173</v>
      </c>
      <c r="AA70" s="779">
        <v>88</v>
      </c>
      <c r="AB70" s="779">
        <v>2034</v>
      </c>
    </row>
    <row r="71" spans="1:28">
      <c r="A71" s="787" t="s">
        <v>169</v>
      </c>
      <c r="B71" s="788" t="s">
        <v>170</v>
      </c>
      <c r="C71" s="789">
        <v>1730</v>
      </c>
      <c r="D71" s="790">
        <v>722</v>
      </c>
      <c r="E71" s="790">
        <v>992</v>
      </c>
      <c r="F71" s="791">
        <v>16</v>
      </c>
      <c r="G71" s="790"/>
      <c r="H71" s="789">
        <v>2309</v>
      </c>
      <c r="I71" s="790">
        <v>1069</v>
      </c>
      <c r="J71" s="790">
        <v>1139</v>
      </c>
      <c r="K71" s="791">
        <v>101</v>
      </c>
      <c r="L71" s="790">
        <f t="shared" ref="L71:L102" si="2">+H71+C71</f>
        <v>4039</v>
      </c>
      <c r="M71" s="792"/>
      <c r="N71" s="792"/>
      <c r="O71" s="779">
        <v>0.82993197278911568</v>
      </c>
      <c r="P71" s="779">
        <v>0.12244897959183673</v>
      </c>
      <c r="Q71" s="779">
        <v>711</v>
      </c>
      <c r="R71" s="779">
        <v>990</v>
      </c>
      <c r="S71" s="779">
        <v>13</v>
      </c>
      <c r="T71" s="779">
        <v>1714</v>
      </c>
      <c r="U71" s="779">
        <v>915</v>
      </c>
      <c r="V71" s="779">
        <v>1116</v>
      </c>
      <c r="W71" s="779">
        <v>185</v>
      </c>
      <c r="X71" s="779">
        <v>2216</v>
      </c>
      <c r="Y71" s="779">
        <v>1626</v>
      </c>
      <c r="Z71" s="779">
        <v>2106</v>
      </c>
      <c r="AA71" s="779">
        <v>198</v>
      </c>
      <c r="AB71" s="779">
        <v>3930</v>
      </c>
    </row>
    <row r="72" spans="1:28">
      <c r="A72" s="787" t="s">
        <v>171</v>
      </c>
      <c r="B72" s="788" t="s">
        <v>172</v>
      </c>
      <c r="C72" s="789">
        <v>1776</v>
      </c>
      <c r="D72" s="790">
        <v>1230</v>
      </c>
      <c r="E72" s="790">
        <v>476</v>
      </c>
      <c r="F72" s="791">
        <v>70</v>
      </c>
      <c r="G72" s="790"/>
      <c r="H72" s="789">
        <v>3152</v>
      </c>
      <c r="I72" s="790">
        <v>1988</v>
      </c>
      <c r="J72" s="790">
        <v>809</v>
      </c>
      <c r="K72" s="791">
        <v>355</v>
      </c>
      <c r="L72" s="790">
        <f t="shared" si="2"/>
        <v>4928</v>
      </c>
      <c r="M72" s="792"/>
      <c r="N72" s="792"/>
      <c r="O72" s="779">
        <v>0.92146596858638741</v>
      </c>
      <c r="P72" s="779">
        <v>4.1884816753926704E-2</v>
      </c>
      <c r="Q72" s="779">
        <v>1213</v>
      </c>
      <c r="R72" s="779">
        <v>475</v>
      </c>
      <c r="S72" s="779">
        <v>18</v>
      </c>
      <c r="T72" s="779">
        <v>1706</v>
      </c>
      <c r="U72" s="779">
        <v>1819</v>
      </c>
      <c r="V72" s="779">
        <v>801</v>
      </c>
      <c r="W72" s="779">
        <v>183</v>
      </c>
      <c r="X72" s="779">
        <v>2803</v>
      </c>
      <c r="Y72" s="779">
        <v>3032</v>
      </c>
      <c r="Z72" s="779">
        <v>1276</v>
      </c>
      <c r="AA72" s="779">
        <v>201</v>
      </c>
      <c r="AB72" s="779">
        <v>4509</v>
      </c>
    </row>
    <row r="73" spans="1:28">
      <c r="A73" s="787" t="s">
        <v>173</v>
      </c>
      <c r="B73" s="788" t="s">
        <v>174</v>
      </c>
      <c r="C73" s="789">
        <v>2106</v>
      </c>
      <c r="D73" s="790">
        <v>2020</v>
      </c>
      <c r="E73" s="790">
        <v>50</v>
      </c>
      <c r="F73" s="791">
        <v>36</v>
      </c>
      <c r="G73" s="790"/>
      <c r="H73" s="789">
        <v>2753</v>
      </c>
      <c r="I73" s="790">
        <v>2553</v>
      </c>
      <c r="J73" s="790">
        <v>72</v>
      </c>
      <c r="K73" s="791">
        <v>128</v>
      </c>
      <c r="L73" s="790">
        <f t="shared" si="2"/>
        <v>4859</v>
      </c>
      <c r="M73" s="792"/>
      <c r="N73" s="792"/>
      <c r="O73" s="779">
        <v>0.94244604316546765</v>
      </c>
      <c r="P73" s="779">
        <v>2.1582733812949641E-2</v>
      </c>
      <c r="Q73" s="779">
        <v>2005</v>
      </c>
      <c r="R73" s="779">
        <v>50</v>
      </c>
      <c r="S73" s="779">
        <v>16</v>
      </c>
      <c r="T73" s="779">
        <v>2071</v>
      </c>
      <c r="U73" s="779">
        <v>2429</v>
      </c>
      <c r="V73" s="779">
        <v>69</v>
      </c>
      <c r="W73" s="779">
        <v>132</v>
      </c>
      <c r="X73" s="779">
        <v>2630</v>
      </c>
      <c r="Y73" s="779">
        <v>4434</v>
      </c>
      <c r="Z73" s="779">
        <v>119</v>
      </c>
      <c r="AA73" s="779">
        <v>148</v>
      </c>
      <c r="AB73" s="779">
        <v>4701</v>
      </c>
    </row>
    <row r="74" spans="1:28">
      <c r="A74" s="787" t="s">
        <v>175</v>
      </c>
      <c r="B74" s="788" t="s">
        <v>176</v>
      </c>
      <c r="C74" s="789">
        <v>2063</v>
      </c>
      <c r="D74" s="790">
        <v>1865</v>
      </c>
      <c r="E74" s="790">
        <v>181</v>
      </c>
      <c r="F74" s="791">
        <v>17</v>
      </c>
      <c r="G74" s="790"/>
      <c r="H74" s="789">
        <v>2434</v>
      </c>
      <c r="I74" s="790">
        <v>2150</v>
      </c>
      <c r="J74" s="790">
        <v>228</v>
      </c>
      <c r="K74" s="791">
        <v>56</v>
      </c>
      <c r="L74" s="790">
        <f t="shared" si="2"/>
        <v>4497</v>
      </c>
      <c r="M74" s="792"/>
      <c r="N74" s="792"/>
      <c r="O74" s="779">
        <v>0.90184049079754602</v>
      </c>
      <c r="P74" s="779">
        <v>7.9754601226993863E-2</v>
      </c>
      <c r="Q74" s="779">
        <v>1855</v>
      </c>
      <c r="R74" s="779">
        <v>180</v>
      </c>
      <c r="S74" s="779">
        <v>11</v>
      </c>
      <c r="T74" s="779">
        <v>2046</v>
      </c>
      <c r="U74" s="779">
        <v>2008</v>
      </c>
      <c r="V74" s="779">
        <v>215</v>
      </c>
      <c r="W74" s="779">
        <v>157</v>
      </c>
      <c r="X74" s="779">
        <v>2380</v>
      </c>
      <c r="Y74" s="779">
        <v>3863</v>
      </c>
      <c r="Z74" s="779">
        <v>395</v>
      </c>
      <c r="AA74" s="779">
        <v>168</v>
      </c>
      <c r="AB74" s="779">
        <v>4426</v>
      </c>
    </row>
    <row r="75" spans="1:28">
      <c r="A75" s="787" t="s">
        <v>179</v>
      </c>
      <c r="B75" s="788" t="s">
        <v>180</v>
      </c>
      <c r="C75" s="789">
        <v>5891</v>
      </c>
      <c r="D75" s="790">
        <v>3526</v>
      </c>
      <c r="E75" s="790">
        <v>2183</v>
      </c>
      <c r="F75" s="791">
        <v>182</v>
      </c>
      <c r="G75" s="790"/>
      <c r="H75" s="789">
        <v>7496</v>
      </c>
      <c r="I75" s="790">
        <v>4472</v>
      </c>
      <c r="J75" s="790">
        <v>2356</v>
      </c>
      <c r="K75" s="791">
        <v>668</v>
      </c>
      <c r="L75" s="790">
        <f t="shared" si="2"/>
        <v>13387</v>
      </c>
      <c r="M75" s="792"/>
      <c r="N75" s="792"/>
      <c r="O75" s="779">
        <v>0.90583804143126179</v>
      </c>
      <c r="P75" s="779">
        <v>6.2146892655367235E-2</v>
      </c>
      <c r="Q75" s="779">
        <v>3493</v>
      </c>
      <c r="R75" s="779">
        <v>2181</v>
      </c>
      <c r="S75" s="779">
        <v>36</v>
      </c>
      <c r="T75" s="779">
        <v>5710</v>
      </c>
      <c r="U75" s="779">
        <v>4113</v>
      </c>
      <c r="V75" s="779">
        <v>2331</v>
      </c>
      <c r="W75" s="779">
        <v>396</v>
      </c>
      <c r="X75" s="779">
        <v>6840</v>
      </c>
      <c r="Y75" s="779">
        <v>7606</v>
      </c>
      <c r="Z75" s="779">
        <v>4512</v>
      </c>
      <c r="AA75" s="779">
        <v>432</v>
      </c>
      <c r="AB75" s="779">
        <v>12550</v>
      </c>
    </row>
    <row r="76" spans="1:28">
      <c r="A76" s="787" t="s">
        <v>183</v>
      </c>
      <c r="B76" s="788" t="s">
        <v>184</v>
      </c>
      <c r="C76" s="789">
        <v>806</v>
      </c>
      <c r="D76" s="790">
        <v>514</v>
      </c>
      <c r="E76" s="790">
        <v>235</v>
      </c>
      <c r="F76" s="791">
        <v>57</v>
      </c>
      <c r="G76" s="790"/>
      <c r="H76" s="789">
        <v>1379</v>
      </c>
      <c r="I76" s="790">
        <v>944</v>
      </c>
      <c r="J76" s="790">
        <v>245</v>
      </c>
      <c r="K76" s="791">
        <v>190</v>
      </c>
      <c r="L76" s="790">
        <f t="shared" si="2"/>
        <v>2185</v>
      </c>
      <c r="M76" s="792"/>
      <c r="N76" s="792"/>
      <c r="O76" s="779">
        <v>0.91200000000000003</v>
      </c>
      <c r="P76" s="779">
        <v>4.8000000000000001E-2</v>
      </c>
      <c r="Q76" s="779">
        <v>508</v>
      </c>
      <c r="R76" s="779">
        <v>235</v>
      </c>
      <c r="S76" s="779">
        <v>7</v>
      </c>
      <c r="T76" s="779">
        <v>750</v>
      </c>
      <c r="U76" s="779">
        <v>877</v>
      </c>
      <c r="V76" s="779">
        <v>241</v>
      </c>
      <c r="W76" s="779">
        <v>73</v>
      </c>
      <c r="X76" s="779">
        <v>1191</v>
      </c>
      <c r="Y76" s="779">
        <v>1385</v>
      </c>
      <c r="Z76" s="779">
        <v>476</v>
      </c>
      <c r="AA76" s="779">
        <v>80</v>
      </c>
      <c r="AB76" s="779">
        <v>1941</v>
      </c>
    </row>
    <row r="77" spans="1:28">
      <c r="A77" s="787" t="s">
        <v>185</v>
      </c>
      <c r="B77" s="788" t="s">
        <v>186</v>
      </c>
      <c r="C77" s="789">
        <v>2007</v>
      </c>
      <c r="D77" s="790">
        <v>719</v>
      </c>
      <c r="E77" s="790">
        <v>1269</v>
      </c>
      <c r="F77" s="791">
        <v>19</v>
      </c>
      <c r="G77" s="790"/>
      <c r="H77" s="789">
        <v>2751</v>
      </c>
      <c r="I77" s="790">
        <v>903</v>
      </c>
      <c r="J77" s="790">
        <v>1640</v>
      </c>
      <c r="K77" s="791">
        <v>208</v>
      </c>
      <c r="L77" s="790">
        <f t="shared" si="2"/>
        <v>4758</v>
      </c>
      <c r="M77" s="792"/>
      <c r="N77" s="792"/>
      <c r="O77" s="779">
        <v>0.74226804123711343</v>
      </c>
      <c r="P77" s="779">
        <v>0.22680412371134021</v>
      </c>
      <c r="Q77" s="779">
        <v>706</v>
      </c>
      <c r="R77" s="779">
        <v>1265</v>
      </c>
      <c r="S77" s="779">
        <v>17</v>
      </c>
      <c r="T77" s="779">
        <v>1988</v>
      </c>
      <c r="U77" s="779">
        <v>850</v>
      </c>
      <c r="V77" s="779">
        <v>1624</v>
      </c>
      <c r="W77" s="779">
        <v>71</v>
      </c>
      <c r="X77" s="779">
        <v>2545</v>
      </c>
      <c r="Y77" s="779">
        <v>1556</v>
      </c>
      <c r="Z77" s="779">
        <v>2889</v>
      </c>
      <c r="AA77" s="779">
        <v>88</v>
      </c>
      <c r="AB77" s="779">
        <v>4533</v>
      </c>
    </row>
    <row r="78" spans="1:28">
      <c r="A78" s="787" t="s">
        <v>187</v>
      </c>
      <c r="B78" s="788" t="s">
        <v>188</v>
      </c>
      <c r="C78" s="789">
        <v>1251</v>
      </c>
      <c r="D78" s="790">
        <v>707</v>
      </c>
      <c r="E78" s="790">
        <v>499</v>
      </c>
      <c r="F78" s="791">
        <v>45</v>
      </c>
      <c r="G78" s="790"/>
      <c r="H78" s="789">
        <v>2317</v>
      </c>
      <c r="I78" s="790">
        <v>1176</v>
      </c>
      <c r="J78" s="790">
        <v>931</v>
      </c>
      <c r="K78" s="791">
        <v>210</v>
      </c>
      <c r="L78" s="790">
        <f t="shared" si="2"/>
        <v>3568</v>
      </c>
      <c r="M78" s="792"/>
      <c r="N78" s="792"/>
      <c r="O78" s="779">
        <v>0.75735294117647056</v>
      </c>
      <c r="P78" s="779">
        <v>0.18382352941176472</v>
      </c>
      <c r="Q78" s="779">
        <v>688</v>
      </c>
      <c r="R78" s="779">
        <v>494</v>
      </c>
      <c r="S78" s="779">
        <v>25</v>
      </c>
      <c r="T78" s="779">
        <v>1207</v>
      </c>
      <c r="U78" s="779">
        <v>1079</v>
      </c>
      <c r="V78" s="779">
        <v>907</v>
      </c>
      <c r="W78" s="779">
        <v>128</v>
      </c>
      <c r="X78" s="779">
        <v>2114</v>
      </c>
      <c r="Y78" s="779">
        <v>1767</v>
      </c>
      <c r="Z78" s="779">
        <v>1401</v>
      </c>
      <c r="AA78" s="779">
        <v>153</v>
      </c>
      <c r="AB78" s="779">
        <v>3321</v>
      </c>
    </row>
    <row r="79" spans="1:28">
      <c r="A79" s="787" t="s">
        <v>189</v>
      </c>
      <c r="B79" s="788" t="s">
        <v>190</v>
      </c>
      <c r="C79" s="789">
        <v>11241</v>
      </c>
      <c r="D79" s="790">
        <v>5621</v>
      </c>
      <c r="E79" s="790">
        <v>3980</v>
      </c>
      <c r="F79" s="791">
        <v>1640</v>
      </c>
      <c r="G79" s="790"/>
      <c r="H79" s="789">
        <v>38492</v>
      </c>
      <c r="I79" s="790">
        <v>21131</v>
      </c>
      <c r="J79" s="790">
        <v>10714</v>
      </c>
      <c r="K79" s="791">
        <v>6647</v>
      </c>
      <c r="L79" s="790">
        <f t="shared" si="2"/>
        <v>49733</v>
      </c>
      <c r="M79" s="792"/>
      <c r="N79" s="792"/>
      <c r="O79" s="779">
        <v>0.86673766662086027</v>
      </c>
      <c r="P79" s="779">
        <v>8.5440428748110489E-2</v>
      </c>
      <c r="Q79" s="779">
        <v>4323</v>
      </c>
      <c r="R79" s="779">
        <v>3852</v>
      </c>
      <c r="S79" s="779">
        <v>1497</v>
      </c>
      <c r="T79" s="779">
        <v>9672</v>
      </c>
      <c r="U79" s="779">
        <v>5843</v>
      </c>
      <c r="V79" s="779">
        <v>9207</v>
      </c>
      <c r="W79" s="779">
        <v>17639</v>
      </c>
      <c r="X79" s="779">
        <v>32689</v>
      </c>
      <c r="Y79" s="779">
        <v>10166</v>
      </c>
      <c r="Z79" s="779">
        <v>13059</v>
      </c>
      <c r="AA79" s="779">
        <v>19136</v>
      </c>
      <c r="AB79" s="779">
        <v>42361</v>
      </c>
    </row>
    <row r="80" spans="1:28">
      <c r="A80" s="787" t="s">
        <v>191</v>
      </c>
      <c r="B80" s="788" t="s">
        <v>192</v>
      </c>
      <c r="C80" s="789">
        <v>3283</v>
      </c>
      <c r="D80" s="790">
        <v>2992</v>
      </c>
      <c r="E80" s="790">
        <v>260</v>
      </c>
      <c r="F80" s="791">
        <v>31</v>
      </c>
      <c r="G80" s="790"/>
      <c r="H80" s="789">
        <v>3979</v>
      </c>
      <c r="I80" s="790">
        <v>3314</v>
      </c>
      <c r="J80" s="790">
        <v>391</v>
      </c>
      <c r="K80" s="791">
        <v>274</v>
      </c>
      <c r="L80" s="790">
        <f t="shared" si="2"/>
        <v>7262</v>
      </c>
      <c r="M80" s="792"/>
      <c r="N80" s="792"/>
      <c r="O80" s="779">
        <v>0.82706766917293228</v>
      </c>
      <c r="P80" s="779">
        <v>0.10526315789473684</v>
      </c>
      <c r="Q80" s="779">
        <v>2975</v>
      </c>
      <c r="R80" s="779">
        <v>258</v>
      </c>
      <c r="S80" s="779">
        <v>20</v>
      </c>
      <c r="T80" s="779">
        <v>3253</v>
      </c>
      <c r="U80" s="779">
        <v>3197</v>
      </c>
      <c r="V80" s="779">
        <v>376</v>
      </c>
      <c r="W80" s="779">
        <v>142</v>
      </c>
      <c r="X80" s="779">
        <v>3715</v>
      </c>
      <c r="Y80" s="779">
        <v>6172</v>
      </c>
      <c r="Z80" s="779">
        <v>634</v>
      </c>
      <c r="AA80" s="779">
        <v>162</v>
      </c>
      <c r="AB80" s="779">
        <v>6968</v>
      </c>
    </row>
    <row r="81" spans="1:28">
      <c r="A81" s="787" t="s">
        <v>195</v>
      </c>
      <c r="B81" s="788" t="s">
        <v>196</v>
      </c>
      <c r="C81" s="789">
        <v>321</v>
      </c>
      <c r="D81" s="790">
        <v>279</v>
      </c>
      <c r="E81" s="790">
        <v>36</v>
      </c>
      <c r="F81" s="791">
        <v>6</v>
      </c>
      <c r="G81" s="790"/>
      <c r="H81" s="789">
        <v>536</v>
      </c>
      <c r="I81" s="790">
        <v>462</v>
      </c>
      <c r="J81" s="790">
        <v>55</v>
      </c>
      <c r="K81" s="791">
        <v>19</v>
      </c>
      <c r="L81" s="790">
        <f t="shared" si="2"/>
        <v>857</v>
      </c>
      <c r="M81" s="792"/>
      <c r="N81" s="792"/>
      <c r="O81" s="779">
        <v>0.92156862745098034</v>
      </c>
      <c r="P81" s="779">
        <v>3.9215686274509803E-2</v>
      </c>
      <c r="Q81" s="779">
        <v>276</v>
      </c>
      <c r="R81" s="779">
        <v>36</v>
      </c>
      <c r="S81" s="779">
        <v>3</v>
      </c>
      <c r="T81" s="779">
        <v>315</v>
      </c>
      <c r="U81" s="779">
        <v>423</v>
      </c>
      <c r="V81" s="779">
        <v>53</v>
      </c>
      <c r="W81" s="779">
        <v>42</v>
      </c>
      <c r="X81" s="779">
        <v>518</v>
      </c>
      <c r="Y81" s="779">
        <v>699</v>
      </c>
      <c r="Z81" s="779">
        <v>89</v>
      </c>
      <c r="AA81" s="779">
        <v>45</v>
      </c>
      <c r="AB81" s="779">
        <v>833</v>
      </c>
    </row>
    <row r="82" spans="1:28">
      <c r="A82" s="787" t="s">
        <v>199</v>
      </c>
      <c r="B82" s="788" t="s">
        <v>285</v>
      </c>
      <c r="C82" s="789">
        <v>646</v>
      </c>
      <c r="D82" s="790">
        <v>321</v>
      </c>
      <c r="E82" s="790">
        <v>315</v>
      </c>
      <c r="F82" s="791">
        <v>10</v>
      </c>
      <c r="G82" s="790"/>
      <c r="H82" s="789">
        <v>1106</v>
      </c>
      <c r="I82" s="790">
        <v>544</v>
      </c>
      <c r="J82" s="790">
        <v>472</v>
      </c>
      <c r="K82" s="791">
        <v>90</v>
      </c>
      <c r="L82" s="790">
        <f t="shared" si="2"/>
        <v>1752</v>
      </c>
      <c r="M82" s="792"/>
      <c r="N82" s="792"/>
      <c r="O82" s="779">
        <v>0.86029411764705888</v>
      </c>
      <c r="P82" s="779">
        <v>7.3529411764705885E-2</v>
      </c>
      <c r="Q82" s="779">
        <v>312</v>
      </c>
      <c r="R82" s="779">
        <v>314</v>
      </c>
      <c r="S82" s="779">
        <v>10</v>
      </c>
      <c r="T82" s="779">
        <v>636</v>
      </c>
      <c r="U82" s="779">
        <v>402</v>
      </c>
      <c r="V82" s="779">
        <v>460</v>
      </c>
      <c r="W82" s="779">
        <v>165</v>
      </c>
      <c r="X82" s="779">
        <v>1027</v>
      </c>
      <c r="Y82" s="779">
        <v>714</v>
      </c>
      <c r="Z82" s="779">
        <v>774</v>
      </c>
      <c r="AA82" s="779">
        <v>175</v>
      </c>
      <c r="AB82" s="779">
        <v>1663</v>
      </c>
    </row>
    <row r="83" spans="1:28">
      <c r="A83" s="787" t="s">
        <v>203</v>
      </c>
      <c r="B83" s="788" t="s">
        <v>368</v>
      </c>
      <c r="C83" s="789">
        <v>4970</v>
      </c>
      <c r="D83" s="790">
        <v>4055</v>
      </c>
      <c r="E83" s="790">
        <v>616</v>
      </c>
      <c r="F83" s="791">
        <v>299</v>
      </c>
      <c r="G83" s="790"/>
      <c r="H83" s="789">
        <v>8201</v>
      </c>
      <c r="I83" s="790">
        <v>5492</v>
      </c>
      <c r="J83" s="790">
        <v>1397</v>
      </c>
      <c r="K83" s="791">
        <v>1312</v>
      </c>
      <c r="L83" s="790">
        <f t="shared" si="2"/>
        <v>13171</v>
      </c>
      <c r="M83" s="792"/>
      <c r="N83" s="792"/>
      <c r="O83" s="779">
        <v>0.93027888446215135</v>
      </c>
      <c r="P83" s="779">
        <v>2.6892430278884463E-2</v>
      </c>
      <c r="Q83" s="779">
        <v>3994</v>
      </c>
      <c r="R83" s="779">
        <v>614</v>
      </c>
      <c r="S83" s="779">
        <v>66</v>
      </c>
      <c r="T83" s="779">
        <v>4674</v>
      </c>
      <c r="U83" s="779">
        <v>5030</v>
      </c>
      <c r="V83" s="779">
        <v>1384</v>
      </c>
      <c r="W83" s="779">
        <v>497</v>
      </c>
      <c r="X83" s="779">
        <v>6911</v>
      </c>
      <c r="Y83" s="779">
        <v>9024</v>
      </c>
      <c r="Z83" s="779">
        <v>1998</v>
      </c>
      <c r="AA83" s="779">
        <v>563</v>
      </c>
      <c r="AB83" s="779">
        <v>11585</v>
      </c>
    </row>
    <row r="84" spans="1:28">
      <c r="A84" s="787" t="s">
        <v>205</v>
      </c>
      <c r="B84" s="788" t="s">
        <v>359</v>
      </c>
      <c r="C84" s="789">
        <v>2357</v>
      </c>
      <c r="D84" s="790">
        <v>2113</v>
      </c>
      <c r="E84" s="790">
        <v>196</v>
      </c>
      <c r="F84" s="791">
        <v>48</v>
      </c>
      <c r="G84" s="790"/>
      <c r="H84" s="789">
        <v>3149</v>
      </c>
      <c r="I84" s="790">
        <v>2593</v>
      </c>
      <c r="J84" s="790">
        <v>257</v>
      </c>
      <c r="K84" s="791">
        <v>299</v>
      </c>
      <c r="L84" s="790">
        <f t="shared" si="2"/>
        <v>5506</v>
      </c>
      <c r="M84" s="792"/>
      <c r="N84" s="792"/>
      <c r="O84" s="779">
        <v>0.87878787878787878</v>
      </c>
      <c r="P84" s="779">
        <v>6.0606060606060608E-2</v>
      </c>
      <c r="Q84" s="779">
        <v>2101</v>
      </c>
      <c r="R84" s="779">
        <v>195</v>
      </c>
      <c r="S84" s="779">
        <v>14</v>
      </c>
      <c r="T84" s="779">
        <v>2310</v>
      </c>
      <c r="U84" s="779">
        <v>2459</v>
      </c>
      <c r="V84" s="779">
        <v>248</v>
      </c>
      <c r="W84" s="779">
        <v>153</v>
      </c>
      <c r="X84" s="779">
        <v>2860</v>
      </c>
      <c r="Y84" s="779">
        <v>4560</v>
      </c>
      <c r="Z84" s="779">
        <v>443</v>
      </c>
      <c r="AA84" s="779">
        <v>167</v>
      </c>
      <c r="AB84" s="779">
        <v>5170</v>
      </c>
    </row>
    <row r="85" spans="1:28">
      <c r="A85" s="787" t="s">
        <v>207</v>
      </c>
      <c r="B85" s="788" t="s">
        <v>360</v>
      </c>
      <c r="C85" s="789">
        <v>5668</v>
      </c>
      <c r="D85" s="790">
        <v>4955</v>
      </c>
      <c r="E85" s="790">
        <v>408</v>
      </c>
      <c r="F85" s="791">
        <v>305</v>
      </c>
      <c r="G85" s="790"/>
      <c r="H85" s="789">
        <v>11422</v>
      </c>
      <c r="I85" s="790">
        <v>9084</v>
      </c>
      <c r="J85" s="790">
        <v>906</v>
      </c>
      <c r="K85" s="791">
        <v>1432</v>
      </c>
      <c r="L85" s="790">
        <f t="shared" si="2"/>
        <v>17090</v>
      </c>
      <c r="M85" s="792"/>
      <c r="N85" s="792"/>
      <c r="O85" s="779">
        <v>0.92853784673248707</v>
      </c>
      <c r="P85" s="779">
        <v>4.7954866008462625E-2</v>
      </c>
      <c r="Q85" s="779">
        <v>4622</v>
      </c>
      <c r="R85" s="779">
        <v>391</v>
      </c>
      <c r="S85" s="779">
        <v>359</v>
      </c>
      <c r="T85" s="779">
        <v>5372</v>
      </c>
      <c r="U85" s="779">
        <v>5814</v>
      </c>
      <c r="V85" s="779">
        <v>737</v>
      </c>
      <c r="W85" s="779">
        <v>3522</v>
      </c>
      <c r="X85" s="779">
        <v>10073</v>
      </c>
      <c r="Y85" s="779">
        <v>10436</v>
      </c>
      <c r="Z85" s="779">
        <v>1128</v>
      </c>
      <c r="AA85" s="779">
        <v>3881</v>
      </c>
      <c r="AB85" s="779">
        <v>15445</v>
      </c>
    </row>
    <row r="86" spans="1:28">
      <c r="A86" s="787" t="s">
        <v>209</v>
      </c>
      <c r="B86" s="788" t="s">
        <v>210</v>
      </c>
      <c r="C86" s="789">
        <v>3819</v>
      </c>
      <c r="D86" s="790">
        <v>3720</v>
      </c>
      <c r="E86" s="790">
        <v>39</v>
      </c>
      <c r="F86" s="791">
        <v>60</v>
      </c>
      <c r="G86" s="790"/>
      <c r="H86" s="789">
        <v>4044</v>
      </c>
      <c r="I86" s="790">
        <v>3694</v>
      </c>
      <c r="J86" s="790">
        <v>38</v>
      </c>
      <c r="K86" s="791">
        <v>312</v>
      </c>
      <c r="L86" s="790">
        <f t="shared" si="2"/>
        <v>7863</v>
      </c>
      <c r="M86" s="792"/>
      <c r="N86" s="792"/>
      <c r="O86" s="779">
        <v>0.93243243243243246</v>
      </c>
      <c r="P86" s="779">
        <v>5.4054054054054057E-2</v>
      </c>
      <c r="Q86" s="779">
        <v>3701</v>
      </c>
      <c r="R86" s="779">
        <v>38</v>
      </c>
      <c r="S86" s="779">
        <v>20</v>
      </c>
      <c r="T86" s="779">
        <v>3759</v>
      </c>
      <c r="U86" s="779">
        <v>3513</v>
      </c>
      <c r="V86" s="779">
        <v>28</v>
      </c>
      <c r="W86" s="779">
        <v>194</v>
      </c>
      <c r="X86" s="779">
        <v>3735</v>
      </c>
      <c r="Y86" s="779">
        <v>7214</v>
      </c>
      <c r="Z86" s="779">
        <v>66</v>
      </c>
      <c r="AA86" s="779">
        <v>214</v>
      </c>
      <c r="AB86" s="779">
        <v>7494</v>
      </c>
    </row>
    <row r="87" spans="1:28">
      <c r="A87" s="787" t="s">
        <v>211</v>
      </c>
      <c r="B87" s="788" t="s">
        <v>212</v>
      </c>
      <c r="C87" s="789">
        <v>2912</v>
      </c>
      <c r="D87" s="790">
        <v>2854</v>
      </c>
      <c r="E87" s="790">
        <v>22</v>
      </c>
      <c r="F87" s="791">
        <v>36</v>
      </c>
      <c r="G87" s="790"/>
      <c r="H87" s="789">
        <v>2702</v>
      </c>
      <c r="I87" s="790">
        <v>2527</v>
      </c>
      <c r="J87" s="790">
        <v>38</v>
      </c>
      <c r="K87" s="791">
        <v>137</v>
      </c>
      <c r="L87" s="790">
        <f t="shared" si="2"/>
        <v>5614</v>
      </c>
      <c r="M87" s="792"/>
      <c r="N87" s="792"/>
      <c r="O87" s="779">
        <v>0.91891891891891897</v>
      </c>
      <c r="P87" s="779">
        <v>0</v>
      </c>
      <c r="Q87" s="779">
        <v>2849</v>
      </c>
      <c r="R87" s="779">
        <v>22</v>
      </c>
      <c r="S87" s="779">
        <v>5</v>
      </c>
      <c r="T87" s="779">
        <v>2876</v>
      </c>
      <c r="U87" s="779">
        <v>2456</v>
      </c>
      <c r="V87" s="779">
        <v>38</v>
      </c>
      <c r="W87" s="779">
        <v>77</v>
      </c>
      <c r="X87" s="779">
        <v>2571</v>
      </c>
      <c r="Y87" s="779">
        <v>5305</v>
      </c>
      <c r="Z87" s="779">
        <v>60</v>
      </c>
      <c r="AA87" s="779">
        <v>82</v>
      </c>
      <c r="AB87" s="779">
        <v>5447</v>
      </c>
    </row>
    <row r="88" spans="1:28">
      <c r="A88" s="787" t="s">
        <v>213</v>
      </c>
      <c r="B88" s="788" t="s">
        <v>214</v>
      </c>
      <c r="C88" s="789">
        <v>2461</v>
      </c>
      <c r="D88" s="790">
        <v>2334</v>
      </c>
      <c r="E88" s="790">
        <v>71</v>
      </c>
      <c r="F88" s="791">
        <v>56</v>
      </c>
      <c r="G88" s="790"/>
      <c r="H88" s="789">
        <v>4251</v>
      </c>
      <c r="I88" s="790">
        <v>3887</v>
      </c>
      <c r="J88" s="790">
        <v>143</v>
      </c>
      <c r="K88" s="791">
        <v>221</v>
      </c>
      <c r="L88" s="790">
        <f t="shared" si="2"/>
        <v>6712</v>
      </c>
      <c r="M88" s="792"/>
      <c r="N88" s="792"/>
      <c r="O88" s="779">
        <v>0.94220665499124345</v>
      </c>
      <c r="P88" s="779">
        <v>2.8896672504378284E-2</v>
      </c>
      <c r="Q88" s="779">
        <v>2250</v>
      </c>
      <c r="R88" s="779">
        <v>68</v>
      </c>
      <c r="S88" s="779">
        <v>89</v>
      </c>
      <c r="T88" s="779">
        <v>2407</v>
      </c>
      <c r="U88" s="779">
        <v>3173</v>
      </c>
      <c r="V88" s="779">
        <v>121</v>
      </c>
      <c r="W88" s="779">
        <v>758</v>
      </c>
      <c r="X88" s="779">
        <v>4052</v>
      </c>
      <c r="Y88" s="779">
        <v>5423</v>
      </c>
      <c r="Z88" s="779">
        <v>189</v>
      </c>
      <c r="AA88" s="779">
        <v>847</v>
      </c>
      <c r="AB88" s="779">
        <v>6459</v>
      </c>
    </row>
    <row r="89" spans="1:28">
      <c r="A89" s="787" t="s">
        <v>215</v>
      </c>
      <c r="B89" s="788" t="s">
        <v>216</v>
      </c>
      <c r="C89" s="789">
        <v>3825</v>
      </c>
      <c r="D89" s="790">
        <v>3702</v>
      </c>
      <c r="E89" s="790">
        <v>64</v>
      </c>
      <c r="F89" s="791">
        <v>59</v>
      </c>
      <c r="G89" s="790"/>
      <c r="H89" s="789">
        <v>4305</v>
      </c>
      <c r="I89" s="790">
        <v>3753</v>
      </c>
      <c r="J89" s="790">
        <v>128</v>
      </c>
      <c r="K89" s="791">
        <v>424</v>
      </c>
      <c r="L89" s="790">
        <f t="shared" si="2"/>
        <v>8130</v>
      </c>
      <c r="M89" s="792"/>
      <c r="N89" s="792"/>
      <c r="O89" s="779">
        <v>0.88304093567251463</v>
      </c>
      <c r="P89" s="779">
        <v>8.1871345029239762E-2</v>
      </c>
      <c r="Q89" s="779">
        <v>3689</v>
      </c>
      <c r="R89" s="779">
        <v>63</v>
      </c>
      <c r="S89" s="779">
        <v>15</v>
      </c>
      <c r="T89" s="779">
        <v>3767</v>
      </c>
      <c r="U89" s="779">
        <v>3636</v>
      </c>
      <c r="V89" s="779">
        <v>117</v>
      </c>
      <c r="W89" s="779">
        <v>132</v>
      </c>
      <c r="X89" s="779">
        <v>3885</v>
      </c>
      <c r="Y89" s="779">
        <v>7325</v>
      </c>
      <c r="Z89" s="779">
        <v>180</v>
      </c>
      <c r="AA89" s="779">
        <v>147</v>
      </c>
      <c r="AB89" s="779">
        <v>7652</v>
      </c>
    </row>
    <row r="90" spans="1:28">
      <c r="A90" s="787" t="s">
        <v>217</v>
      </c>
      <c r="B90" s="788" t="s">
        <v>218</v>
      </c>
      <c r="C90" s="789">
        <v>1610</v>
      </c>
      <c r="D90" s="790">
        <v>491</v>
      </c>
      <c r="E90" s="790">
        <v>1094</v>
      </c>
      <c r="F90" s="791">
        <v>25</v>
      </c>
      <c r="G90" s="790"/>
      <c r="H90" s="789">
        <v>2092</v>
      </c>
      <c r="I90" s="790">
        <v>715</v>
      </c>
      <c r="J90" s="790">
        <v>1245</v>
      </c>
      <c r="K90" s="791">
        <v>132</v>
      </c>
      <c r="L90" s="790">
        <f t="shared" si="2"/>
        <v>3702</v>
      </c>
      <c r="M90" s="792"/>
      <c r="N90" s="792"/>
      <c r="O90" s="779">
        <v>0.65555555555555556</v>
      </c>
      <c r="P90" s="779">
        <v>0.3</v>
      </c>
      <c r="Q90" s="779">
        <v>472</v>
      </c>
      <c r="R90" s="779">
        <v>1085</v>
      </c>
      <c r="S90" s="779">
        <v>29</v>
      </c>
      <c r="T90" s="779">
        <v>1586</v>
      </c>
      <c r="U90" s="779">
        <v>655</v>
      </c>
      <c r="V90" s="779">
        <v>1218</v>
      </c>
      <c r="W90" s="779">
        <v>91</v>
      </c>
      <c r="X90" s="779">
        <v>1964</v>
      </c>
      <c r="Y90" s="779">
        <v>1127</v>
      </c>
      <c r="Z90" s="779">
        <v>2303</v>
      </c>
      <c r="AA90" s="779">
        <v>120</v>
      </c>
      <c r="AB90" s="779">
        <v>3550</v>
      </c>
    </row>
    <row r="91" spans="1:28">
      <c r="A91" s="787" t="s">
        <v>219</v>
      </c>
      <c r="B91" s="788" t="s">
        <v>220</v>
      </c>
      <c r="C91" s="789">
        <v>4662</v>
      </c>
      <c r="D91" s="790">
        <v>3130</v>
      </c>
      <c r="E91" s="790">
        <v>1273</v>
      </c>
      <c r="F91" s="791">
        <v>259</v>
      </c>
      <c r="G91" s="790"/>
      <c r="H91" s="789">
        <v>11272</v>
      </c>
      <c r="I91" s="790">
        <v>6430</v>
      </c>
      <c r="J91" s="790">
        <v>3087</v>
      </c>
      <c r="K91" s="791">
        <v>1755</v>
      </c>
      <c r="L91" s="790">
        <f t="shared" si="2"/>
        <v>15934</v>
      </c>
      <c r="M91" s="792"/>
      <c r="N91" s="792"/>
      <c r="O91" s="779">
        <v>0.85060170237745814</v>
      </c>
      <c r="P91" s="779">
        <v>6.8095098326973871E-2</v>
      </c>
      <c r="Q91" s="779">
        <v>2988</v>
      </c>
      <c r="R91" s="779">
        <v>1262</v>
      </c>
      <c r="S91" s="779">
        <v>167</v>
      </c>
      <c r="T91" s="779">
        <v>4417</v>
      </c>
      <c r="U91" s="779">
        <v>5011</v>
      </c>
      <c r="V91" s="779">
        <v>2973</v>
      </c>
      <c r="W91" s="779">
        <v>1668</v>
      </c>
      <c r="X91" s="779">
        <v>9652</v>
      </c>
      <c r="Y91" s="779">
        <v>7999</v>
      </c>
      <c r="Z91" s="779">
        <v>4235</v>
      </c>
      <c r="AA91" s="779">
        <v>1835</v>
      </c>
      <c r="AB91" s="779">
        <v>14069</v>
      </c>
    </row>
    <row r="92" spans="1:28">
      <c r="A92" s="787" t="s">
        <v>221</v>
      </c>
      <c r="B92" s="788" t="s">
        <v>222</v>
      </c>
      <c r="C92" s="789">
        <v>3659</v>
      </c>
      <c r="D92" s="790">
        <v>2069</v>
      </c>
      <c r="E92" s="790">
        <v>1030</v>
      </c>
      <c r="F92" s="791">
        <v>560</v>
      </c>
      <c r="G92" s="790"/>
      <c r="H92" s="789">
        <v>9429</v>
      </c>
      <c r="I92" s="790">
        <v>4469</v>
      </c>
      <c r="J92" s="790">
        <v>2607</v>
      </c>
      <c r="K92" s="791">
        <v>2353</v>
      </c>
      <c r="L92" s="790">
        <f t="shared" si="2"/>
        <v>13088</v>
      </c>
      <c r="M92" s="792"/>
      <c r="N92" s="792"/>
      <c r="O92" s="779">
        <v>0.8570785505289219</v>
      </c>
      <c r="P92" s="779">
        <v>8.3952284492460047E-2</v>
      </c>
      <c r="Q92" s="779">
        <v>1916</v>
      </c>
      <c r="R92" s="779">
        <v>1015</v>
      </c>
      <c r="S92" s="779">
        <v>179</v>
      </c>
      <c r="T92" s="779">
        <v>3110</v>
      </c>
      <c r="U92" s="779">
        <v>3093</v>
      </c>
      <c r="V92" s="779">
        <v>2472</v>
      </c>
      <c r="W92" s="779">
        <v>1606</v>
      </c>
      <c r="X92" s="779">
        <v>7171</v>
      </c>
      <c r="Y92" s="779">
        <v>5009</v>
      </c>
      <c r="Z92" s="779">
        <v>3487</v>
      </c>
      <c r="AA92" s="779">
        <v>1785</v>
      </c>
      <c r="AB92" s="779">
        <v>10281</v>
      </c>
    </row>
    <row r="93" spans="1:28">
      <c r="A93" s="787" t="s">
        <v>225</v>
      </c>
      <c r="B93" s="788" t="s">
        <v>226</v>
      </c>
      <c r="C93" s="789">
        <v>527</v>
      </c>
      <c r="D93" s="790">
        <v>176</v>
      </c>
      <c r="E93" s="790">
        <v>342</v>
      </c>
      <c r="F93" s="791">
        <v>9</v>
      </c>
      <c r="G93" s="790"/>
      <c r="H93" s="789">
        <v>785</v>
      </c>
      <c r="I93" s="790">
        <v>268</v>
      </c>
      <c r="J93" s="790">
        <v>486</v>
      </c>
      <c r="K93" s="791">
        <v>31</v>
      </c>
      <c r="L93" s="790">
        <f t="shared" si="2"/>
        <v>1312</v>
      </c>
      <c r="M93" s="792"/>
      <c r="N93" s="792"/>
      <c r="O93" s="779">
        <v>0.55555555555555558</v>
      </c>
      <c r="P93" s="779">
        <v>0.37037037037037035</v>
      </c>
      <c r="Q93" s="779">
        <v>173</v>
      </c>
      <c r="R93" s="779">
        <v>340</v>
      </c>
      <c r="S93" s="779">
        <v>5</v>
      </c>
      <c r="T93" s="779">
        <v>518</v>
      </c>
      <c r="U93" s="779">
        <v>258</v>
      </c>
      <c r="V93" s="779">
        <v>479</v>
      </c>
      <c r="W93" s="779">
        <v>18</v>
      </c>
      <c r="X93" s="779">
        <v>755</v>
      </c>
      <c r="Y93" s="779">
        <v>431</v>
      </c>
      <c r="Z93" s="779">
        <v>819</v>
      </c>
      <c r="AA93" s="779">
        <v>23</v>
      </c>
      <c r="AB93" s="779">
        <v>1273</v>
      </c>
    </row>
    <row r="94" spans="1:28">
      <c r="A94" s="787" t="s">
        <v>227</v>
      </c>
      <c r="B94" s="788" t="s">
        <v>228</v>
      </c>
      <c r="C94" s="789">
        <v>982</v>
      </c>
      <c r="D94" s="790">
        <v>226</v>
      </c>
      <c r="E94" s="790">
        <v>736</v>
      </c>
      <c r="F94" s="791">
        <v>20</v>
      </c>
      <c r="G94" s="790"/>
      <c r="H94" s="789">
        <v>1337</v>
      </c>
      <c r="I94" s="790">
        <v>297</v>
      </c>
      <c r="J94" s="790">
        <v>866</v>
      </c>
      <c r="K94" s="791">
        <v>174</v>
      </c>
      <c r="L94" s="790">
        <f t="shared" si="2"/>
        <v>2319</v>
      </c>
      <c r="M94" s="792"/>
      <c r="N94" s="792"/>
      <c r="O94" s="779">
        <v>0.68965517241379315</v>
      </c>
      <c r="P94" s="779">
        <v>0.28735632183908044</v>
      </c>
      <c r="Q94" s="779">
        <v>221</v>
      </c>
      <c r="R94" s="779">
        <v>734</v>
      </c>
      <c r="S94" s="779">
        <v>7</v>
      </c>
      <c r="T94" s="779">
        <v>962</v>
      </c>
      <c r="U94" s="779">
        <v>263</v>
      </c>
      <c r="V94" s="779">
        <v>852</v>
      </c>
      <c r="W94" s="779">
        <v>49</v>
      </c>
      <c r="X94" s="779">
        <v>1164</v>
      </c>
      <c r="Y94" s="779">
        <v>484</v>
      </c>
      <c r="Z94" s="779">
        <v>1586</v>
      </c>
      <c r="AA94" s="779">
        <v>56</v>
      </c>
      <c r="AB94" s="779">
        <v>2126</v>
      </c>
    </row>
    <row r="95" spans="1:28">
      <c r="A95" s="787" t="s">
        <v>229</v>
      </c>
      <c r="B95" s="788" t="s">
        <v>230</v>
      </c>
      <c r="C95" s="789">
        <v>4723</v>
      </c>
      <c r="D95" s="790">
        <v>4470</v>
      </c>
      <c r="E95" s="790">
        <v>142</v>
      </c>
      <c r="F95" s="791">
        <v>111</v>
      </c>
      <c r="G95" s="790"/>
      <c r="H95" s="789">
        <v>5811</v>
      </c>
      <c r="I95" s="790">
        <v>5115</v>
      </c>
      <c r="J95" s="790">
        <v>242</v>
      </c>
      <c r="K95" s="791">
        <v>454</v>
      </c>
      <c r="L95" s="790">
        <f t="shared" si="2"/>
        <v>10534</v>
      </c>
      <c r="M95" s="792"/>
      <c r="N95" s="792"/>
      <c r="O95" s="779">
        <v>0.84523809523809523</v>
      </c>
      <c r="P95" s="779">
        <v>5.9523809523809521E-2</v>
      </c>
      <c r="Q95" s="779">
        <v>4446</v>
      </c>
      <c r="R95" s="779">
        <v>140</v>
      </c>
      <c r="S95" s="779">
        <v>28</v>
      </c>
      <c r="T95" s="779">
        <v>4614</v>
      </c>
      <c r="U95" s="779">
        <v>4946</v>
      </c>
      <c r="V95" s="779">
        <v>230</v>
      </c>
      <c r="W95" s="779">
        <v>200</v>
      </c>
      <c r="X95" s="779">
        <v>5376</v>
      </c>
      <c r="Y95" s="779">
        <v>9392</v>
      </c>
      <c r="Z95" s="779">
        <v>370</v>
      </c>
      <c r="AA95" s="779">
        <v>228</v>
      </c>
      <c r="AB95" s="779">
        <v>9990</v>
      </c>
    </row>
    <row r="96" spans="1:28">
      <c r="A96" s="787" t="s">
        <v>233</v>
      </c>
      <c r="B96" s="788" t="s">
        <v>234</v>
      </c>
      <c r="C96" s="789">
        <v>2080</v>
      </c>
      <c r="D96" s="790">
        <v>1746</v>
      </c>
      <c r="E96" s="790">
        <v>213</v>
      </c>
      <c r="F96" s="791">
        <v>121</v>
      </c>
      <c r="G96" s="790"/>
      <c r="H96" s="789">
        <v>3819</v>
      </c>
      <c r="I96" s="790">
        <v>2971</v>
      </c>
      <c r="J96" s="790">
        <v>379</v>
      </c>
      <c r="K96" s="791">
        <v>469</v>
      </c>
      <c r="L96" s="790">
        <f t="shared" si="2"/>
        <v>5899</v>
      </c>
      <c r="M96" s="792"/>
      <c r="N96" s="792"/>
      <c r="O96" s="779">
        <v>0.9356435643564357</v>
      </c>
      <c r="P96" s="779">
        <v>2.7227722772277228E-2</v>
      </c>
      <c r="Q96" s="779">
        <v>1710</v>
      </c>
      <c r="R96" s="779">
        <v>212</v>
      </c>
      <c r="S96" s="779">
        <v>38</v>
      </c>
      <c r="T96" s="779">
        <v>1960</v>
      </c>
      <c r="U96" s="779">
        <v>2714</v>
      </c>
      <c r="V96" s="779">
        <v>372</v>
      </c>
      <c r="W96" s="779">
        <v>275</v>
      </c>
      <c r="X96" s="779">
        <v>3361</v>
      </c>
      <c r="Y96" s="779">
        <v>4424</v>
      </c>
      <c r="Z96" s="779">
        <v>584</v>
      </c>
      <c r="AA96" s="779">
        <v>313</v>
      </c>
      <c r="AB96" s="779">
        <v>5321</v>
      </c>
    </row>
    <row r="97" spans="1:28">
      <c r="A97" s="787" t="s">
        <v>235</v>
      </c>
      <c r="B97" s="788" t="s">
        <v>236</v>
      </c>
      <c r="C97" s="789">
        <v>4638</v>
      </c>
      <c r="D97" s="790">
        <v>4522</v>
      </c>
      <c r="E97" s="790">
        <v>88</v>
      </c>
      <c r="F97" s="791">
        <v>28</v>
      </c>
      <c r="G97" s="790"/>
      <c r="H97" s="789">
        <v>5469</v>
      </c>
      <c r="I97" s="790">
        <v>5081</v>
      </c>
      <c r="J97" s="790">
        <v>138</v>
      </c>
      <c r="K97" s="791">
        <v>250</v>
      </c>
      <c r="L97" s="790">
        <f t="shared" si="2"/>
        <v>10107</v>
      </c>
      <c r="M97" s="792"/>
      <c r="N97" s="792"/>
      <c r="O97" s="779">
        <v>0.94372294372294374</v>
      </c>
      <c r="P97" s="779">
        <v>1.2987012987012988E-2</v>
      </c>
      <c r="Q97" s="779">
        <v>4509</v>
      </c>
      <c r="R97" s="779">
        <v>88</v>
      </c>
      <c r="S97" s="779">
        <v>14</v>
      </c>
      <c r="T97" s="779">
        <v>4611</v>
      </c>
      <c r="U97" s="779">
        <v>4896</v>
      </c>
      <c r="V97" s="779">
        <v>135</v>
      </c>
      <c r="W97" s="779">
        <v>196</v>
      </c>
      <c r="X97" s="779">
        <v>5227</v>
      </c>
      <c r="Y97" s="779">
        <v>9405</v>
      </c>
      <c r="Z97" s="779">
        <v>223</v>
      </c>
      <c r="AA97" s="779">
        <v>210</v>
      </c>
      <c r="AB97" s="779">
        <v>9838</v>
      </c>
    </row>
    <row r="98" spans="1:28">
      <c r="A98" s="787" t="s">
        <v>237</v>
      </c>
      <c r="B98" s="788" t="s">
        <v>238</v>
      </c>
      <c r="C98" s="789">
        <v>1637</v>
      </c>
      <c r="D98" s="790">
        <v>802</v>
      </c>
      <c r="E98" s="790">
        <v>780</v>
      </c>
      <c r="F98" s="791">
        <v>55</v>
      </c>
      <c r="G98" s="790"/>
      <c r="H98" s="789">
        <v>2314</v>
      </c>
      <c r="I98" s="790">
        <v>1008</v>
      </c>
      <c r="J98" s="790">
        <v>1044</v>
      </c>
      <c r="K98" s="791">
        <v>262</v>
      </c>
      <c r="L98" s="790">
        <f t="shared" si="2"/>
        <v>3951</v>
      </c>
      <c r="M98" s="792"/>
      <c r="N98" s="792"/>
      <c r="O98" s="779">
        <v>0.90224032586558045</v>
      </c>
      <c r="P98" s="779">
        <v>6.720977596741344E-2</v>
      </c>
      <c r="Q98" s="779">
        <v>770</v>
      </c>
      <c r="R98" s="779">
        <v>778</v>
      </c>
      <c r="S98" s="779">
        <v>35</v>
      </c>
      <c r="T98" s="779">
        <v>1583</v>
      </c>
      <c r="U98" s="779">
        <v>773</v>
      </c>
      <c r="V98" s="779">
        <v>1026</v>
      </c>
      <c r="W98" s="779">
        <v>261</v>
      </c>
      <c r="X98" s="779">
        <v>2060</v>
      </c>
      <c r="Y98" s="779">
        <v>1543</v>
      </c>
      <c r="Z98" s="779">
        <v>1804</v>
      </c>
      <c r="AA98" s="779">
        <v>296</v>
      </c>
      <c r="AB98" s="779">
        <v>3643</v>
      </c>
    </row>
    <row r="99" spans="1:28">
      <c r="A99" s="787" t="s">
        <v>243</v>
      </c>
      <c r="B99" s="788" t="s">
        <v>244</v>
      </c>
      <c r="C99" s="789">
        <v>5537</v>
      </c>
      <c r="D99" s="790">
        <v>5297</v>
      </c>
      <c r="E99" s="790">
        <v>126</v>
      </c>
      <c r="F99" s="791">
        <v>114</v>
      </c>
      <c r="G99" s="790"/>
      <c r="H99" s="789">
        <v>5945</v>
      </c>
      <c r="I99" s="790">
        <v>5278</v>
      </c>
      <c r="J99" s="790">
        <v>169</v>
      </c>
      <c r="K99" s="791">
        <v>498</v>
      </c>
      <c r="L99" s="790">
        <f t="shared" si="2"/>
        <v>11482</v>
      </c>
      <c r="M99" s="792"/>
      <c r="N99" s="792"/>
      <c r="O99" s="779">
        <v>0.83098591549295775</v>
      </c>
      <c r="P99" s="779">
        <v>5.6338028169014086E-2</v>
      </c>
      <c r="Q99" s="779">
        <v>5268</v>
      </c>
      <c r="R99" s="779">
        <v>124</v>
      </c>
      <c r="S99" s="779">
        <v>35</v>
      </c>
      <c r="T99" s="779">
        <v>5427</v>
      </c>
      <c r="U99" s="779">
        <v>5133</v>
      </c>
      <c r="V99" s="779">
        <v>159</v>
      </c>
      <c r="W99" s="779">
        <v>175</v>
      </c>
      <c r="X99" s="779">
        <v>5467</v>
      </c>
      <c r="Y99" s="779">
        <v>10401</v>
      </c>
      <c r="Z99" s="779">
        <v>283</v>
      </c>
      <c r="AA99" s="779">
        <v>210</v>
      </c>
      <c r="AB99" s="779">
        <v>10894</v>
      </c>
    </row>
    <row r="100" spans="1:28">
      <c r="A100" s="793" t="s">
        <v>245</v>
      </c>
      <c r="B100" s="788" t="s">
        <v>246</v>
      </c>
      <c r="C100" s="789">
        <v>2787</v>
      </c>
      <c r="D100" s="790">
        <v>2589</v>
      </c>
      <c r="E100" s="790">
        <v>121</v>
      </c>
      <c r="F100" s="791">
        <v>77</v>
      </c>
      <c r="G100" s="790"/>
      <c r="H100" s="789">
        <v>3384</v>
      </c>
      <c r="I100" s="790">
        <v>2827</v>
      </c>
      <c r="J100" s="790">
        <v>189</v>
      </c>
      <c r="K100" s="791">
        <v>368</v>
      </c>
      <c r="L100" s="790">
        <f t="shared" si="2"/>
        <v>6171</v>
      </c>
      <c r="M100" s="792"/>
      <c r="N100" s="792"/>
      <c r="O100" s="779">
        <v>0.87951807228915657</v>
      </c>
      <c r="P100" s="779">
        <v>9.6385542168674704E-2</v>
      </c>
      <c r="Q100" s="779">
        <v>2579</v>
      </c>
      <c r="R100" s="779">
        <v>120</v>
      </c>
      <c r="S100" s="779">
        <v>11</v>
      </c>
      <c r="T100" s="779">
        <v>2710</v>
      </c>
      <c r="U100" s="779">
        <v>2778</v>
      </c>
      <c r="V100" s="779">
        <v>184</v>
      </c>
      <c r="W100" s="779">
        <v>56</v>
      </c>
      <c r="X100" s="779">
        <v>3018</v>
      </c>
      <c r="Y100" s="779">
        <v>5357</v>
      </c>
      <c r="Z100" s="779">
        <v>304</v>
      </c>
      <c r="AA100" s="779">
        <v>67</v>
      </c>
      <c r="AB100" s="779">
        <v>5728</v>
      </c>
    </row>
    <row r="101" spans="1:28">
      <c r="A101" s="787" t="s">
        <v>247</v>
      </c>
      <c r="B101" s="788" t="s">
        <v>248</v>
      </c>
      <c r="C101" s="789">
        <v>1675</v>
      </c>
      <c r="D101" s="790">
        <v>1017</v>
      </c>
      <c r="E101" s="790">
        <v>517</v>
      </c>
      <c r="F101" s="791">
        <v>141</v>
      </c>
      <c r="G101" s="790"/>
      <c r="H101" s="789">
        <v>3320</v>
      </c>
      <c r="I101" s="790">
        <v>1953</v>
      </c>
      <c r="J101" s="790">
        <v>1008</v>
      </c>
      <c r="K101" s="791">
        <v>359</v>
      </c>
      <c r="L101" s="790">
        <f t="shared" si="2"/>
        <v>4995</v>
      </c>
      <c r="M101" s="792"/>
      <c r="N101" s="792"/>
      <c r="O101" s="779">
        <v>0.87913907284768211</v>
      </c>
      <c r="P101" s="779">
        <v>6.3741721854304642E-2</v>
      </c>
      <c r="Q101" s="779">
        <v>977</v>
      </c>
      <c r="R101" s="779">
        <v>514</v>
      </c>
      <c r="S101" s="779">
        <v>46</v>
      </c>
      <c r="T101" s="779">
        <v>1537</v>
      </c>
      <c r="U101" s="779">
        <v>1760</v>
      </c>
      <c r="V101" s="779">
        <v>994</v>
      </c>
      <c r="W101" s="779">
        <v>220</v>
      </c>
      <c r="X101" s="779">
        <v>2974</v>
      </c>
      <c r="Y101" s="779">
        <v>2737</v>
      </c>
      <c r="Z101" s="779">
        <v>1508</v>
      </c>
      <c r="AA101" s="779">
        <v>266</v>
      </c>
      <c r="AB101" s="779">
        <v>4511</v>
      </c>
    </row>
    <row r="102" spans="1:28">
      <c r="A102" s="787" t="s">
        <v>14</v>
      </c>
      <c r="B102" s="788" t="s">
        <v>15</v>
      </c>
      <c r="C102" s="789">
        <v>4069</v>
      </c>
      <c r="D102" s="790">
        <v>1252</v>
      </c>
      <c r="E102" s="790">
        <v>2310</v>
      </c>
      <c r="F102" s="791">
        <v>507</v>
      </c>
      <c r="G102" s="790"/>
      <c r="H102" s="789">
        <v>10588</v>
      </c>
      <c r="I102" s="790">
        <v>4550</v>
      </c>
      <c r="J102" s="790">
        <v>4455</v>
      </c>
      <c r="K102" s="791">
        <v>1583</v>
      </c>
      <c r="L102" s="790">
        <f t="shared" si="2"/>
        <v>14657</v>
      </c>
      <c r="M102" s="792"/>
      <c r="N102" s="792"/>
      <c r="O102" s="779">
        <v>0.83581033262561921</v>
      </c>
      <c r="P102" s="779">
        <v>0.10445859872611465</v>
      </c>
      <c r="Q102" s="779">
        <v>877</v>
      </c>
      <c r="R102" s="779">
        <v>2263</v>
      </c>
      <c r="S102" s="779">
        <v>449</v>
      </c>
      <c r="T102" s="779">
        <v>3589</v>
      </c>
      <c r="U102" s="779">
        <v>527</v>
      </c>
      <c r="V102" s="779">
        <v>3952</v>
      </c>
      <c r="W102" s="779">
        <v>4813</v>
      </c>
      <c r="X102" s="779">
        <v>9292</v>
      </c>
      <c r="Y102" s="779">
        <v>1404</v>
      </c>
      <c r="Z102" s="779">
        <v>6215</v>
      </c>
      <c r="AA102" s="779">
        <v>5262</v>
      </c>
      <c r="AB102" s="779">
        <v>12881</v>
      </c>
    </row>
    <row r="103" spans="1:28">
      <c r="A103" s="787" t="s">
        <v>35</v>
      </c>
      <c r="B103" s="788" t="s">
        <v>36</v>
      </c>
      <c r="C103" s="789">
        <v>2678</v>
      </c>
      <c r="D103" s="790">
        <v>2422</v>
      </c>
      <c r="E103" s="790">
        <v>226</v>
      </c>
      <c r="F103" s="791">
        <v>30</v>
      </c>
      <c r="G103" s="790"/>
      <c r="H103" s="789">
        <v>3085</v>
      </c>
      <c r="I103" s="790">
        <v>2501</v>
      </c>
      <c r="J103" s="790">
        <v>375</v>
      </c>
      <c r="K103" s="791">
        <v>209</v>
      </c>
      <c r="L103" s="790">
        <f t="shared" ref="L103:L126" si="3">+H103+C103</f>
        <v>5763</v>
      </c>
      <c r="M103" s="792"/>
      <c r="N103" s="792"/>
      <c r="O103" s="779">
        <v>0.84677419354838712</v>
      </c>
      <c r="P103" s="779">
        <v>0.11290322580645161</v>
      </c>
      <c r="Q103" s="779">
        <v>2414</v>
      </c>
      <c r="R103" s="779">
        <v>225</v>
      </c>
      <c r="S103" s="779">
        <v>9</v>
      </c>
      <c r="T103" s="779">
        <v>2648</v>
      </c>
      <c r="U103" s="779">
        <v>2438</v>
      </c>
      <c r="V103" s="779">
        <v>367</v>
      </c>
      <c r="W103" s="779">
        <v>74</v>
      </c>
      <c r="X103" s="779">
        <v>2879</v>
      </c>
      <c r="Y103" s="779">
        <v>4852</v>
      </c>
      <c r="Z103" s="779">
        <v>592</v>
      </c>
      <c r="AA103" s="779">
        <v>83</v>
      </c>
      <c r="AB103" s="779">
        <v>5527</v>
      </c>
    </row>
    <row r="104" spans="1:28">
      <c r="A104" s="787" t="s">
        <v>53</v>
      </c>
      <c r="B104" s="788" t="s">
        <v>54</v>
      </c>
      <c r="C104" s="789">
        <v>3044</v>
      </c>
      <c r="D104" s="790">
        <v>1306</v>
      </c>
      <c r="E104" s="790">
        <v>1513</v>
      </c>
      <c r="F104" s="791">
        <v>225</v>
      </c>
      <c r="G104" s="790"/>
      <c r="H104" s="789">
        <v>4347</v>
      </c>
      <c r="I104" s="790">
        <v>1295</v>
      </c>
      <c r="J104" s="790">
        <v>2532</v>
      </c>
      <c r="K104" s="791">
        <v>520</v>
      </c>
      <c r="L104" s="790">
        <f t="shared" si="3"/>
        <v>7391</v>
      </c>
      <c r="M104" s="792"/>
      <c r="N104" s="792"/>
      <c r="O104" s="779">
        <v>0.77758620689655178</v>
      </c>
      <c r="P104" s="779">
        <v>0.14310344827586208</v>
      </c>
      <c r="Q104" s="779">
        <v>1266</v>
      </c>
      <c r="R104" s="779">
        <v>1506</v>
      </c>
      <c r="S104" s="779">
        <v>52</v>
      </c>
      <c r="T104" s="779">
        <v>2824</v>
      </c>
      <c r="U104" s="779">
        <v>941</v>
      </c>
      <c r="V104" s="779">
        <v>2467</v>
      </c>
      <c r="W104" s="779">
        <v>455</v>
      </c>
      <c r="X104" s="779">
        <v>3863</v>
      </c>
      <c r="Y104" s="779">
        <v>2207</v>
      </c>
      <c r="Z104" s="779">
        <v>3973</v>
      </c>
      <c r="AA104" s="779">
        <v>507</v>
      </c>
      <c r="AB104" s="779">
        <v>6687</v>
      </c>
    </row>
    <row r="105" spans="1:28">
      <c r="A105" s="787" t="s">
        <v>55</v>
      </c>
      <c r="B105" s="788" t="s">
        <v>56</v>
      </c>
      <c r="C105" s="789">
        <v>10192</v>
      </c>
      <c r="D105" s="790">
        <v>4002</v>
      </c>
      <c r="E105" s="790">
        <v>5747</v>
      </c>
      <c r="F105" s="791">
        <v>443</v>
      </c>
      <c r="G105" s="790"/>
      <c r="H105" s="789">
        <v>19831</v>
      </c>
      <c r="I105" s="790">
        <v>6324</v>
      </c>
      <c r="J105" s="790">
        <v>11766</v>
      </c>
      <c r="K105" s="791">
        <v>1741</v>
      </c>
      <c r="L105" s="790">
        <f t="shared" si="3"/>
        <v>30023</v>
      </c>
      <c r="M105" s="792"/>
      <c r="N105" s="792"/>
      <c r="O105" s="779">
        <v>0.80851063829787229</v>
      </c>
      <c r="P105" s="779">
        <v>0.12045298558682224</v>
      </c>
      <c r="Q105" s="779">
        <v>3823</v>
      </c>
      <c r="R105" s="779">
        <v>5720</v>
      </c>
      <c r="S105" s="779">
        <v>222</v>
      </c>
      <c r="T105" s="779">
        <v>9765</v>
      </c>
      <c r="U105" s="779">
        <v>5439</v>
      </c>
      <c r="V105" s="779">
        <v>11634</v>
      </c>
      <c r="W105" s="779">
        <v>1094</v>
      </c>
      <c r="X105" s="779">
        <v>18167</v>
      </c>
      <c r="Y105" s="779">
        <v>9262</v>
      </c>
      <c r="Z105" s="779">
        <v>17354</v>
      </c>
      <c r="AA105" s="779">
        <v>1316</v>
      </c>
      <c r="AB105" s="779">
        <v>27932</v>
      </c>
    </row>
    <row r="106" spans="1:28">
      <c r="A106" s="787" t="s">
        <v>67</v>
      </c>
      <c r="B106" s="788" t="s">
        <v>68</v>
      </c>
      <c r="C106" s="789">
        <v>6699</v>
      </c>
      <c r="D106" s="790">
        <v>2386</v>
      </c>
      <c r="E106" s="790">
        <v>4153</v>
      </c>
      <c r="F106" s="791">
        <v>160</v>
      </c>
      <c r="G106" s="790"/>
      <c r="H106" s="789">
        <v>8366</v>
      </c>
      <c r="I106" s="790">
        <v>2049</v>
      </c>
      <c r="J106" s="790">
        <v>5661</v>
      </c>
      <c r="K106" s="791">
        <v>656</v>
      </c>
      <c r="L106" s="790">
        <f t="shared" si="3"/>
        <v>15065</v>
      </c>
      <c r="M106" s="792"/>
      <c r="N106" s="792"/>
      <c r="O106" s="779">
        <v>0.79710144927536231</v>
      </c>
      <c r="P106" s="779">
        <v>0.15942028985507245</v>
      </c>
      <c r="Q106" s="779">
        <v>2329</v>
      </c>
      <c r="R106" s="779">
        <v>4142</v>
      </c>
      <c r="S106" s="779">
        <v>72</v>
      </c>
      <c r="T106" s="779">
        <v>6543</v>
      </c>
      <c r="U106" s="779">
        <v>1624</v>
      </c>
      <c r="V106" s="779">
        <v>5576</v>
      </c>
      <c r="W106" s="779">
        <v>533</v>
      </c>
      <c r="X106" s="779">
        <v>7733</v>
      </c>
      <c r="Y106" s="779">
        <v>3953</v>
      </c>
      <c r="Z106" s="779">
        <v>9718</v>
      </c>
      <c r="AA106" s="779">
        <v>605</v>
      </c>
      <c r="AB106" s="779">
        <v>14276</v>
      </c>
    </row>
    <row r="107" spans="1:28">
      <c r="A107" s="787" t="s">
        <v>83</v>
      </c>
      <c r="B107" s="788" t="s">
        <v>84</v>
      </c>
      <c r="C107" s="789">
        <v>1197</v>
      </c>
      <c r="D107" s="790">
        <v>157</v>
      </c>
      <c r="E107" s="790">
        <v>1012</v>
      </c>
      <c r="F107" s="791">
        <v>28</v>
      </c>
      <c r="G107" s="790"/>
      <c r="H107" s="789">
        <v>1697</v>
      </c>
      <c r="I107" s="790">
        <v>189</v>
      </c>
      <c r="J107" s="790">
        <v>1335</v>
      </c>
      <c r="K107" s="791">
        <v>173</v>
      </c>
      <c r="L107" s="790">
        <f t="shared" si="3"/>
        <v>2894</v>
      </c>
      <c r="M107" s="792"/>
      <c r="N107" s="792"/>
      <c r="O107" s="779">
        <v>0.6333333333333333</v>
      </c>
      <c r="P107" s="779">
        <v>0.33333333333333331</v>
      </c>
      <c r="Q107" s="779">
        <v>152</v>
      </c>
      <c r="R107" s="779">
        <v>1009</v>
      </c>
      <c r="S107" s="779">
        <v>8</v>
      </c>
      <c r="T107" s="779">
        <v>1169</v>
      </c>
      <c r="U107" s="779">
        <v>178</v>
      </c>
      <c r="V107" s="779">
        <v>1329</v>
      </c>
      <c r="W107" s="779">
        <v>18</v>
      </c>
      <c r="X107" s="779">
        <v>1525</v>
      </c>
      <c r="Y107" s="779">
        <v>330</v>
      </c>
      <c r="Z107" s="779">
        <v>2338</v>
      </c>
      <c r="AA107" s="779">
        <v>26</v>
      </c>
      <c r="AB107" s="779">
        <v>2694</v>
      </c>
    </row>
    <row r="108" spans="1:28">
      <c r="A108" s="787" t="s">
        <v>89</v>
      </c>
      <c r="B108" s="788" t="s">
        <v>90</v>
      </c>
      <c r="C108" s="789">
        <v>1921</v>
      </c>
      <c r="D108" s="790">
        <v>979</v>
      </c>
      <c r="E108" s="790">
        <v>851</v>
      </c>
      <c r="F108" s="791">
        <v>91</v>
      </c>
      <c r="G108" s="790"/>
      <c r="H108" s="789">
        <v>3614</v>
      </c>
      <c r="I108" s="790">
        <v>1357</v>
      </c>
      <c r="J108" s="790">
        <v>1709</v>
      </c>
      <c r="K108" s="791">
        <v>548</v>
      </c>
      <c r="L108" s="790">
        <f t="shared" si="3"/>
        <v>5535</v>
      </c>
      <c r="M108" s="792"/>
      <c r="N108" s="792"/>
      <c r="O108" s="779">
        <v>0.77997671711292205</v>
      </c>
      <c r="P108" s="779">
        <v>0.10128055878928988</v>
      </c>
      <c r="Q108" s="779">
        <v>911</v>
      </c>
      <c r="R108" s="779">
        <v>842</v>
      </c>
      <c r="S108" s="779">
        <v>87</v>
      </c>
      <c r="T108" s="779">
        <v>1840</v>
      </c>
      <c r="U108" s="779">
        <v>836</v>
      </c>
      <c r="V108" s="779">
        <v>1641</v>
      </c>
      <c r="W108" s="779">
        <v>668</v>
      </c>
      <c r="X108" s="779">
        <v>3145</v>
      </c>
      <c r="Y108" s="779">
        <v>1747</v>
      </c>
      <c r="Z108" s="779">
        <v>2483</v>
      </c>
      <c r="AA108" s="779">
        <v>755</v>
      </c>
      <c r="AB108" s="779">
        <v>4985</v>
      </c>
    </row>
    <row r="109" spans="1:28">
      <c r="A109" s="787" t="s">
        <v>91</v>
      </c>
      <c r="B109" s="788" t="s">
        <v>92</v>
      </c>
      <c r="C109" s="789">
        <v>1106</v>
      </c>
      <c r="D109" s="790">
        <v>983</v>
      </c>
      <c r="E109" s="790">
        <v>104</v>
      </c>
      <c r="F109" s="791">
        <v>19</v>
      </c>
      <c r="G109" s="790"/>
      <c r="H109" s="789">
        <v>1380</v>
      </c>
      <c r="I109" s="790">
        <v>1154</v>
      </c>
      <c r="J109" s="790">
        <v>168</v>
      </c>
      <c r="K109" s="791">
        <v>58</v>
      </c>
      <c r="L109" s="790">
        <f t="shared" si="3"/>
        <v>2486</v>
      </c>
      <c r="M109" s="792"/>
      <c r="N109" s="792"/>
      <c r="O109" s="779">
        <v>0.92464358452138495</v>
      </c>
      <c r="P109" s="779">
        <v>5.4989816700610997E-2</v>
      </c>
      <c r="Q109" s="779">
        <v>969</v>
      </c>
      <c r="R109" s="779">
        <v>103</v>
      </c>
      <c r="S109" s="779">
        <v>15</v>
      </c>
      <c r="T109" s="779">
        <v>1087</v>
      </c>
      <c r="U109" s="779">
        <v>761</v>
      </c>
      <c r="V109" s="779">
        <v>145</v>
      </c>
      <c r="W109" s="779">
        <v>425</v>
      </c>
      <c r="X109" s="779">
        <v>1331</v>
      </c>
      <c r="Y109" s="779">
        <v>1730</v>
      </c>
      <c r="Z109" s="779">
        <v>248</v>
      </c>
      <c r="AA109" s="779">
        <v>440</v>
      </c>
      <c r="AB109" s="779">
        <v>2418</v>
      </c>
    </row>
    <row r="110" spans="1:28">
      <c r="A110" s="787" t="s">
        <v>107</v>
      </c>
      <c r="B110" s="788" t="s">
        <v>108</v>
      </c>
      <c r="C110" s="789">
        <v>9138</v>
      </c>
      <c r="D110" s="790">
        <v>2440</v>
      </c>
      <c r="E110" s="790">
        <v>6240</v>
      </c>
      <c r="F110" s="791">
        <v>458</v>
      </c>
      <c r="G110" s="790"/>
      <c r="H110" s="789">
        <v>17090</v>
      </c>
      <c r="I110" s="790">
        <v>3306</v>
      </c>
      <c r="J110" s="790">
        <v>11971</v>
      </c>
      <c r="K110" s="791">
        <v>1813</v>
      </c>
      <c r="L110" s="790">
        <f t="shared" si="3"/>
        <v>26228</v>
      </c>
      <c r="M110" s="792"/>
      <c r="N110" s="792"/>
      <c r="O110" s="779">
        <v>0.62042755344418055</v>
      </c>
      <c r="P110" s="779">
        <v>0.24798099762470308</v>
      </c>
      <c r="Q110" s="779">
        <v>2284</v>
      </c>
      <c r="R110" s="779">
        <v>6178</v>
      </c>
      <c r="S110" s="779">
        <v>252</v>
      </c>
      <c r="T110" s="779">
        <v>8714</v>
      </c>
      <c r="U110" s="779">
        <v>2805</v>
      </c>
      <c r="V110" s="779">
        <v>11771</v>
      </c>
      <c r="W110" s="779">
        <v>808</v>
      </c>
      <c r="X110" s="779">
        <v>15384</v>
      </c>
      <c r="Y110" s="779">
        <v>5089</v>
      </c>
      <c r="Z110" s="779">
        <v>17949</v>
      </c>
      <c r="AA110" s="779">
        <v>1060</v>
      </c>
      <c r="AB110" s="779">
        <v>24098</v>
      </c>
    </row>
    <row r="111" spans="1:28">
      <c r="A111" s="787" t="s">
        <v>117</v>
      </c>
      <c r="B111" s="788" t="s">
        <v>118</v>
      </c>
      <c r="C111" s="789">
        <v>2572</v>
      </c>
      <c r="D111" s="790">
        <v>1178</v>
      </c>
      <c r="E111" s="790">
        <v>1293</v>
      </c>
      <c r="F111" s="791">
        <v>101</v>
      </c>
      <c r="G111" s="790"/>
      <c r="H111" s="789">
        <v>4732</v>
      </c>
      <c r="I111" s="790">
        <v>1716</v>
      </c>
      <c r="J111" s="790">
        <v>2648</v>
      </c>
      <c r="K111" s="791">
        <v>368</v>
      </c>
      <c r="L111" s="790">
        <f t="shared" si="3"/>
        <v>7304</v>
      </c>
      <c r="M111" s="792"/>
      <c r="N111" s="792"/>
      <c r="O111" s="779">
        <v>0.75604395604395602</v>
      </c>
      <c r="P111" s="779">
        <v>0.17582417582417584</v>
      </c>
      <c r="Q111" s="779">
        <v>1131</v>
      </c>
      <c r="R111" s="779">
        <v>1282</v>
      </c>
      <c r="S111" s="779">
        <v>62</v>
      </c>
      <c r="T111" s="779">
        <v>2475</v>
      </c>
      <c r="U111" s="779">
        <v>1479</v>
      </c>
      <c r="V111" s="779">
        <v>2593</v>
      </c>
      <c r="W111" s="779">
        <v>314</v>
      </c>
      <c r="X111" s="779">
        <v>4386</v>
      </c>
      <c r="Y111" s="779">
        <v>2610</v>
      </c>
      <c r="Z111" s="779">
        <v>3875</v>
      </c>
      <c r="AA111" s="779">
        <v>376</v>
      </c>
      <c r="AB111" s="779">
        <v>6861</v>
      </c>
    </row>
    <row r="112" spans="1:28">
      <c r="A112" s="787" t="s">
        <v>139</v>
      </c>
      <c r="B112" s="788" t="s">
        <v>140</v>
      </c>
      <c r="C112" s="789">
        <v>6466</v>
      </c>
      <c r="D112" s="790">
        <v>2694</v>
      </c>
      <c r="E112" s="790">
        <v>3557</v>
      </c>
      <c r="F112" s="791">
        <v>215</v>
      </c>
      <c r="G112" s="790"/>
      <c r="H112" s="789">
        <v>9656</v>
      </c>
      <c r="I112" s="790">
        <v>2769</v>
      </c>
      <c r="J112" s="790">
        <v>5728</v>
      </c>
      <c r="K112" s="791">
        <v>1159</v>
      </c>
      <c r="L112" s="790">
        <f t="shared" si="3"/>
        <v>16122</v>
      </c>
      <c r="M112" s="792"/>
      <c r="N112" s="792"/>
      <c r="O112" s="779">
        <v>0.77695167286245348</v>
      </c>
      <c r="P112" s="779">
        <v>0.16914498141263939</v>
      </c>
      <c r="Q112" s="779">
        <v>2654</v>
      </c>
      <c r="R112" s="779">
        <v>3548</v>
      </c>
      <c r="S112" s="779">
        <v>52</v>
      </c>
      <c r="T112" s="779">
        <v>6254</v>
      </c>
      <c r="U112" s="779">
        <v>2506</v>
      </c>
      <c r="V112" s="779">
        <v>5671</v>
      </c>
      <c r="W112" s="779">
        <v>339</v>
      </c>
      <c r="X112" s="779">
        <v>8516</v>
      </c>
      <c r="Y112" s="779">
        <v>5160</v>
      </c>
      <c r="Z112" s="779">
        <v>9219</v>
      </c>
      <c r="AA112" s="779">
        <v>391</v>
      </c>
      <c r="AB112" s="779">
        <v>14770</v>
      </c>
    </row>
    <row r="113" spans="1:28">
      <c r="A113" s="787" t="s">
        <v>143</v>
      </c>
      <c r="B113" s="788" t="s">
        <v>144</v>
      </c>
      <c r="C113" s="789">
        <v>1220</v>
      </c>
      <c r="D113" s="790">
        <v>693</v>
      </c>
      <c r="E113" s="790">
        <v>394</v>
      </c>
      <c r="F113" s="791">
        <v>133</v>
      </c>
      <c r="G113" s="790"/>
      <c r="H113" s="789">
        <v>6099</v>
      </c>
      <c r="I113" s="790">
        <v>4127</v>
      </c>
      <c r="J113" s="790">
        <v>1055</v>
      </c>
      <c r="K113" s="791">
        <v>917</v>
      </c>
      <c r="L113" s="790">
        <f t="shared" si="3"/>
        <v>7319</v>
      </c>
      <c r="M113" s="792"/>
      <c r="N113" s="792"/>
      <c r="O113" s="779">
        <v>0.93513853904282118</v>
      </c>
      <c r="P113" s="779">
        <v>3.5894206549118388E-2</v>
      </c>
      <c r="Q113" s="779">
        <v>525</v>
      </c>
      <c r="R113" s="779">
        <v>388</v>
      </c>
      <c r="S113" s="779">
        <v>180</v>
      </c>
      <c r="T113" s="779">
        <v>1093</v>
      </c>
      <c r="U113" s="779">
        <v>641</v>
      </c>
      <c r="V113" s="779">
        <v>921</v>
      </c>
      <c r="W113" s="779">
        <v>3728</v>
      </c>
      <c r="X113" s="779">
        <v>5290</v>
      </c>
      <c r="Y113" s="779">
        <v>1166</v>
      </c>
      <c r="Z113" s="779">
        <v>1309</v>
      </c>
      <c r="AA113" s="779">
        <v>3908</v>
      </c>
      <c r="AB113" s="779">
        <v>6383</v>
      </c>
    </row>
    <row r="114" spans="1:28">
      <c r="A114" s="787" t="s">
        <v>145</v>
      </c>
      <c r="B114" s="788" t="s">
        <v>146</v>
      </c>
      <c r="C114" s="789">
        <v>450</v>
      </c>
      <c r="D114" s="790">
        <v>298</v>
      </c>
      <c r="E114" s="790">
        <v>104</v>
      </c>
      <c r="F114" s="791">
        <v>48</v>
      </c>
      <c r="G114" s="790"/>
      <c r="H114" s="789">
        <v>2010</v>
      </c>
      <c r="I114" s="790">
        <v>1398</v>
      </c>
      <c r="J114" s="790">
        <v>310</v>
      </c>
      <c r="K114" s="791">
        <v>302</v>
      </c>
      <c r="L114" s="790">
        <f t="shared" si="3"/>
        <v>2460</v>
      </c>
      <c r="M114" s="792"/>
      <c r="N114" s="792"/>
      <c r="O114" s="779">
        <v>0.90416391275611363</v>
      </c>
      <c r="P114" s="779">
        <v>7.534699272967614E-2</v>
      </c>
      <c r="Q114" s="779">
        <v>227</v>
      </c>
      <c r="R114" s="779">
        <v>98</v>
      </c>
      <c r="S114" s="779">
        <v>79</v>
      </c>
      <c r="T114" s="779">
        <v>404</v>
      </c>
      <c r="U114" s="779">
        <v>344</v>
      </c>
      <c r="V114" s="779">
        <v>222</v>
      </c>
      <c r="W114" s="779">
        <v>1166</v>
      </c>
      <c r="X114" s="779">
        <v>1732</v>
      </c>
      <c r="Y114" s="779">
        <v>571</v>
      </c>
      <c r="Z114" s="779">
        <v>320</v>
      </c>
      <c r="AA114" s="779">
        <v>1245</v>
      </c>
      <c r="AB114" s="779">
        <v>2136</v>
      </c>
    </row>
    <row r="115" spans="1:28">
      <c r="A115" s="787" t="s">
        <v>159</v>
      </c>
      <c r="B115" s="788" t="s">
        <v>160</v>
      </c>
      <c r="C115" s="789">
        <v>13894</v>
      </c>
      <c r="D115" s="790">
        <v>3617</v>
      </c>
      <c r="E115" s="790">
        <v>9512</v>
      </c>
      <c r="F115" s="791">
        <v>765</v>
      </c>
      <c r="G115" s="790"/>
      <c r="H115" s="789">
        <v>26925</v>
      </c>
      <c r="I115" s="790">
        <v>5251</v>
      </c>
      <c r="J115" s="790">
        <v>18758</v>
      </c>
      <c r="K115" s="791">
        <v>2916</v>
      </c>
      <c r="L115" s="790">
        <f t="shared" si="3"/>
        <v>40819</v>
      </c>
      <c r="M115" s="792"/>
      <c r="N115" s="792"/>
      <c r="O115" s="779">
        <v>0.66034063260340636</v>
      </c>
      <c r="P115" s="779">
        <v>0.22019464720194648</v>
      </c>
      <c r="Q115" s="779">
        <v>3247</v>
      </c>
      <c r="R115" s="779">
        <v>9389</v>
      </c>
      <c r="S115" s="779">
        <v>560</v>
      </c>
      <c r="T115" s="779">
        <v>13196</v>
      </c>
      <c r="U115" s="779">
        <v>3809</v>
      </c>
      <c r="V115" s="779">
        <v>18277</v>
      </c>
      <c r="W115" s="779">
        <v>2184</v>
      </c>
      <c r="X115" s="779">
        <v>24270</v>
      </c>
      <c r="Y115" s="779">
        <v>7056</v>
      </c>
      <c r="Z115" s="779">
        <v>27666</v>
      </c>
      <c r="AA115" s="779">
        <v>2744</v>
      </c>
      <c r="AB115" s="779">
        <v>37466</v>
      </c>
    </row>
    <row r="116" spans="1:28">
      <c r="A116" s="787" t="s">
        <v>161</v>
      </c>
      <c r="B116" s="788" t="s">
        <v>162</v>
      </c>
      <c r="C116" s="789">
        <v>18941</v>
      </c>
      <c r="D116" s="790">
        <v>4207</v>
      </c>
      <c r="E116" s="790">
        <v>13961</v>
      </c>
      <c r="F116" s="791">
        <v>773</v>
      </c>
      <c r="G116" s="790"/>
      <c r="H116" s="789">
        <v>33117</v>
      </c>
      <c r="I116" s="790">
        <v>5192</v>
      </c>
      <c r="J116" s="790">
        <v>24803</v>
      </c>
      <c r="K116" s="791">
        <v>3122</v>
      </c>
      <c r="L116" s="790">
        <f t="shared" si="3"/>
        <v>52058</v>
      </c>
      <c r="M116" s="792"/>
      <c r="N116" s="792"/>
      <c r="O116" s="779">
        <v>0.57014791573285517</v>
      </c>
      <c r="P116" s="779">
        <v>0.26109367996414162</v>
      </c>
      <c r="Q116" s="779">
        <v>3965</v>
      </c>
      <c r="R116" s="779">
        <v>13850</v>
      </c>
      <c r="S116" s="779">
        <v>425</v>
      </c>
      <c r="T116" s="779">
        <v>18240</v>
      </c>
      <c r="U116" s="779">
        <v>4172</v>
      </c>
      <c r="V116" s="779">
        <v>24336</v>
      </c>
      <c r="W116" s="779">
        <v>1789</v>
      </c>
      <c r="X116" s="779">
        <v>30297</v>
      </c>
      <c r="Y116" s="779">
        <v>8137</v>
      </c>
      <c r="Z116" s="779">
        <v>38186</v>
      </c>
      <c r="AA116" s="779">
        <v>2214</v>
      </c>
      <c r="AB116" s="779">
        <v>48537</v>
      </c>
    </row>
    <row r="117" spans="1:28">
      <c r="A117" s="787" t="s">
        <v>167</v>
      </c>
      <c r="B117" s="788" t="s">
        <v>168</v>
      </c>
      <c r="C117" s="789">
        <v>713</v>
      </c>
      <c r="D117" s="790">
        <v>640</v>
      </c>
      <c r="E117" s="790">
        <v>63</v>
      </c>
      <c r="F117" s="791">
        <v>10</v>
      </c>
      <c r="G117" s="790"/>
      <c r="H117" s="789">
        <v>679</v>
      </c>
      <c r="I117" s="790">
        <v>533</v>
      </c>
      <c r="J117" s="790">
        <v>79</v>
      </c>
      <c r="K117" s="791">
        <v>67</v>
      </c>
      <c r="L117" s="790">
        <f t="shared" si="3"/>
        <v>1392</v>
      </c>
      <c r="M117" s="792"/>
      <c r="N117" s="792"/>
      <c r="O117" s="779">
        <v>0.83333333333333337</v>
      </c>
      <c r="P117" s="779">
        <v>0.16666666666666666</v>
      </c>
      <c r="Q117" s="779">
        <v>637</v>
      </c>
      <c r="R117" s="779">
        <v>62</v>
      </c>
      <c r="S117" s="779">
        <v>3</v>
      </c>
      <c r="T117" s="779">
        <v>702</v>
      </c>
      <c r="U117" s="779">
        <v>505</v>
      </c>
      <c r="V117" s="779">
        <v>73</v>
      </c>
      <c r="W117" s="779">
        <v>33</v>
      </c>
      <c r="X117" s="779">
        <v>611</v>
      </c>
      <c r="Y117" s="779">
        <v>1142</v>
      </c>
      <c r="Z117" s="779">
        <v>135</v>
      </c>
      <c r="AA117" s="779">
        <v>36</v>
      </c>
      <c r="AB117" s="779">
        <v>1313</v>
      </c>
    </row>
    <row r="118" spans="1:28">
      <c r="A118" s="787" t="s">
        <v>177</v>
      </c>
      <c r="B118" s="788" t="s">
        <v>178</v>
      </c>
      <c r="C118" s="789">
        <v>4915</v>
      </c>
      <c r="D118" s="790">
        <v>539</v>
      </c>
      <c r="E118" s="790">
        <v>4246</v>
      </c>
      <c r="F118" s="791">
        <v>130</v>
      </c>
      <c r="G118" s="790"/>
      <c r="H118" s="789">
        <v>6915</v>
      </c>
      <c r="I118" s="790">
        <v>554</v>
      </c>
      <c r="J118" s="790">
        <v>5733</v>
      </c>
      <c r="K118" s="791">
        <v>628</v>
      </c>
      <c r="L118" s="790">
        <f t="shared" si="3"/>
        <v>11830</v>
      </c>
      <c r="M118" s="792"/>
      <c r="N118" s="792"/>
      <c r="O118" s="779">
        <v>0.61224489795918369</v>
      </c>
      <c r="P118" s="779">
        <v>0.30158730158730157</v>
      </c>
      <c r="Q118" s="779">
        <v>505</v>
      </c>
      <c r="R118" s="779">
        <v>4229</v>
      </c>
      <c r="S118" s="779">
        <v>55</v>
      </c>
      <c r="T118" s="779">
        <v>4789</v>
      </c>
      <c r="U118" s="779">
        <v>364</v>
      </c>
      <c r="V118" s="779">
        <v>5639</v>
      </c>
      <c r="W118" s="779">
        <v>311</v>
      </c>
      <c r="X118" s="779">
        <v>6314</v>
      </c>
      <c r="Y118" s="779">
        <v>869</v>
      </c>
      <c r="Z118" s="779">
        <v>9868</v>
      </c>
      <c r="AA118" s="779">
        <v>366</v>
      </c>
      <c r="AB118" s="779">
        <v>11103</v>
      </c>
    </row>
    <row r="119" spans="1:28">
      <c r="A119" s="787" t="s">
        <v>181</v>
      </c>
      <c r="B119" s="788" t="s">
        <v>182</v>
      </c>
      <c r="C119" s="789">
        <v>9249</v>
      </c>
      <c r="D119" s="790">
        <v>1916</v>
      </c>
      <c r="E119" s="790">
        <v>6982</v>
      </c>
      <c r="F119" s="791">
        <v>351</v>
      </c>
      <c r="G119" s="790"/>
      <c r="H119" s="789">
        <v>15992</v>
      </c>
      <c r="I119" s="790">
        <v>2305</v>
      </c>
      <c r="J119" s="790">
        <v>12436</v>
      </c>
      <c r="K119" s="791">
        <v>1251</v>
      </c>
      <c r="L119" s="790">
        <f t="shared" si="3"/>
        <v>25241</v>
      </c>
      <c r="M119" s="792"/>
      <c r="N119" s="792"/>
      <c r="O119" s="779">
        <v>0.57018498367791082</v>
      </c>
      <c r="P119" s="779">
        <v>0.31338411316648529</v>
      </c>
      <c r="Q119" s="779">
        <v>1852</v>
      </c>
      <c r="R119" s="779">
        <v>6947</v>
      </c>
      <c r="S119" s="779">
        <v>113</v>
      </c>
      <c r="T119" s="779">
        <v>8912</v>
      </c>
      <c r="U119" s="779">
        <v>2066</v>
      </c>
      <c r="V119" s="779">
        <v>12304</v>
      </c>
      <c r="W119" s="779">
        <v>420</v>
      </c>
      <c r="X119" s="779">
        <v>14790</v>
      </c>
      <c r="Y119" s="779">
        <v>3918</v>
      </c>
      <c r="Z119" s="779">
        <v>19251</v>
      </c>
      <c r="AA119" s="779">
        <v>533</v>
      </c>
      <c r="AB119" s="779">
        <v>23702</v>
      </c>
    </row>
    <row r="120" spans="1:28">
      <c r="A120" s="787" t="s">
        <v>193</v>
      </c>
      <c r="B120" s="788" t="s">
        <v>194</v>
      </c>
      <c r="C120" s="789">
        <v>924</v>
      </c>
      <c r="D120" s="790">
        <v>768</v>
      </c>
      <c r="E120" s="790">
        <v>144</v>
      </c>
      <c r="F120" s="791">
        <v>12</v>
      </c>
      <c r="G120" s="790"/>
      <c r="H120" s="789">
        <v>1314</v>
      </c>
      <c r="I120" s="790">
        <v>910</v>
      </c>
      <c r="J120" s="790">
        <v>264</v>
      </c>
      <c r="K120" s="791">
        <v>140</v>
      </c>
      <c r="L120" s="790">
        <f t="shared" si="3"/>
        <v>2238</v>
      </c>
      <c r="M120" s="792"/>
      <c r="N120" s="792"/>
      <c r="O120" s="779">
        <v>0.82352941176470584</v>
      </c>
      <c r="P120" s="779">
        <v>0.13235294117647059</v>
      </c>
      <c r="Q120" s="779">
        <v>761</v>
      </c>
      <c r="R120" s="779">
        <v>143</v>
      </c>
      <c r="S120" s="779">
        <v>9</v>
      </c>
      <c r="T120" s="779">
        <v>913</v>
      </c>
      <c r="U120" s="779">
        <v>863</v>
      </c>
      <c r="V120" s="779">
        <v>256</v>
      </c>
      <c r="W120" s="779">
        <v>57</v>
      </c>
      <c r="X120" s="779">
        <v>1176</v>
      </c>
      <c r="Y120" s="779">
        <v>1624</v>
      </c>
      <c r="Z120" s="779">
        <v>399</v>
      </c>
      <c r="AA120" s="779">
        <v>66</v>
      </c>
      <c r="AB120" s="779">
        <v>2089</v>
      </c>
    </row>
    <row r="121" spans="1:28">
      <c r="A121" s="787" t="s">
        <v>197</v>
      </c>
      <c r="B121" s="788" t="s">
        <v>198</v>
      </c>
      <c r="C121" s="789">
        <v>21613</v>
      </c>
      <c r="D121" s="790">
        <v>3258</v>
      </c>
      <c r="E121" s="790">
        <v>17543</v>
      </c>
      <c r="F121" s="791">
        <v>812</v>
      </c>
      <c r="G121" s="790"/>
      <c r="H121" s="789">
        <v>33947</v>
      </c>
      <c r="I121" s="790">
        <v>3866</v>
      </c>
      <c r="J121" s="790">
        <v>26884</v>
      </c>
      <c r="K121" s="791">
        <v>3197</v>
      </c>
      <c r="L121" s="790">
        <f t="shared" si="3"/>
        <v>55560</v>
      </c>
      <c r="M121" s="792"/>
      <c r="N121" s="792"/>
      <c r="O121" s="779">
        <v>0.70952955367913151</v>
      </c>
      <c r="P121" s="779">
        <v>0.18431845597104946</v>
      </c>
      <c r="Q121" s="779">
        <v>3060</v>
      </c>
      <c r="R121" s="779">
        <v>17492</v>
      </c>
      <c r="S121" s="779">
        <v>279</v>
      </c>
      <c r="T121" s="779">
        <v>20831</v>
      </c>
      <c r="U121" s="779">
        <v>1669</v>
      </c>
      <c r="V121" s="779">
        <v>26313</v>
      </c>
      <c r="W121" s="779">
        <v>3097</v>
      </c>
      <c r="X121" s="779">
        <v>31079</v>
      </c>
      <c r="Y121" s="779">
        <v>4729</v>
      </c>
      <c r="Z121" s="779">
        <v>43805</v>
      </c>
      <c r="AA121" s="779">
        <v>3376</v>
      </c>
      <c r="AB121" s="779">
        <v>51910</v>
      </c>
    </row>
    <row r="122" spans="1:28">
      <c r="A122" s="787" t="s">
        <v>201</v>
      </c>
      <c r="B122" s="788" t="s">
        <v>202</v>
      </c>
      <c r="C122" s="789">
        <v>11424</v>
      </c>
      <c r="D122" s="790">
        <v>6553</v>
      </c>
      <c r="E122" s="790">
        <v>4413</v>
      </c>
      <c r="F122" s="791">
        <v>458</v>
      </c>
      <c r="G122" s="790"/>
      <c r="H122" s="789">
        <v>16835</v>
      </c>
      <c r="I122" s="790">
        <v>7459</v>
      </c>
      <c r="J122" s="790">
        <v>7968</v>
      </c>
      <c r="K122" s="791">
        <v>1408</v>
      </c>
      <c r="L122" s="790">
        <f t="shared" si="3"/>
        <v>28259</v>
      </c>
      <c r="M122" s="792"/>
      <c r="N122" s="792"/>
      <c r="O122" s="779">
        <v>0.83534482758620687</v>
      </c>
      <c r="P122" s="779">
        <v>0.10086206896551723</v>
      </c>
      <c r="Q122" s="779">
        <v>6401</v>
      </c>
      <c r="R122" s="779">
        <v>4395</v>
      </c>
      <c r="S122" s="779">
        <v>182</v>
      </c>
      <c r="T122" s="779">
        <v>10978</v>
      </c>
      <c r="U122" s="779">
        <v>6142</v>
      </c>
      <c r="V122" s="779">
        <v>7809</v>
      </c>
      <c r="W122" s="779">
        <v>1577</v>
      </c>
      <c r="X122" s="779">
        <v>15528</v>
      </c>
      <c r="Y122" s="779">
        <v>12543</v>
      </c>
      <c r="Z122" s="779">
        <v>12204</v>
      </c>
      <c r="AA122" s="779">
        <v>1759</v>
      </c>
      <c r="AB122" s="779">
        <v>26506</v>
      </c>
    </row>
    <row r="123" spans="1:28">
      <c r="A123" s="787" t="s">
        <v>223</v>
      </c>
      <c r="B123" s="788" t="s">
        <v>224</v>
      </c>
      <c r="C123" s="789">
        <v>6129</v>
      </c>
      <c r="D123" s="790">
        <v>1415</v>
      </c>
      <c r="E123" s="790">
        <v>4505</v>
      </c>
      <c r="F123" s="791">
        <v>209</v>
      </c>
      <c r="G123" s="790"/>
      <c r="H123" s="789">
        <v>8987</v>
      </c>
      <c r="I123" s="790">
        <v>1834</v>
      </c>
      <c r="J123" s="790">
        <v>6322</v>
      </c>
      <c r="K123" s="791">
        <v>831</v>
      </c>
      <c r="L123" s="790">
        <f t="shared" si="3"/>
        <v>15116</v>
      </c>
      <c r="M123" s="792"/>
      <c r="N123" s="792"/>
      <c r="O123" s="779">
        <v>0.73937360178970912</v>
      </c>
      <c r="P123" s="779">
        <v>0.18344519015659955</v>
      </c>
      <c r="Q123" s="779">
        <v>1351</v>
      </c>
      <c r="R123" s="779">
        <v>4489</v>
      </c>
      <c r="S123" s="779">
        <v>87</v>
      </c>
      <c r="T123" s="779">
        <v>5927</v>
      </c>
      <c r="U123" s="779">
        <v>1594</v>
      </c>
      <c r="V123" s="779">
        <v>6263</v>
      </c>
      <c r="W123" s="779">
        <v>324</v>
      </c>
      <c r="X123" s="779">
        <v>8181</v>
      </c>
      <c r="Y123" s="779">
        <v>2945</v>
      </c>
      <c r="Z123" s="779">
        <v>10752</v>
      </c>
      <c r="AA123" s="779">
        <v>411</v>
      </c>
      <c r="AB123" s="779">
        <v>14108</v>
      </c>
    </row>
    <row r="124" spans="1:28">
      <c r="A124" s="787" t="s">
        <v>231</v>
      </c>
      <c r="B124" s="788" t="s">
        <v>232</v>
      </c>
      <c r="C124" s="789">
        <v>15170</v>
      </c>
      <c r="D124" s="790">
        <v>7598</v>
      </c>
      <c r="E124" s="790">
        <v>5872</v>
      </c>
      <c r="F124" s="791">
        <v>1700</v>
      </c>
      <c r="G124" s="790"/>
      <c r="H124" s="789">
        <v>31411</v>
      </c>
      <c r="I124" s="790">
        <v>11765</v>
      </c>
      <c r="J124" s="790">
        <v>14293</v>
      </c>
      <c r="K124" s="791">
        <v>5353</v>
      </c>
      <c r="L124" s="790">
        <f t="shared" si="3"/>
        <v>46581</v>
      </c>
      <c r="M124" s="792"/>
      <c r="N124" s="792"/>
      <c r="O124" s="779">
        <v>0.71357949959644873</v>
      </c>
      <c r="P124" s="779">
        <v>0.14336158192090395</v>
      </c>
      <c r="Q124" s="779">
        <v>7101</v>
      </c>
      <c r="R124" s="779">
        <v>5772</v>
      </c>
      <c r="S124" s="779">
        <v>697</v>
      </c>
      <c r="T124" s="779">
        <v>13570</v>
      </c>
      <c r="U124" s="779">
        <v>9830</v>
      </c>
      <c r="V124" s="779">
        <v>13904</v>
      </c>
      <c r="W124" s="779">
        <v>2712</v>
      </c>
      <c r="X124" s="779">
        <v>26446</v>
      </c>
      <c r="Y124" s="779">
        <v>16931</v>
      </c>
      <c r="Z124" s="779">
        <v>19676</v>
      </c>
      <c r="AA124" s="779">
        <v>3409</v>
      </c>
      <c r="AB124" s="779">
        <v>40016</v>
      </c>
    </row>
    <row r="125" spans="1:28">
      <c r="A125" s="787" t="s">
        <v>239</v>
      </c>
      <c r="B125" s="788" t="s">
        <v>240</v>
      </c>
      <c r="C125" s="789">
        <v>477</v>
      </c>
      <c r="D125" s="790">
        <v>225</v>
      </c>
      <c r="E125" s="790">
        <v>216</v>
      </c>
      <c r="F125" s="791">
        <v>36</v>
      </c>
      <c r="G125" s="790"/>
      <c r="H125" s="789">
        <v>1002</v>
      </c>
      <c r="I125" s="790">
        <v>361</v>
      </c>
      <c r="J125" s="790">
        <v>503</v>
      </c>
      <c r="K125" s="791">
        <v>138</v>
      </c>
      <c r="L125" s="790">
        <f t="shared" si="3"/>
        <v>1479</v>
      </c>
      <c r="M125" s="792"/>
      <c r="N125" s="792"/>
      <c r="O125" s="779">
        <v>0.79716981132075471</v>
      </c>
      <c r="P125" s="779">
        <v>9.9056603773584911E-2</v>
      </c>
      <c r="Q125" s="779">
        <v>199</v>
      </c>
      <c r="R125" s="779">
        <v>213</v>
      </c>
      <c r="S125" s="779">
        <v>33</v>
      </c>
      <c r="T125" s="779">
        <v>445</v>
      </c>
      <c r="U125" s="779">
        <v>245</v>
      </c>
      <c r="V125" s="779">
        <v>489</v>
      </c>
      <c r="W125" s="779">
        <v>145</v>
      </c>
      <c r="X125" s="779">
        <v>879</v>
      </c>
      <c r="Y125" s="779">
        <v>444</v>
      </c>
      <c r="Z125" s="779">
        <v>702</v>
      </c>
      <c r="AA125" s="779">
        <v>178</v>
      </c>
      <c r="AB125" s="779">
        <v>1324</v>
      </c>
    </row>
    <row r="126" spans="1:28">
      <c r="A126" s="787" t="s">
        <v>241</v>
      </c>
      <c r="B126" s="788" t="s">
        <v>242</v>
      </c>
      <c r="C126" s="789">
        <v>1885</v>
      </c>
      <c r="D126" s="790">
        <v>1382</v>
      </c>
      <c r="E126" s="790">
        <v>386</v>
      </c>
      <c r="F126" s="791">
        <v>117</v>
      </c>
      <c r="G126" s="790"/>
      <c r="H126" s="789">
        <v>4059</v>
      </c>
      <c r="I126" s="790">
        <v>2843</v>
      </c>
      <c r="J126" s="790">
        <v>733</v>
      </c>
      <c r="K126" s="791">
        <v>483</v>
      </c>
      <c r="L126" s="790">
        <f t="shared" si="3"/>
        <v>5944</v>
      </c>
      <c r="M126" s="792"/>
      <c r="N126" s="792"/>
      <c r="O126" s="779">
        <v>0.93911317008603579</v>
      </c>
      <c r="P126" s="779">
        <v>2.7796161482461945E-2</v>
      </c>
      <c r="Q126" s="779">
        <v>1328</v>
      </c>
      <c r="R126" s="779">
        <v>384</v>
      </c>
      <c r="S126" s="779">
        <v>57</v>
      </c>
      <c r="T126" s="779">
        <v>1769</v>
      </c>
      <c r="U126" s="779">
        <v>1428</v>
      </c>
      <c r="V126" s="779">
        <v>691</v>
      </c>
      <c r="W126" s="779">
        <v>1507</v>
      </c>
      <c r="X126" s="779">
        <v>3626</v>
      </c>
      <c r="Y126" s="779">
        <v>2756</v>
      </c>
      <c r="Z126" s="779">
        <v>1075</v>
      </c>
      <c r="AA126" s="779">
        <v>1564</v>
      </c>
      <c r="AB126" s="779">
        <v>5395</v>
      </c>
    </row>
    <row r="127" spans="1:28" ht="13.5" thickBot="1">
      <c r="A127" s="793" t="s">
        <v>8</v>
      </c>
      <c r="B127" s="794" t="s">
        <v>328</v>
      </c>
      <c r="C127" s="795">
        <f>SUM(C7:C126)</f>
        <v>427002</v>
      </c>
      <c r="D127" s="796">
        <f>SUM(D7:D126)</f>
        <v>233454</v>
      </c>
      <c r="E127" s="796">
        <f>SUM(E7:E126)</f>
        <v>166113</v>
      </c>
      <c r="F127" s="797">
        <f>SUM(F7:F126)</f>
        <v>27435</v>
      </c>
      <c r="G127" s="798"/>
      <c r="H127" s="795">
        <f>SUM(H7:H126)</f>
        <v>761740</v>
      </c>
      <c r="I127" s="796">
        <f>SUM(I7:I126)</f>
        <v>374232</v>
      </c>
      <c r="J127" s="796">
        <f>SUM(J7:J126)</f>
        <v>293366</v>
      </c>
      <c r="K127" s="797">
        <f>SUM(K7:K126)</f>
        <v>94142</v>
      </c>
      <c r="L127" s="798">
        <f>SUM(L7:L126)</f>
        <v>1188742</v>
      </c>
      <c r="O127" s="779">
        <v>0.86634814832078677</v>
      </c>
      <c r="P127" s="779">
        <v>7.5400284335889245E-2</v>
      </c>
      <c r="Q127" s="792">
        <f t="shared" ref="Q127:AB127" si="4">SUM(Q7:Q126)</f>
        <v>222863</v>
      </c>
      <c r="R127" s="792">
        <f t="shared" si="4"/>
        <v>164949</v>
      </c>
      <c r="S127" s="792">
        <f t="shared" si="4"/>
        <v>12571</v>
      </c>
      <c r="T127" s="792">
        <f t="shared" si="4"/>
        <v>400383</v>
      </c>
      <c r="U127" s="792">
        <f t="shared" si="4"/>
        <v>263945</v>
      </c>
      <c r="V127" s="792">
        <f t="shared" si="4"/>
        <v>284247</v>
      </c>
      <c r="W127" s="792">
        <f t="shared" si="4"/>
        <v>126246</v>
      </c>
      <c r="X127" s="792">
        <f t="shared" si="4"/>
        <v>674438</v>
      </c>
      <c r="Y127" s="792">
        <f t="shared" si="4"/>
        <v>486808</v>
      </c>
      <c r="Z127" s="792">
        <f t="shared" si="4"/>
        <v>449196</v>
      </c>
      <c r="AA127" s="792">
        <f t="shared" si="4"/>
        <v>138817</v>
      </c>
      <c r="AB127" s="792">
        <f t="shared" si="4"/>
        <v>1074821</v>
      </c>
    </row>
    <row r="128" spans="1:28">
      <c r="C128" s="792"/>
    </row>
    <row r="129" spans="1:12">
      <c r="A129" s="1338" t="s">
        <v>997</v>
      </c>
      <c r="B129" s="1338"/>
      <c r="C129" s="1338"/>
      <c r="D129" s="1338"/>
      <c r="E129" s="1338"/>
      <c r="F129" s="1338"/>
      <c r="G129" s="1338"/>
      <c r="H129" s="1338"/>
      <c r="I129" s="1338"/>
      <c r="J129" s="1338"/>
      <c r="K129" s="1338"/>
      <c r="L129" s="1338"/>
    </row>
    <row r="130" spans="1:12">
      <c r="A130" s="734" t="s">
        <v>1174</v>
      </c>
      <c r="B130" s="734"/>
      <c r="C130" s="734"/>
      <c r="D130" s="734"/>
      <c r="E130" s="734"/>
      <c r="F130" s="734"/>
      <c r="G130" s="734"/>
      <c r="H130" s="734"/>
      <c r="I130" s="734"/>
      <c r="J130" s="734"/>
      <c r="K130" s="734"/>
      <c r="L130" s="734"/>
    </row>
    <row r="131" spans="1:12" ht="70.5" customHeight="1">
      <c r="A131" s="1339" t="s">
        <v>998</v>
      </c>
      <c r="B131" s="1339"/>
      <c r="C131" s="1339"/>
      <c r="D131" s="1339"/>
      <c r="E131" s="1339"/>
      <c r="F131" s="1339"/>
      <c r="G131" s="1339"/>
      <c r="H131" s="1339"/>
      <c r="I131" s="1339"/>
      <c r="J131" s="1339"/>
      <c r="K131" s="1339"/>
    </row>
    <row r="133" spans="1:12" s="519" customFormat="1">
      <c r="A133" s="519" t="s">
        <v>250</v>
      </c>
    </row>
    <row r="134" spans="1:12" s="519" customFormat="1">
      <c r="A134" s="536" t="s">
        <v>251</v>
      </c>
      <c r="B134" s="407" t="s">
        <v>252</v>
      </c>
    </row>
  </sheetData>
  <mergeCells count="11">
    <mergeCell ref="U5:X5"/>
    <mergeCell ref="Y5:AB5"/>
    <mergeCell ref="A129:L129"/>
    <mergeCell ref="A131:K131"/>
    <mergeCell ref="B1:L1"/>
    <mergeCell ref="B2:L2"/>
    <mergeCell ref="Q3:AB3"/>
    <mergeCell ref="O4:P5"/>
    <mergeCell ref="C5:F5"/>
    <mergeCell ref="H5:K5"/>
    <mergeCell ref="Q5:T5"/>
  </mergeCells>
  <hyperlinks>
    <hyperlink ref="B134" r:id="rId1"/>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K128"/>
  <sheetViews>
    <sheetView workbookViewId="0">
      <pane ySplit="3" topLeftCell="A97" activePane="bottomLeft" state="frozen"/>
      <selection pane="bottomLeft" activeCell="B11" sqref="B11"/>
    </sheetView>
  </sheetViews>
  <sheetFormatPr defaultRowHeight="12.75"/>
  <cols>
    <col min="1" max="1" width="11" style="538" customWidth="1"/>
    <col min="2" max="2" width="25.625" style="538" bestFit="1" customWidth="1"/>
    <col min="3" max="3" width="4.375" style="538" bestFit="1" customWidth="1"/>
    <col min="4" max="4" width="5" style="538" bestFit="1" customWidth="1"/>
    <col min="5" max="5" width="4.625" style="538" bestFit="1" customWidth="1"/>
    <col min="6" max="6" width="4.75" style="538" bestFit="1" customWidth="1"/>
    <col min="7" max="10" width="12.25" style="538" customWidth="1"/>
    <col min="11" max="16384" width="9" style="538"/>
  </cols>
  <sheetData>
    <row r="1" spans="1:11" ht="15.75">
      <c r="A1" s="543" t="s">
        <v>1016</v>
      </c>
    </row>
    <row r="3" spans="1:11" ht="16.5" customHeight="1">
      <c r="A3" s="707" t="s">
        <v>372</v>
      </c>
      <c r="B3" s="713" t="s">
        <v>373</v>
      </c>
      <c r="C3" s="716" t="s">
        <v>328</v>
      </c>
      <c r="D3" s="717" t="s">
        <v>2</v>
      </c>
      <c r="E3" s="717" t="s">
        <v>667</v>
      </c>
      <c r="F3" s="718" t="s">
        <v>668</v>
      </c>
      <c r="G3" s="712"/>
      <c r="H3" s="712"/>
      <c r="I3" s="712"/>
      <c r="J3" s="712"/>
    </row>
    <row r="4" spans="1:11" ht="16.5" customHeight="1">
      <c r="A4" s="1089" t="s">
        <v>10</v>
      </c>
      <c r="B4" s="714" t="s">
        <v>11</v>
      </c>
      <c r="C4" s="719">
        <v>21</v>
      </c>
      <c r="D4" s="720">
        <v>9</v>
      </c>
      <c r="E4" s="720">
        <v>11</v>
      </c>
      <c r="F4" s="721">
        <f>+C4-(D4+E4)</f>
        <v>1</v>
      </c>
      <c r="G4" s="540"/>
      <c r="H4" s="711"/>
      <c r="I4" s="540"/>
      <c r="J4" s="540"/>
      <c r="K4" s="540"/>
    </row>
    <row r="5" spans="1:11" ht="16.5" customHeight="1">
      <c r="A5" s="1089" t="s">
        <v>12</v>
      </c>
      <c r="B5" s="714" t="s">
        <v>13</v>
      </c>
      <c r="C5" s="719">
        <v>69</v>
      </c>
      <c r="D5" s="720">
        <v>36</v>
      </c>
      <c r="E5" s="720">
        <v>23</v>
      </c>
      <c r="F5" s="721">
        <f t="shared" ref="F5:F68" si="0">+C5-(D5+E5)</f>
        <v>10</v>
      </c>
      <c r="G5" s="540"/>
      <c r="H5" s="708"/>
      <c r="I5" s="540"/>
      <c r="J5" s="540"/>
      <c r="K5" s="540"/>
    </row>
    <row r="6" spans="1:11" ht="16.5" customHeight="1">
      <c r="A6" s="1089" t="s">
        <v>16</v>
      </c>
      <c r="B6" s="714" t="s">
        <v>364</v>
      </c>
      <c r="C6" s="719">
        <v>13</v>
      </c>
      <c r="D6" s="720">
        <v>9</v>
      </c>
      <c r="E6" s="720">
        <v>3</v>
      </c>
      <c r="F6" s="721">
        <f t="shared" si="0"/>
        <v>1</v>
      </c>
      <c r="G6" s="540"/>
      <c r="H6" s="708"/>
      <c r="I6" s="540"/>
      <c r="J6" s="709"/>
      <c r="K6" s="540"/>
    </row>
    <row r="7" spans="1:11" ht="16.5" customHeight="1">
      <c r="A7" s="1089" t="s">
        <v>18</v>
      </c>
      <c r="B7" s="714" t="s">
        <v>19</v>
      </c>
      <c r="C7" s="719">
        <v>8</v>
      </c>
      <c r="D7" s="720">
        <v>6</v>
      </c>
      <c r="E7" s="720">
        <v>2</v>
      </c>
      <c r="F7" s="721">
        <f t="shared" si="0"/>
        <v>0</v>
      </c>
      <c r="G7" s="540"/>
      <c r="H7" s="709"/>
      <c r="I7" s="540"/>
      <c r="J7" s="540"/>
      <c r="K7" s="540"/>
    </row>
    <row r="8" spans="1:11" ht="16.5" customHeight="1">
      <c r="A8" s="1089" t="s">
        <v>20</v>
      </c>
      <c r="B8" s="714" t="s">
        <v>21</v>
      </c>
      <c r="C8" s="719">
        <v>14</v>
      </c>
      <c r="D8" s="720">
        <v>9</v>
      </c>
      <c r="E8" s="720">
        <v>4</v>
      </c>
      <c r="F8" s="721">
        <f t="shared" si="0"/>
        <v>1</v>
      </c>
      <c r="G8" s="540"/>
      <c r="H8" s="706"/>
      <c r="I8" s="540"/>
      <c r="J8" s="540"/>
      <c r="K8" s="540"/>
    </row>
    <row r="9" spans="1:11" ht="16.5" customHeight="1">
      <c r="A9" s="1089" t="s">
        <v>22</v>
      </c>
      <c r="B9" s="714" t="s">
        <v>23</v>
      </c>
      <c r="C9" s="719">
        <v>2</v>
      </c>
      <c r="D9" s="720">
        <v>2</v>
      </c>
      <c r="E9" s="722">
        <v>0</v>
      </c>
      <c r="F9" s="721">
        <f t="shared" si="0"/>
        <v>0</v>
      </c>
      <c r="G9" s="540"/>
      <c r="H9" s="709"/>
      <c r="I9" s="540"/>
      <c r="J9" s="540"/>
      <c r="K9" s="540"/>
    </row>
    <row r="10" spans="1:11" ht="16.5" customHeight="1">
      <c r="A10" s="1089" t="s">
        <v>24</v>
      </c>
      <c r="B10" s="714" t="s">
        <v>25</v>
      </c>
      <c r="C10" s="719">
        <v>115</v>
      </c>
      <c r="D10" s="720">
        <v>42</v>
      </c>
      <c r="E10" s="720">
        <v>56</v>
      </c>
      <c r="F10" s="721">
        <f t="shared" si="0"/>
        <v>17</v>
      </c>
      <c r="G10" s="540"/>
      <c r="H10" s="706"/>
      <c r="I10" s="540"/>
      <c r="J10" s="706"/>
      <c r="K10" s="540"/>
    </row>
    <row r="11" spans="1:11" ht="16.5" customHeight="1">
      <c r="A11" s="1089" t="s">
        <v>26</v>
      </c>
      <c r="B11" s="714" t="s">
        <v>1114</v>
      </c>
      <c r="C11" s="719">
        <v>214</v>
      </c>
      <c r="D11" s="720">
        <v>161</v>
      </c>
      <c r="E11" s="720">
        <v>20</v>
      </c>
      <c r="F11" s="721">
        <f t="shared" si="0"/>
        <v>33</v>
      </c>
      <c r="G11" s="540"/>
      <c r="H11" s="708"/>
      <c r="I11" s="540"/>
      <c r="J11" s="709"/>
      <c r="K11" s="540"/>
    </row>
    <row r="12" spans="1:11" ht="16.5" customHeight="1">
      <c r="A12" s="1089" t="s">
        <v>27</v>
      </c>
      <c r="B12" s="714" t="s">
        <v>28</v>
      </c>
      <c r="C12" s="719">
        <v>1</v>
      </c>
      <c r="D12" s="722">
        <v>0</v>
      </c>
      <c r="E12" s="722">
        <v>0</v>
      </c>
      <c r="F12" s="721">
        <f t="shared" si="0"/>
        <v>1</v>
      </c>
      <c r="G12" s="540"/>
      <c r="H12" s="708"/>
      <c r="I12" s="540"/>
      <c r="J12" s="540"/>
      <c r="K12" s="540"/>
    </row>
    <row r="13" spans="1:11" ht="16.5" customHeight="1">
      <c r="A13" s="1089" t="s">
        <v>29</v>
      </c>
      <c r="B13" s="714" t="s">
        <v>386</v>
      </c>
      <c r="C13" s="719">
        <v>79</v>
      </c>
      <c r="D13" s="720">
        <v>56</v>
      </c>
      <c r="E13" s="720">
        <v>6</v>
      </c>
      <c r="F13" s="721">
        <f t="shared" si="0"/>
        <v>17</v>
      </c>
      <c r="G13" s="715"/>
      <c r="H13" s="708"/>
      <c r="I13" s="540"/>
      <c r="J13" s="540"/>
      <c r="K13" s="540"/>
    </row>
    <row r="14" spans="1:11" ht="16.5" customHeight="1">
      <c r="A14" s="1089" t="s">
        <v>31</v>
      </c>
      <c r="B14" s="714" t="s">
        <v>32</v>
      </c>
      <c r="C14" s="719">
        <v>18</v>
      </c>
      <c r="D14" s="720">
        <v>17</v>
      </c>
      <c r="E14" s="722">
        <v>0</v>
      </c>
      <c r="F14" s="721">
        <f t="shared" si="0"/>
        <v>1</v>
      </c>
      <c r="G14" s="709"/>
      <c r="H14" s="708"/>
      <c r="I14" s="540"/>
      <c r="J14" s="540"/>
      <c r="K14" s="540"/>
    </row>
    <row r="15" spans="1:11" ht="16.5" customHeight="1">
      <c r="A15" s="1089" t="s">
        <v>33</v>
      </c>
      <c r="B15" s="714" t="s">
        <v>34</v>
      </c>
      <c r="C15" s="719">
        <v>10</v>
      </c>
      <c r="D15" s="720">
        <v>9</v>
      </c>
      <c r="E15" s="720">
        <v>1</v>
      </c>
      <c r="F15" s="721">
        <f t="shared" si="0"/>
        <v>0</v>
      </c>
      <c r="G15" s="540"/>
      <c r="H15" s="709"/>
      <c r="I15" s="540"/>
      <c r="J15" s="540"/>
      <c r="K15" s="540"/>
    </row>
    <row r="16" spans="1:11" ht="16.5" customHeight="1">
      <c r="A16" s="1089" t="s">
        <v>37</v>
      </c>
      <c r="B16" s="714" t="s">
        <v>38</v>
      </c>
      <c r="C16" s="719">
        <v>3</v>
      </c>
      <c r="D16" s="720">
        <v>3</v>
      </c>
      <c r="E16" s="722">
        <v>0</v>
      </c>
      <c r="F16" s="721">
        <f t="shared" si="0"/>
        <v>0</v>
      </c>
      <c r="G16" s="540"/>
      <c r="H16" s="540"/>
      <c r="I16" s="540"/>
      <c r="J16" s="540"/>
      <c r="K16" s="540"/>
    </row>
    <row r="17" spans="1:11" ht="16.5" customHeight="1">
      <c r="A17" s="1089" t="s">
        <v>39</v>
      </c>
      <c r="B17" s="714" t="s">
        <v>40</v>
      </c>
      <c r="C17" s="719">
        <v>73</v>
      </c>
      <c r="D17" s="720">
        <v>69</v>
      </c>
      <c r="E17" s="720">
        <v>1</v>
      </c>
      <c r="F17" s="721">
        <f t="shared" si="0"/>
        <v>3</v>
      </c>
      <c r="G17" s="540"/>
      <c r="H17" s="708"/>
      <c r="I17" s="540"/>
      <c r="J17" s="540"/>
      <c r="K17" s="540"/>
    </row>
    <row r="18" spans="1:11" ht="16.5" customHeight="1">
      <c r="A18" s="1089" t="s">
        <v>41</v>
      </c>
      <c r="B18" s="714" t="s">
        <v>42</v>
      </c>
      <c r="C18" s="719">
        <v>11</v>
      </c>
      <c r="D18" s="720">
        <v>9</v>
      </c>
      <c r="E18" s="720">
        <v>2</v>
      </c>
      <c r="F18" s="721">
        <f t="shared" si="0"/>
        <v>0</v>
      </c>
      <c r="G18" s="540"/>
      <c r="H18" s="540"/>
      <c r="I18" s="540"/>
      <c r="J18" s="540"/>
      <c r="K18" s="540"/>
    </row>
    <row r="19" spans="1:11" ht="16.5" customHeight="1">
      <c r="A19" s="1089" t="s">
        <v>43</v>
      </c>
      <c r="B19" s="714" t="s">
        <v>44</v>
      </c>
      <c r="C19" s="719">
        <v>97</v>
      </c>
      <c r="D19" s="720">
        <v>79</v>
      </c>
      <c r="E19" s="720">
        <v>7</v>
      </c>
      <c r="F19" s="721">
        <f t="shared" si="0"/>
        <v>11</v>
      </c>
      <c r="G19" s="715"/>
      <c r="H19" s="708"/>
      <c r="I19" s="540"/>
      <c r="J19" s="540"/>
      <c r="K19" s="540"/>
    </row>
    <row r="20" spans="1:11" ht="16.5" customHeight="1">
      <c r="A20" s="1089" t="s">
        <v>45</v>
      </c>
      <c r="B20" s="714" t="s">
        <v>46</v>
      </c>
      <c r="C20" s="719">
        <v>9</v>
      </c>
      <c r="D20" s="720">
        <v>3</v>
      </c>
      <c r="E20" s="720">
        <v>5</v>
      </c>
      <c r="F20" s="721">
        <f t="shared" si="0"/>
        <v>1</v>
      </c>
      <c r="G20" s="540"/>
      <c r="H20" s="706"/>
      <c r="I20" s="540"/>
      <c r="J20" s="540"/>
      <c r="K20" s="540"/>
    </row>
    <row r="21" spans="1:11" ht="16.5" customHeight="1">
      <c r="A21" s="1089" t="s">
        <v>47</v>
      </c>
      <c r="B21" s="714" t="s">
        <v>48</v>
      </c>
      <c r="C21" s="719">
        <v>8</v>
      </c>
      <c r="D21" s="720">
        <v>7</v>
      </c>
      <c r="E21" s="722">
        <v>0</v>
      </c>
      <c r="F21" s="721">
        <f t="shared" si="0"/>
        <v>1</v>
      </c>
      <c r="G21" s="709"/>
      <c r="H21" s="708"/>
      <c r="I21" s="540"/>
      <c r="J21" s="540"/>
      <c r="K21" s="540"/>
    </row>
    <row r="22" spans="1:11" ht="16.5" customHeight="1">
      <c r="A22" s="1089" t="s">
        <v>49</v>
      </c>
      <c r="B22" s="714" t="s">
        <v>279</v>
      </c>
      <c r="C22" s="719">
        <v>1</v>
      </c>
      <c r="D22" s="722">
        <v>0</v>
      </c>
      <c r="E22" s="720">
        <v>1</v>
      </c>
      <c r="F22" s="721">
        <f t="shared" si="0"/>
        <v>0</v>
      </c>
      <c r="G22" s="540"/>
      <c r="H22" s="709"/>
      <c r="I22" s="540"/>
      <c r="J22" s="540"/>
      <c r="K22" s="540"/>
    </row>
    <row r="23" spans="1:11" ht="16.5" customHeight="1">
      <c r="A23" s="1089" t="s">
        <v>51</v>
      </c>
      <c r="B23" s="714" t="s">
        <v>52</v>
      </c>
      <c r="C23" s="719">
        <v>11</v>
      </c>
      <c r="D23" s="720">
        <v>4</v>
      </c>
      <c r="E23" s="720">
        <v>4</v>
      </c>
      <c r="F23" s="721">
        <f t="shared" si="0"/>
        <v>3</v>
      </c>
      <c r="G23" s="540"/>
      <c r="H23" s="708"/>
      <c r="I23" s="540"/>
      <c r="J23" s="540"/>
      <c r="K23" s="540"/>
    </row>
    <row r="24" spans="1:11" ht="16.5" customHeight="1">
      <c r="A24" s="1089" t="s">
        <v>57</v>
      </c>
      <c r="B24" s="714" t="s">
        <v>362</v>
      </c>
      <c r="C24" s="719">
        <v>192</v>
      </c>
      <c r="D24" s="720">
        <v>119</v>
      </c>
      <c r="E24" s="720">
        <v>46</v>
      </c>
      <c r="F24" s="721">
        <f t="shared" si="0"/>
        <v>27</v>
      </c>
      <c r="G24" s="540"/>
      <c r="H24" s="706"/>
      <c r="I24" s="540"/>
      <c r="J24" s="706"/>
      <c r="K24" s="540"/>
    </row>
    <row r="25" spans="1:11" ht="16.5" customHeight="1">
      <c r="A25" s="1089" t="s">
        <v>59</v>
      </c>
      <c r="B25" s="714" t="s">
        <v>60</v>
      </c>
      <c r="C25" s="723">
        <v>0</v>
      </c>
      <c r="D25" s="722">
        <v>0</v>
      </c>
      <c r="E25" s="722">
        <v>0</v>
      </c>
      <c r="F25" s="721">
        <f t="shared" si="0"/>
        <v>0</v>
      </c>
      <c r="G25" s="540"/>
      <c r="H25" s="709"/>
      <c r="I25" s="540"/>
      <c r="J25" s="540"/>
      <c r="K25" s="540"/>
    </row>
    <row r="26" spans="1:11" ht="16.5" customHeight="1">
      <c r="A26" s="1089" t="s">
        <v>61</v>
      </c>
      <c r="B26" s="714" t="s">
        <v>62</v>
      </c>
      <c r="C26" s="723">
        <v>0</v>
      </c>
      <c r="D26" s="722">
        <v>0</v>
      </c>
      <c r="E26" s="722">
        <v>0</v>
      </c>
      <c r="F26" s="721">
        <f t="shared" si="0"/>
        <v>0</v>
      </c>
      <c r="G26" s="540"/>
      <c r="H26" s="709"/>
      <c r="I26" s="540"/>
      <c r="J26" s="540"/>
      <c r="K26" s="540"/>
    </row>
    <row r="27" spans="1:11" ht="16.5" customHeight="1">
      <c r="A27" s="1089" t="s">
        <v>63</v>
      </c>
      <c r="B27" s="714" t="s">
        <v>64</v>
      </c>
      <c r="C27" s="719">
        <v>43</v>
      </c>
      <c r="D27" s="720">
        <v>26</v>
      </c>
      <c r="E27" s="720">
        <v>6</v>
      </c>
      <c r="F27" s="721">
        <f t="shared" si="0"/>
        <v>11</v>
      </c>
      <c r="G27" s="540"/>
      <c r="H27" s="708"/>
      <c r="I27" s="540"/>
      <c r="J27" s="540"/>
      <c r="K27" s="540"/>
    </row>
    <row r="28" spans="1:11" ht="16.5" customHeight="1">
      <c r="A28" s="1089" t="s">
        <v>65</v>
      </c>
      <c r="B28" s="714" t="s">
        <v>66</v>
      </c>
      <c r="C28" s="719">
        <v>6</v>
      </c>
      <c r="D28" s="720">
        <v>4</v>
      </c>
      <c r="E28" s="720">
        <v>2</v>
      </c>
      <c r="F28" s="721">
        <f t="shared" si="0"/>
        <v>0</v>
      </c>
      <c r="G28" s="540"/>
      <c r="H28" s="709"/>
      <c r="I28" s="540"/>
      <c r="J28" s="709"/>
      <c r="K28" s="540"/>
    </row>
    <row r="29" spans="1:11" ht="16.5" customHeight="1">
      <c r="A29" s="1089" t="s">
        <v>69</v>
      </c>
      <c r="B29" s="714" t="s">
        <v>70</v>
      </c>
      <c r="C29" s="719">
        <v>67</v>
      </c>
      <c r="D29" s="720">
        <v>66</v>
      </c>
      <c r="E29" s="720">
        <v>1</v>
      </c>
      <c r="F29" s="721">
        <f t="shared" si="0"/>
        <v>0</v>
      </c>
      <c r="G29" s="540"/>
      <c r="H29" s="540"/>
      <c r="I29" s="540"/>
      <c r="J29" s="540"/>
      <c r="K29" s="540"/>
    </row>
    <row r="30" spans="1:11" ht="16.5" customHeight="1">
      <c r="A30" s="1089" t="s">
        <v>71</v>
      </c>
      <c r="B30" s="714" t="s">
        <v>72</v>
      </c>
      <c r="C30" s="719">
        <v>11</v>
      </c>
      <c r="D30" s="720">
        <v>5</v>
      </c>
      <c r="E30" s="720">
        <v>3</v>
      </c>
      <c r="F30" s="721">
        <f t="shared" si="0"/>
        <v>3</v>
      </c>
      <c r="G30" s="540"/>
      <c r="H30" s="706"/>
      <c r="I30" s="540"/>
      <c r="J30" s="540"/>
      <c r="K30" s="540"/>
    </row>
    <row r="31" spans="1:11" ht="16.5" customHeight="1">
      <c r="A31" s="1089" t="s">
        <v>73</v>
      </c>
      <c r="B31" s="714" t="s">
        <v>74</v>
      </c>
      <c r="C31" s="719">
        <v>7</v>
      </c>
      <c r="D31" s="722">
        <v>0</v>
      </c>
      <c r="E31" s="720">
        <v>5</v>
      </c>
      <c r="F31" s="721">
        <f t="shared" si="0"/>
        <v>2</v>
      </c>
      <c r="G31" s="540"/>
      <c r="H31" s="709"/>
      <c r="I31" s="540"/>
      <c r="J31" s="706"/>
      <c r="K31" s="540"/>
    </row>
    <row r="32" spans="1:11" ht="16.5" customHeight="1">
      <c r="A32" s="1089" t="s">
        <v>75</v>
      </c>
      <c r="B32" s="714" t="s">
        <v>369</v>
      </c>
      <c r="C32" s="719">
        <v>540</v>
      </c>
      <c r="D32" s="720">
        <v>223</v>
      </c>
      <c r="E32" s="720">
        <v>231</v>
      </c>
      <c r="F32" s="721">
        <f t="shared" si="0"/>
        <v>86</v>
      </c>
      <c r="G32" s="715"/>
      <c r="H32" s="706"/>
      <c r="I32" s="706"/>
      <c r="J32" s="706"/>
      <c r="K32" s="540"/>
    </row>
    <row r="33" spans="1:11" ht="16.5" customHeight="1">
      <c r="A33" s="1089" t="s">
        <v>77</v>
      </c>
      <c r="B33" s="714" t="s">
        <v>78</v>
      </c>
      <c r="C33" s="719">
        <v>27</v>
      </c>
      <c r="D33" s="720">
        <v>17</v>
      </c>
      <c r="E33" s="720">
        <v>6</v>
      </c>
      <c r="F33" s="721">
        <f t="shared" si="0"/>
        <v>4</v>
      </c>
      <c r="G33" s="540"/>
      <c r="H33" s="708"/>
      <c r="I33" s="540"/>
      <c r="J33" s="540"/>
      <c r="K33" s="540"/>
    </row>
    <row r="34" spans="1:11" ht="16.5" customHeight="1">
      <c r="A34" s="1089" t="s">
        <v>79</v>
      </c>
      <c r="B34" s="714" t="s">
        <v>80</v>
      </c>
      <c r="C34" s="719">
        <v>1</v>
      </c>
      <c r="D34" s="720">
        <v>1</v>
      </c>
      <c r="E34" s="722">
        <v>0</v>
      </c>
      <c r="F34" s="721">
        <f t="shared" si="0"/>
        <v>0</v>
      </c>
      <c r="G34" s="540"/>
      <c r="H34" s="540"/>
      <c r="I34" s="540"/>
      <c r="J34" s="540"/>
      <c r="K34" s="540"/>
    </row>
    <row r="35" spans="1:11" ht="16.5" customHeight="1">
      <c r="A35" s="1089" t="s">
        <v>81</v>
      </c>
      <c r="B35" s="714" t="s">
        <v>82</v>
      </c>
      <c r="C35" s="719">
        <v>14</v>
      </c>
      <c r="D35" s="720">
        <v>12</v>
      </c>
      <c r="E35" s="720">
        <v>2</v>
      </c>
      <c r="F35" s="721">
        <f t="shared" si="0"/>
        <v>0</v>
      </c>
      <c r="G35" s="540"/>
      <c r="H35" s="709"/>
      <c r="I35" s="540"/>
      <c r="J35" s="540"/>
      <c r="K35" s="540"/>
    </row>
    <row r="36" spans="1:11" ht="16.5" customHeight="1">
      <c r="A36" s="1089" t="s">
        <v>85</v>
      </c>
      <c r="B36" s="714" t="s">
        <v>387</v>
      </c>
      <c r="C36" s="719">
        <v>57</v>
      </c>
      <c r="D36" s="720">
        <v>47</v>
      </c>
      <c r="E36" s="720">
        <v>7</v>
      </c>
      <c r="F36" s="721">
        <f t="shared" si="0"/>
        <v>3</v>
      </c>
      <c r="G36" s="540"/>
      <c r="H36" s="706"/>
      <c r="I36" s="540"/>
      <c r="J36" s="709"/>
      <c r="K36" s="540"/>
    </row>
    <row r="37" spans="1:11" ht="16.5" customHeight="1">
      <c r="A37" s="1089" t="s">
        <v>87</v>
      </c>
      <c r="B37" s="714" t="s">
        <v>88</v>
      </c>
      <c r="C37" s="719">
        <v>46</v>
      </c>
      <c r="D37" s="720">
        <v>32</v>
      </c>
      <c r="E37" s="720">
        <v>5</v>
      </c>
      <c r="F37" s="721">
        <f t="shared" si="0"/>
        <v>9</v>
      </c>
      <c r="G37" s="709"/>
      <c r="H37" s="708"/>
      <c r="I37" s="709"/>
      <c r="J37" s="708"/>
      <c r="K37" s="540"/>
    </row>
    <row r="38" spans="1:11" ht="16.5" customHeight="1">
      <c r="A38" s="1089" t="s">
        <v>93</v>
      </c>
      <c r="B38" s="714" t="s">
        <v>94</v>
      </c>
      <c r="C38" s="719">
        <v>21</v>
      </c>
      <c r="D38" s="720">
        <v>21</v>
      </c>
      <c r="E38" s="722">
        <v>0</v>
      </c>
      <c r="F38" s="721">
        <f t="shared" si="0"/>
        <v>0</v>
      </c>
      <c r="G38" s="540"/>
      <c r="H38" s="709"/>
      <c r="I38" s="540"/>
      <c r="J38" s="540"/>
      <c r="K38" s="540"/>
    </row>
    <row r="39" spans="1:11" ht="16.5" customHeight="1">
      <c r="A39" s="1089" t="s">
        <v>95</v>
      </c>
      <c r="B39" s="714" t="s">
        <v>96</v>
      </c>
      <c r="C39" s="719">
        <v>34</v>
      </c>
      <c r="D39" s="720">
        <v>24</v>
      </c>
      <c r="E39" s="720">
        <v>8</v>
      </c>
      <c r="F39" s="721">
        <f t="shared" si="0"/>
        <v>2</v>
      </c>
      <c r="G39" s="540"/>
      <c r="H39" s="706"/>
      <c r="I39" s="540"/>
      <c r="J39" s="540"/>
      <c r="K39" s="540"/>
    </row>
    <row r="40" spans="1:11" ht="16.5" customHeight="1">
      <c r="A40" s="1089" t="s">
        <v>97</v>
      </c>
      <c r="B40" s="714" t="s">
        <v>98</v>
      </c>
      <c r="C40" s="719">
        <v>10</v>
      </c>
      <c r="D40" s="720">
        <v>5</v>
      </c>
      <c r="E40" s="720">
        <v>4</v>
      </c>
      <c r="F40" s="721">
        <f t="shared" si="0"/>
        <v>1</v>
      </c>
      <c r="G40" s="540"/>
      <c r="H40" s="540"/>
      <c r="I40" s="540"/>
      <c r="J40" s="540"/>
      <c r="K40" s="540"/>
    </row>
    <row r="41" spans="1:11" ht="16.5" customHeight="1">
      <c r="A41" s="1089" t="s">
        <v>99</v>
      </c>
      <c r="B41" s="714" t="s">
        <v>100</v>
      </c>
      <c r="C41" s="719">
        <v>8</v>
      </c>
      <c r="D41" s="720">
        <v>6</v>
      </c>
      <c r="E41" s="722">
        <v>0</v>
      </c>
      <c r="F41" s="721">
        <f t="shared" si="0"/>
        <v>2</v>
      </c>
      <c r="G41" s="540"/>
      <c r="H41" s="706"/>
      <c r="I41" s="540"/>
      <c r="J41" s="706"/>
      <c r="K41" s="540"/>
    </row>
    <row r="42" spans="1:11" ht="16.5" customHeight="1">
      <c r="A42" s="1089" t="s">
        <v>101</v>
      </c>
      <c r="B42" s="714" t="s">
        <v>102</v>
      </c>
      <c r="C42" s="719">
        <v>7</v>
      </c>
      <c r="D42" s="720">
        <v>2</v>
      </c>
      <c r="E42" s="720">
        <v>1</v>
      </c>
      <c r="F42" s="721">
        <f t="shared" si="0"/>
        <v>4</v>
      </c>
      <c r="G42" s="540"/>
      <c r="H42" s="708"/>
      <c r="I42" s="540"/>
      <c r="J42" s="540"/>
      <c r="K42" s="540"/>
    </row>
    <row r="43" spans="1:11" ht="16.5" customHeight="1">
      <c r="A43" s="1089" t="s">
        <v>103</v>
      </c>
      <c r="B43" s="714" t="s">
        <v>104</v>
      </c>
      <c r="C43" s="719">
        <v>1</v>
      </c>
      <c r="D43" s="722">
        <v>0</v>
      </c>
      <c r="E43" s="720">
        <v>1</v>
      </c>
      <c r="F43" s="721">
        <f t="shared" si="0"/>
        <v>0</v>
      </c>
      <c r="G43" s="540"/>
      <c r="H43" s="709"/>
      <c r="I43" s="540"/>
      <c r="J43" s="709"/>
      <c r="K43" s="540"/>
    </row>
    <row r="44" spans="1:11" ht="16.5" customHeight="1">
      <c r="A44" s="1089" t="s">
        <v>105</v>
      </c>
      <c r="B44" s="714" t="s">
        <v>388</v>
      </c>
      <c r="C44" s="719">
        <v>26</v>
      </c>
      <c r="D44" s="720">
        <v>11</v>
      </c>
      <c r="E44" s="720">
        <v>14</v>
      </c>
      <c r="F44" s="721">
        <f t="shared" si="0"/>
        <v>1</v>
      </c>
      <c r="G44" s="540"/>
      <c r="H44" s="708"/>
      <c r="I44" s="540"/>
      <c r="J44" s="709"/>
      <c r="K44" s="540"/>
    </row>
    <row r="45" spans="1:11" ht="16.5" customHeight="1">
      <c r="A45" s="1089" t="s">
        <v>109</v>
      </c>
      <c r="B45" s="714" t="s">
        <v>110</v>
      </c>
      <c r="C45" s="719">
        <v>32</v>
      </c>
      <c r="D45" s="720">
        <v>23</v>
      </c>
      <c r="E45" s="720">
        <v>4</v>
      </c>
      <c r="F45" s="721">
        <f t="shared" si="0"/>
        <v>5</v>
      </c>
      <c r="G45" s="540"/>
      <c r="H45" s="706"/>
      <c r="I45" s="540"/>
      <c r="J45" s="540"/>
      <c r="K45" s="540"/>
    </row>
    <row r="46" spans="1:11" ht="16.5" customHeight="1">
      <c r="A46" s="1089" t="s">
        <v>111</v>
      </c>
      <c r="B46" s="714" t="s">
        <v>112</v>
      </c>
      <c r="C46" s="719">
        <v>103</v>
      </c>
      <c r="D46" s="720">
        <v>52</v>
      </c>
      <c r="E46" s="720">
        <v>45</v>
      </c>
      <c r="F46" s="721">
        <f t="shared" si="0"/>
        <v>6</v>
      </c>
      <c r="G46" s="540"/>
      <c r="H46" s="706"/>
      <c r="I46" s="540"/>
      <c r="J46" s="540"/>
      <c r="K46" s="540"/>
    </row>
    <row r="47" spans="1:11" ht="16.5" customHeight="1">
      <c r="A47" s="1089" t="s">
        <v>113</v>
      </c>
      <c r="B47" s="714" t="s">
        <v>367</v>
      </c>
      <c r="C47" s="719">
        <v>48</v>
      </c>
      <c r="D47" s="720">
        <v>31</v>
      </c>
      <c r="E47" s="720">
        <v>14</v>
      </c>
      <c r="F47" s="721">
        <f t="shared" si="0"/>
        <v>3</v>
      </c>
      <c r="G47" s="540"/>
      <c r="H47" s="708"/>
      <c r="I47" s="540"/>
      <c r="J47" s="540"/>
      <c r="K47" s="540"/>
    </row>
    <row r="48" spans="1:11" ht="16.5" customHeight="1">
      <c r="A48" s="1089" t="s">
        <v>115</v>
      </c>
      <c r="B48" s="714" t="s">
        <v>116</v>
      </c>
      <c r="C48" s="723">
        <v>0</v>
      </c>
      <c r="D48" s="722">
        <v>0</v>
      </c>
      <c r="E48" s="722">
        <v>0</v>
      </c>
      <c r="F48" s="721">
        <f t="shared" si="0"/>
        <v>0</v>
      </c>
      <c r="G48" s="540"/>
      <c r="H48" s="540"/>
      <c r="I48" s="540"/>
      <c r="J48" s="540"/>
      <c r="K48" s="540"/>
    </row>
    <row r="49" spans="1:11" ht="16.5" customHeight="1">
      <c r="A49" s="1089" t="s">
        <v>119</v>
      </c>
      <c r="B49" s="714" t="s">
        <v>120</v>
      </c>
      <c r="C49" s="719">
        <v>7</v>
      </c>
      <c r="D49" s="720">
        <v>3</v>
      </c>
      <c r="E49" s="720">
        <v>4</v>
      </c>
      <c r="F49" s="721">
        <f t="shared" si="0"/>
        <v>0</v>
      </c>
      <c r="G49" s="540"/>
      <c r="H49" s="709"/>
      <c r="I49" s="540"/>
      <c r="J49" s="709"/>
      <c r="K49" s="540"/>
    </row>
    <row r="50" spans="1:11" ht="16.5" customHeight="1">
      <c r="A50" s="1089" t="s">
        <v>121</v>
      </c>
      <c r="B50" s="714" t="s">
        <v>122</v>
      </c>
      <c r="C50" s="719">
        <v>50</v>
      </c>
      <c r="D50" s="720">
        <v>24</v>
      </c>
      <c r="E50" s="720">
        <v>18</v>
      </c>
      <c r="F50" s="721">
        <f t="shared" si="0"/>
        <v>8</v>
      </c>
      <c r="G50" s="540"/>
      <c r="H50" s="708"/>
      <c r="I50" s="540"/>
      <c r="J50" s="540"/>
      <c r="K50" s="540"/>
    </row>
    <row r="51" spans="1:11" ht="16.5" customHeight="1">
      <c r="A51" s="1089" t="s">
        <v>123</v>
      </c>
      <c r="B51" s="714" t="s">
        <v>284</v>
      </c>
      <c r="C51" s="719">
        <v>9</v>
      </c>
      <c r="D51" s="720">
        <v>1</v>
      </c>
      <c r="E51" s="720">
        <v>8</v>
      </c>
      <c r="F51" s="721">
        <f t="shared" si="0"/>
        <v>0</v>
      </c>
      <c r="G51" s="540"/>
      <c r="H51" s="540"/>
      <c r="I51" s="540"/>
      <c r="J51" s="540"/>
      <c r="K51" s="540"/>
    </row>
    <row r="52" spans="1:11" ht="16.5" customHeight="1">
      <c r="A52" s="1089" t="s">
        <v>125</v>
      </c>
      <c r="B52" s="714" t="s">
        <v>126</v>
      </c>
      <c r="C52" s="719">
        <v>5</v>
      </c>
      <c r="D52" s="720">
        <v>2</v>
      </c>
      <c r="E52" s="720">
        <v>3</v>
      </c>
      <c r="F52" s="721">
        <f t="shared" si="0"/>
        <v>0</v>
      </c>
      <c r="G52" s="540"/>
      <c r="H52" s="709"/>
      <c r="I52" s="540"/>
      <c r="J52" s="540"/>
      <c r="K52" s="540"/>
    </row>
    <row r="53" spans="1:11" ht="16.5" customHeight="1">
      <c r="A53" s="1089" t="s">
        <v>127</v>
      </c>
      <c r="B53" s="714" t="s">
        <v>128</v>
      </c>
      <c r="C53" s="719">
        <v>11</v>
      </c>
      <c r="D53" s="720">
        <v>5</v>
      </c>
      <c r="E53" s="720">
        <v>6</v>
      </c>
      <c r="F53" s="721">
        <f t="shared" si="0"/>
        <v>0</v>
      </c>
      <c r="G53" s="540"/>
      <c r="H53" s="709"/>
      <c r="I53" s="540"/>
      <c r="J53" s="540"/>
      <c r="K53" s="540"/>
    </row>
    <row r="54" spans="1:11" ht="16.5" customHeight="1">
      <c r="A54" s="1089" t="s">
        <v>129</v>
      </c>
      <c r="B54" s="714" t="s">
        <v>130</v>
      </c>
      <c r="C54" s="719">
        <v>6</v>
      </c>
      <c r="D54" s="720">
        <v>2</v>
      </c>
      <c r="E54" s="720">
        <v>4</v>
      </c>
      <c r="F54" s="721">
        <f t="shared" si="0"/>
        <v>0</v>
      </c>
      <c r="G54" s="540"/>
      <c r="H54" s="709"/>
      <c r="I54" s="540"/>
      <c r="J54" s="540"/>
      <c r="K54" s="540"/>
    </row>
    <row r="55" spans="1:11" ht="16.5" customHeight="1">
      <c r="A55" s="1089" t="s">
        <v>131</v>
      </c>
      <c r="B55" s="714" t="s">
        <v>132</v>
      </c>
      <c r="C55" s="719">
        <v>94</v>
      </c>
      <c r="D55" s="720">
        <v>90</v>
      </c>
      <c r="E55" s="720">
        <v>1</v>
      </c>
      <c r="F55" s="721">
        <f t="shared" si="0"/>
        <v>3</v>
      </c>
      <c r="G55" s="540"/>
      <c r="H55" s="708"/>
      <c r="I55" s="540"/>
      <c r="J55" s="540"/>
      <c r="K55" s="540"/>
    </row>
    <row r="56" spans="1:11" ht="16.5" customHeight="1">
      <c r="A56" s="1089" t="s">
        <v>133</v>
      </c>
      <c r="B56" s="714" t="s">
        <v>134</v>
      </c>
      <c r="C56" s="719">
        <v>65</v>
      </c>
      <c r="D56" s="720">
        <v>37</v>
      </c>
      <c r="E56" s="720">
        <v>24</v>
      </c>
      <c r="F56" s="721">
        <f t="shared" si="0"/>
        <v>4</v>
      </c>
      <c r="G56" s="715"/>
      <c r="H56" s="708"/>
      <c r="I56" s="540"/>
      <c r="J56" s="540"/>
      <c r="K56" s="540"/>
    </row>
    <row r="57" spans="1:11" ht="16.5" customHeight="1">
      <c r="A57" s="1089" t="s">
        <v>135</v>
      </c>
      <c r="B57" s="714" t="s">
        <v>136</v>
      </c>
      <c r="C57" s="719">
        <v>46</v>
      </c>
      <c r="D57" s="720">
        <v>20</v>
      </c>
      <c r="E57" s="720">
        <v>19</v>
      </c>
      <c r="F57" s="721">
        <f t="shared" si="0"/>
        <v>7</v>
      </c>
      <c r="G57" s="540"/>
      <c r="H57" s="706"/>
      <c r="I57" s="540"/>
      <c r="J57" s="540"/>
      <c r="K57" s="540"/>
    </row>
    <row r="58" spans="1:11" ht="16.5" customHeight="1">
      <c r="A58" s="1089" t="s">
        <v>137</v>
      </c>
      <c r="B58" s="714" t="s">
        <v>138</v>
      </c>
      <c r="C58" s="719">
        <v>3</v>
      </c>
      <c r="D58" s="722">
        <v>0</v>
      </c>
      <c r="E58" s="720">
        <v>1</v>
      </c>
      <c r="F58" s="721">
        <f t="shared" si="0"/>
        <v>2</v>
      </c>
      <c r="G58" s="540"/>
      <c r="H58" s="706"/>
      <c r="I58" s="540"/>
      <c r="J58" s="540"/>
      <c r="K58" s="540"/>
    </row>
    <row r="59" spans="1:11" ht="16.5" customHeight="1">
      <c r="A59" s="1089" t="s">
        <v>141</v>
      </c>
      <c r="B59" s="714" t="s">
        <v>142</v>
      </c>
      <c r="C59" s="719">
        <v>6</v>
      </c>
      <c r="D59" s="720">
        <v>3</v>
      </c>
      <c r="E59" s="720">
        <v>2</v>
      </c>
      <c r="F59" s="721">
        <f t="shared" si="0"/>
        <v>1</v>
      </c>
      <c r="G59" s="540"/>
      <c r="H59" s="540"/>
      <c r="I59" s="540"/>
      <c r="J59" s="540"/>
      <c r="K59" s="540"/>
    </row>
    <row r="60" spans="1:11" ht="16.5" customHeight="1">
      <c r="A60" s="1089" t="s">
        <v>147</v>
      </c>
      <c r="B60" s="714" t="s">
        <v>148</v>
      </c>
      <c r="C60" s="719">
        <v>9</v>
      </c>
      <c r="D60" s="720">
        <v>6</v>
      </c>
      <c r="E60" s="720">
        <v>3</v>
      </c>
      <c r="F60" s="721">
        <f t="shared" si="0"/>
        <v>0</v>
      </c>
      <c r="G60" s="540"/>
      <c r="H60" s="709"/>
      <c r="I60" s="540"/>
      <c r="J60" s="540"/>
      <c r="K60" s="540"/>
    </row>
    <row r="61" spans="1:11" ht="16.5" customHeight="1">
      <c r="A61" s="1089" t="s">
        <v>149</v>
      </c>
      <c r="B61" s="714" t="s">
        <v>150</v>
      </c>
      <c r="C61" s="719">
        <v>26</v>
      </c>
      <c r="D61" s="720">
        <v>10</v>
      </c>
      <c r="E61" s="720">
        <v>14</v>
      </c>
      <c r="F61" s="721">
        <f t="shared" si="0"/>
        <v>2</v>
      </c>
      <c r="G61" s="540"/>
      <c r="H61" s="706"/>
      <c r="I61" s="540"/>
      <c r="J61" s="540"/>
      <c r="K61" s="540"/>
    </row>
    <row r="62" spans="1:11" ht="16.5" customHeight="1">
      <c r="A62" s="1089" t="s">
        <v>151</v>
      </c>
      <c r="B62" s="714" t="s">
        <v>152</v>
      </c>
      <c r="C62" s="719">
        <v>15</v>
      </c>
      <c r="D62" s="722">
        <v>0</v>
      </c>
      <c r="E62" s="720">
        <v>7</v>
      </c>
      <c r="F62" s="721">
        <f t="shared" si="0"/>
        <v>8</v>
      </c>
      <c r="G62" s="540"/>
      <c r="H62" s="706"/>
      <c r="I62" s="540"/>
      <c r="J62" s="540"/>
      <c r="K62" s="540"/>
    </row>
    <row r="63" spans="1:11" ht="16.5" customHeight="1">
      <c r="A63" s="1089" t="s">
        <v>153</v>
      </c>
      <c r="B63" s="714" t="s">
        <v>154</v>
      </c>
      <c r="C63" s="719">
        <v>52</v>
      </c>
      <c r="D63" s="720">
        <v>47</v>
      </c>
      <c r="E63" s="720">
        <v>1</v>
      </c>
      <c r="F63" s="721">
        <f t="shared" si="0"/>
        <v>4</v>
      </c>
      <c r="G63" s="540"/>
      <c r="H63" s="540"/>
      <c r="I63" s="540"/>
      <c r="J63" s="706"/>
      <c r="K63" s="540"/>
    </row>
    <row r="64" spans="1:11" ht="16.5" customHeight="1">
      <c r="A64" s="1089" t="s">
        <v>155</v>
      </c>
      <c r="B64" s="714" t="s">
        <v>156</v>
      </c>
      <c r="C64" s="723">
        <v>0</v>
      </c>
      <c r="D64" s="722">
        <v>0</v>
      </c>
      <c r="E64" s="722">
        <v>0</v>
      </c>
      <c r="F64" s="721">
        <f t="shared" si="0"/>
        <v>0</v>
      </c>
      <c r="G64" s="540"/>
      <c r="H64" s="540"/>
      <c r="I64" s="540"/>
      <c r="J64" s="540"/>
      <c r="K64" s="540"/>
    </row>
    <row r="65" spans="1:11" ht="16.5" customHeight="1">
      <c r="A65" s="1089" t="s">
        <v>157</v>
      </c>
      <c r="B65" s="714" t="s">
        <v>158</v>
      </c>
      <c r="C65" s="719">
        <v>4</v>
      </c>
      <c r="D65" s="720">
        <v>4</v>
      </c>
      <c r="E65" s="722">
        <v>0</v>
      </c>
      <c r="F65" s="721">
        <f t="shared" si="0"/>
        <v>0</v>
      </c>
      <c r="G65" s="540"/>
      <c r="H65" s="709"/>
      <c r="I65" s="540"/>
      <c r="J65" s="540"/>
      <c r="K65" s="540"/>
    </row>
    <row r="66" spans="1:11" ht="16.5" customHeight="1">
      <c r="A66" s="1089" t="s">
        <v>163</v>
      </c>
      <c r="B66" s="714" t="s">
        <v>164</v>
      </c>
      <c r="C66" s="719">
        <v>2</v>
      </c>
      <c r="D66" s="720">
        <v>1</v>
      </c>
      <c r="E66" s="720">
        <v>1</v>
      </c>
      <c r="F66" s="721">
        <f t="shared" si="0"/>
        <v>0</v>
      </c>
      <c r="G66" s="709"/>
      <c r="H66" s="709"/>
      <c r="I66" s="540"/>
      <c r="J66" s="540"/>
      <c r="K66" s="540"/>
    </row>
    <row r="67" spans="1:11" ht="16.5" customHeight="1">
      <c r="A67" s="1089" t="s">
        <v>165</v>
      </c>
      <c r="B67" s="714" t="s">
        <v>166</v>
      </c>
      <c r="C67" s="719">
        <v>6</v>
      </c>
      <c r="D67" s="720">
        <v>3</v>
      </c>
      <c r="E67" s="720">
        <v>3</v>
      </c>
      <c r="F67" s="721">
        <f t="shared" si="0"/>
        <v>0</v>
      </c>
      <c r="G67" s="540"/>
      <c r="H67" s="709"/>
      <c r="I67" s="540"/>
      <c r="J67" s="540"/>
      <c r="K67" s="540"/>
    </row>
    <row r="68" spans="1:11" ht="16.5" customHeight="1">
      <c r="A68" s="1089" t="s">
        <v>169</v>
      </c>
      <c r="B68" s="714" t="s">
        <v>170</v>
      </c>
      <c r="C68" s="719">
        <v>10</v>
      </c>
      <c r="D68" s="720">
        <v>8</v>
      </c>
      <c r="E68" s="720">
        <v>1</v>
      </c>
      <c r="F68" s="721">
        <f t="shared" si="0"/>
        <v>1</v>
      </c>
      <c r="G68" s="540"/>
      <c r="H68" s="708"/>
      <c r="I68" s="540"/>
      <c r="J68" s="540"/>
      <c r="K68" s="540"/>
    </row>
    <row r="69" spans="1:11" ht="16.5" customHeight="1">
      <c r="A69" s="1089" t="s">
        <v>171</v>
      </c>
      <c r="B69" s="714" t="s">
        <v>172</v>
      </c>
      <c r="C69" s="719">
        <v>20</v>
      </c>
      <c r="D69" s="720">
        <v>14</v>
      </c>
      <c r="E69" s="720">
        <v>1</v>
      </c>
      <c r="F69" s="721">
        <f t="shared" ref="F69:F123" si="1">+C69-(D69+E69)</f>
        <v>5</v>
      </c>
      <c r="G69" s="540"/>
      <c r="H69" s="708"/>
      <c r="I69" s="540"/>
      <c r="J69" s="709"/>
      <c r="K69" s="540"/>
    </row>
    <row r="70" spans="1:11" ht="16.5" customHeight="1">
      <c r="A70" s="1089" t="s">
        <v>173</v>
      </c>
      <c r="B70" s="714" t="s">
        <v>174</v>
      </c>
      <c r="C70" s="719">
        <v>16</v>
      </c>
      <c r="D70" s="720">
        <v>16</v>
      </c>
      <c r="E70" s="722">
        <v>0</v>
      </c>
      <c r="F70" s="721">
        <f t="shared" si="1"/>
        <v>0</v>
      </c>
      <c r="G70" s="540"/>
      <c r="H70" s="540"/>
      <c r="I70" s="540"/>
      <c r="J70" s="540"/>
      <c r="K70" s="540"/>
    </row>
    <row r="71" spans="1:11" ht="16.5" customHeight="1">
      <c r="A71" s="1089" t="s">
        <v>175</v>
      </c>
      <c r="B71" s="714" t="s">
        <v>176</v>
      </c>
      <c r="C71" s="719">
        <v>2</v>
      </c>
      <c r="D71" s="720">
        <v>2</v>
      </c>
      <c r="E71" s="722">
        <v>0</v>
      </c>
      <c r="F71" s="721">
        <f t="shared" si="1"/>
        <v>0</v>
      </c>
      <c r="G71" s="540"/>
      <c r="H71" s="540"/>
      <c r="I71" s="540"/>
      <c r="J71" s="540"/>
      <c r="K71" s="540"/>
    </row>
    <row r="72" spans="1:11" ht="16.5" customHeight="1">
      <c r="A72" s="1089" t="s">
        <v>179</v>
      </c>
      <c r="B72" s="714" t="s">
        <v>180</v>
      </c>
      <c r="C72" s="719">
        <v>18</v>
      </c>
      <c r="D72" s="720">
        <v>14</v>
      </c>
      <c r="E72" s="720">
        <v>2</v>
      </c>
      <c r="F72" s="721">
        <f t="shared" si="1"/>
        <v>2</v>
      </c>
      <c r="G72" s="540"/>
      <c r="H72" s="706"/>
      <c r="I72" s="540"/>
      <c r="J72" s="706"/>
      <c r="K72" s="540"/>
    </row>
    <row r="73" spans="1:11" ht="16.5" customHeight="1">
      <c r="A73" s="1089" t="s">
        <v>183</v>
      </c>
      <c r="B73" s="714" t="s">
        <v>184</v>
      </c>
      <c r="C73" s="719">
        <v>4</v>
      </c>
      <c r="D73" s="720">
        <v>2</v>
      </c>
      <c r="E73" s="722">
        <v>0</v>
      </c>
      <c r="F73" s="721">
        <f t="shared" si="1"/>
        <v>2</v>
      </c>
      <c r="G73" s="540"/>
      <c r="H73" s="706"/>
      <c r="I73" s="540"/>
      <c r="J73" s="540"/>
      <c r="K73" s="540"/>
    </row>
    <row r="74" spans="1:11" ht="16.5" customHeight="1">
      <c r="A74" s="1089" t="s">
        <v>185</v>
      </c>
      <c r="B74" s="714" t="s">
        <v>186</v>
      </c>
      <c r="C74" s="719">
        <v>34</v>
      </c>
      <c r="D74" s="720">
        <v>16</v>
      </c>
      <c r="E74" s="720">
        <v>12</v>
      </c>
      <c r="F74" s="721">
        <f t="shared" si="1"/>
        <v>6</v>
      </c>
      <c r="G74" s="540"/>
      <c r="H74" s="708"/>
      <c r="I74" s="540"/>
      <c r="J74" s="540"/>
      <c r="K74" s="540"/>
    </row>
    <row r="75" spans="1:11" ht="16.5" customHeight="1">
      <c r="A75" s="1089" t="s">
        <v>187</v>
      </c>
      <c r="B75" s="714" t="s">
        <v>188</v>
      </c>
      <c r="C75" s="719">
        <v>9</v>
      </c>
      <c r="D75" s="720">
        <v>4</v>
      </c>
      <c r="E75" s="720">
        <v>5</v>
      </c>
      <c r="F75" s="721">
        <f t="shared" si="1"/>
        <v>0</v>
      </c>
      <c r="G75" s="540"/>
      <c r="H75" s="709"/>
      <c r="I75" s="540"/>
      <c r="J75" s="540"/>
      <c r="K75" s="540"/>
    </row>
    <row r="76" spans="1:11" ht="16.5" customHeight="1">
      <c r="A76" s="1089" t="s">
        <v>189</v>
      </c>
      <c r="B76" s="714" t="s">
        <v>190</v>
      </c>
      <c r="C76" s="719">
        <v>112</v>
      </c>
      <c r="D76" s="720">
        <v>50</v>
      </c>
      <c r="E76" s="720">
        <v>45</v>
      </c>
      <c r="F76" s="721">
        <f t="shared" si="1"/>
        <v>17</v>
      </c>
      <c r="G76" s="540"/>
      <c r="H76" s="706"/>
      <c r="I76" s="540"/>
      <c r="J76" s="708"/>
      <c r="K76" s="540"/>
    </row>
    <row r="77" spans="1:11" ht="16.5" customHeight="1">
      <c r="A77" s="1089" t="s">
        <v>191</v>
      </c>
      <c r="B77" s="714" t="s">
        <v>192</v>
      </c>
      <c r="C77" s="719">
        <v>32</v>
      </c>
      <c r="D77" s="720">
        <v>24</v>
      </c>
      <c r="E77" s="720">
        <v>5</v>
      </c>
      <c r="F77" s="721">
        <f t="shared" si="1"/>
        <v>3</v>
      </c>
      <c r="G77" s="540"/>
      <c r="H77" s="706"/>
      <c r="I77" s="540"/>
      <c r="J77" s="540"/>
      <c r="K77" s="540"/>
    </row>
    <row r="78" spans="1:11" ht="16.5" customHeight="1">
      <c r="A78" s="1089" t="s">
        <v>195</v>
      </c>
      <c r="B78" s="714" t="s">
        <v>196</v>
      </c>
      <c r="C78" s="719">
        <v>2</v>
      </c>
      <c r="D78" s="720">
        <v>1</v>
      </c>
      <c r="E78" s="722">
        <v>0</v>
      </c>
      <c r="F78" s="721">
        <f t="shared" si="1"/>
        <v>1</v>
      </c>
      <c r="G78" s="540"/>
      <c r="H78" s="540"/>
      <c r="I78" s="540"/>
      <c r="J78" s="540"/>
      <c r="K78" s="540"/>
    </row>
    <row r="79" spans="1:11" ht="16.5" customHeight="1">
      <c r="A79" s="1089" t="s">
        <v>199</v>
      </c>
      <c r="B79" s="714" t="s">
        <v>200</v>
      </c>
      <c r="C79" s="719">
        <v>3</v>
      </c>
      <c r="D79" s="720">
        <v>2</v>
      </c>
      <c r="E79" s="720">
        <v>1</v>
      </c>
      <c r="F79" s="721">
        <f t="shared" si="1"/>
        <v>0</v>
      </c>
      <c r="G79" s="540"/>
      <c r="H79" s="709"/>
      <c r="I79" s="540"/>
      <c r="J79" s="540"/>
      <c r="K79" s="540"/>
    </row>
    <row r="80" spans="1:11" ht="16.5" customHeight="1">
      <c r="A80" s="1089" t="s">
        <v>203</v>
      </c>
      <c r="B80" s="714" t="s">
        <v>204</v>
      </c>
      <c r="C80" s="719">
        <v>96</v>
      </c>
      <c r="D80" s="720">
        <v>86</v>
      </c>
      <c r="E80" s="720">
        <v>5</v>
      </c>
      <c r="F80" s="721">
        <f t="shared" si="1"/>
        <v>5</v>
      </c>
      <c r="G80" s="540"/>
      <c r="H80" s="708"/>
      <c r="I80" s="709"/>
      <c r="J80" s="540"/>
      <c r="K80" s="540"/>
    </row>
    <row r="81" spans="1:11" ht="16.5" customHeight="1">
      <c r="A81" s="1089" t="s">
        <v>205</v>
      </c>
      <c r="B81" s="714" t="s">
        <v>206</v>
      </c>
      <c r="C81" s="719">
        <v>8</v>
      </c>
      <c r="D81" s="720">
        <v>5</v>
      </c>
      <c r="E81" s="722">
        <v>0</v>
      </c>
      <c r="F81" s="721">
        <f t="shared" si="1"/>
        <v>3</v>
      </c>
      <c r="G81" s="540"/>
      <c r="H81" s="706"/>
      <c r="I81" s="540"/>
      <c r="J81" s="540"/>
      <c r="K81" s="540"/>
    </row>
    <row r="82" spans="1:11" ht="16.5" customHeight="1">
      <c r="A82" s="1089" t="s">
        <v>207</v>
      </c>
      <c r="B82" s="714" t="s">
        <v>208</v>
      </c>
      <c r="C82" s="719">
        <v>198</v>
      </c>
      <c r="D82" s="720">
        <v>148</v>
      </c>
      <c r="E82" s="720">
        <v>29</v>
      </c>
      <c r="F82" s="721">
        <f t="shared" si="1"/>
        <v>21</v>
      </c>
      <c r="G82" s="540"/>
      <c r="H82" s="706"/>
      <c r="I82" s="540"/>
      <c r="J82" s="706"/>
      <c r="K82" s="540"/>
    </row>
    <row r="83" spans="1:11" ht="16.5" customHeight="1">
      <c r="A83" s="1089" t="s">
        <v>209</v>
      </c>
      <c r="B83" s="714" t="s">
        <v>210</v>
      </c>
      <c r="C83" s="719">
        <v>5</v>
      </c>
      <c r="D83" s="720">
        <v>5</v>
      </c>
      <c r="E83" s="722">
        <v>0</v>
      </c>
      <c r="F83" s="721">
        <f t="shared" si="1"/>
        <v>0</v>
      </c>
      <c r="G83" s="540"/>
      <c r="H83" s="709"/>
      <c r="I83" s="540"/>
      <c r="J83" s="540"/>
      <c r="K83" s="540"/>
    </row>
    <row r="84" spans="1:11" ht="16.5" customHeight="1">
      <c r="A84" s="1089" t="s">
        <v>211</v>
      </c>
      <c r="B84" s="714" t="s">
        <v>212</v>
      </c>
      <c r="C84" s="719">
        <v>38</v>
      </c>
      <c r="D84" s="720">
        <v>36</v>
      </c>
      <c r="E84" s="722">
        <v>0</v>
      </c>
      <c r="F84" s="721">
        <f t="shared" si="1"/>
        <v>2</v>
      </c>
      <c r="G84" s="540"/>
      <c r="H84" s="709"/>
      <c r="I84" s="540"/>
      <c r="J84" s="540"/>
      <c r="K84" s="540"/>
    </row>
    <row r="85" spans="1:11" ht="16.5" customHeight="1">
      <c r="A85" s="1089" t="s">
        <v>213</v>
      </c>
      <c r="B85" s="714" t="s">
        <v>214</v>
      </c>
      <c r="C85" s="719">
        <v>24</v>
      </c>
      <c r="D85" s="720">
        <v>18</v>
      </c>
      <c r="E85" s="720">
        <v>1</v>
      </c>
      <c r="F85" s="721">
        <f t="shared" si="1"/>
        <v>5</v>
      </c>
      <c r="G85" s="540"/>
      <c r="H85" s="708"/>
      <c r="I85" s="540"/>
      <c r="J85" s="540"/>
      <c r="K85" s="540"/>
    </row>
    <row r="86" spans="1:11" ht="16.5" customHeight="1">
      <c r="A86" s="1089" t="s">
        <v>215</v>
      </c>
      <c r="B86" s="714" t="s">
        <v>216</v>
      </c>
      <c r="C86" s="719">
        <v>21</v>
      </c>
      <c r="D86" s="720">
        <v>19</v>
      </c>
      <c r="E86" s="722">
        <v>0</v>
      </c>
      <c r="F86" s="721">
        <f t="shared" si="1"/>
        <v>2</v>
      </c>
      <c r="G86" s="540"/>
      <c r="H86" s="706"/>
      <c r="I86" s="540"/>
      <c r="J86" s="540"/>
      <c r="K86" s="540"/>
    </row>
    <row r="87" spans="1:11" ht="16.5" customHeight="1">
      <c r="A87" s="1089" t="s">
        <v>217</v>
      </c>
      <c r="B87" s="714" t="s">
        <v>218</v>
      </c>
      <c r="C87" s="719">
        <v>4</v>
      </c>
      <c r="D87" s="720">
        <v>2</v>
      </c>
      <c r="E87" s="720">
        <v>1</v>
      </c>
      <c r="F87" s="721">
        <f t="shared" si="1"/>
        <v>1</v>
      </c>
      <c r="G87" s="540"/>
      <c r="H87" s="540"/>
      <c r="I87" s="540"/>
      <c r="J87" s="706"/>
      <c r="K87" s="540"/>
    </row>
    <row r="88" spans="1:11" ht="16.5" customHeight="1">
      <c r="A88" s="1089" t="s">
        <v>219</v>
      </c>
      <c r="B88" s="714" t="s">
        <v>220</v>
      </c>
      <c r="C88" s="719">
        <v>45</v>
      </c>
      <c r="D88" s="720">
        <v>31</v>
      </c>
      <c r="E88" s="720">
        <v>12</v>
      </c>
      <c r="F88" s="721">
        <f t="shared" si="1"/>
        <v>2</v>
      </c>
      <c r="G88" s="540"/>
      <c r="H88" s="709"/>
      <c r="I88" s="540"/>
      <c r="J88" s="709"/>
      <c r="K88" s="540"/>
    </row>
    <row r="89" spans="1:11" ht="16.5" customHeight="1">
      <c r="A89" s="1089" t="s">
        <v>221</v>
      </c>
      <c r="B89" s="714" t="s">
        <v>222</v>
      </c>
      <c r="C89" s="719">
        <v>139</v>
      </c>
      <c r="D89" s="720">
        <v>83</v>
      </c>
      <c r="E89" s="720">
        <v>43</v>
      </c>
      <c r="F89" s="721">
        <f t="shared" si="1"/>
        <v>13</v>
      </c>
      <c r="G89" s="540"/>
      <c r="H89" s="708"/>
      <c r="I89" s="540"/>
      <c r="J89" s="708"/>
      <c r="K89" s="540"/>
    </row>
    <row r="90" spans="1:11" ht="16.5" customHeight="1">
      <c r="A90" s="1089" t="s">
        <v>225</v>
      </c>
      <c r="B90" s="714" t="s">
        <v>226</v>
      </c>
      <c r="C90" s="719">
        <v>1</v>
      </c>
      <c r="D90" s="722">
        <v>0</v>
      </c>
      <c r="E90" s="720">
        <v>1</v>
      </c>
      <c r="F90" s="721">
        <f t="shared" si="1"/>
        <v>0</v>
      </c>
      <c r="G90" s="540"/>
      <c r="H90" s="709"/>
      <c r="I90" s="540"/>
      <c r="J90" s="540"/>
      <c r="K90" s="540"/>
    </row>
    <row r="91" spans="1:11" ht="16.5" customHeight="1">
      <c r="A91" s="1089" t="s">
        <v>227</v>
      </c>
      <c r="B91" s="714" t="s">
        <v>228</v>
      </c>
      <c r="C91" s="719">
        <v>10</v>
      </c>
      <c r="D91" s="720">
        <v>4</v>
      </c>
      <c r="E91" s="720">
        <v>6</v>
      </c>
      <c r="F91" s="721">
        <f t="shared" si="1"/>
        <v>0</v>
      </c>
      <c r="G91" s="540"/>
      <c r="H91" s="709"/>
      <c r="I91" s="540"/>
      <c r="J91" s="540"/>
      <c r="K91" s="540"/>
    </row>
    <row r="92" spans="1:11" ht="16.5" customHeight="1">
      <c r="A92" s="1089" t="s">
        <v>229</v>
      </c>
      <c r="B92" s="714" t="s">
        <v>230</v>
      </c>
      <c r="C92" s="719">
        <v>94</v>
      </c>
      <c r="D92" s="720">
        <v>86</v>
      </c>
      <c r="E92" s="720">
        <v>8</v>
      </c>
      <c r="F92" s="721">
        <f t="shared" si="1"/>
        <v>0</v>
      </c>
      <c r="G92" s="540"/>
      <c r="H92" s="709"/>
      <c r="I92" s="540"/>
      <c r="J92" s="540"/>
      <c r="K92" s="540"/>
    </row>
    <row r="93" spans="1:11" ht="16.5" customHeight="1">
      <c r="A93" s="1089" t="s">
        <v>233</v>
      </c>
      <c r="B93" s="714" t="s">
        <v>234</v>
      </c>
      <c r="C93" s="719">
        <v>54</v>
      </c>
      <c r="D93" s="720">
        <v>46</v>
      </c>
      <c r="E93" s="720">
        <v>3</v>
      </c>
      <c r="F93" s="721">
        <f t="shared" si="1"/>
        <v>5</v>
      </c>
      <c r="G93" s="540"/>
      <c r="H93" s="706"/>
      <c r="I93" s="540"/>
      <c r="J93" s="540"/>
      <c r="K93" s="540"/>
    </row>
    <row r="94" spans="1:11" ht="16.5" customHeight="1">
      <c r="A94" s="1089" t="s">
        <v>235</v>
      </c>
      <c r="B94" s="714" t="s">
        <v>236</v>
      </c>
      <c r="C94" s="719">
        <v>39</v>
      </c>
      <c r="D94" s="720">
        <v>38</v>
      </c>
      <c r="E94" s="722">
        <v>0</v>
      </c>
      <c r="F94" s="721">
        <f t="shared" si="1"/>
        <v>1</v>
      </c>
      <c r="G94" s="540"/>
      <c r="H94" s="708"/>
      <c r="I94" s="540"/>
      <c r="J94" s="709"/>
      <c r="K94" s="540"/>
    </row>
    <row r="95" spans="1:11" ht="16.5" customHeight="1">
      <c r="A95" s="1089" t="s">
        <v>237</v>
      </c>
      <c r="B95" s="714" t="s">
        <v>238</v>
      </c>
      <c r="C95" s="719">
        <v>10</v>
      </c>
      <c r="D95" s="720">
        <v>7</v>
      </c>
      <c r="E95" s="720">
        <v>2</v>
      </c>
      <c r="F95" s="721">
        <f t="shared" si="1"/>
        <v>1</v>
      </c>
      <c r="G95" s="540"/>
      <c r="H95" s="708"/>
      <c r="I95" s="540"/>
      <c r="J95" s="540"/>
      <c r="K95" s="540"/>
    </row>
    <row r="96" spans="1:11" ht="16.5" customHeight="1">
      <c r="A96" s="1089" t="s">
        <v>243</v>
      </c>
      <c r="B96" s="714" t="s">
        <v>244</v>
      </c>
      <c r="C96" s="719">
        <v>115</v>
      </c>
      <c r="D96" s="720">
        <v>106</v>
      </c>
      <c r="E96" s="720">
        <v>9</v>
      </c>
      <c r="F96" s="721">
        <f t="shared" si="1"/>
        <v>0</v>
      </c>
      <c r="G96" s="540"/>
      <c r="H96" s="540"/>
      <c r="I96" s="540"/>
      <c r="J96" s="540"/>
      <c r="K96" s="540"/>
    </row>
    <row r="97" spans="1:11" ht="16.5" customHeight="1">
      <c r="A97" s="1089" t="s">
        <v>245</v>
      </c>
      <c r="B97" s="714" t="s">
        <v>246</v>
      </c>
      <c r="C97" s="719">
        <v>19</v>
      </c>
      <c r="D97" s="720">
        <v>19</v>
      </c>
      <c r="E97" s="722">
        <v>0</v>
      </c>
      <c r="F97" s="721">
        <f t="shared" si="1"/>
        <v>0</v>
      </c>
      <c r="G97" s="540"/>
      <c r="H97" s="540"/>
      <c r="I97" s="540"/>
      <c r="J97" s="540"/>
      <c r="K97" s="540"/>
    </row>
    <row r="98" spans="1:11" ht="16.5" customHeight="1">
      <c r="A98" s="1089" t="s">
        <v>247</v>
      </c>
      <c r="B98" s="714" t="s">
        <v>389</v>
      </c>
      <c r="C98" s="719">
        <v>22</v>
      </c>
      <c r="D98" s="720">
        <v>7</v>
      </c>
      <c r="E98" s="720">
        <v>10</v>
      </c>
      <c r="F98" s="721">
        <f t="shared" si="1"/>
        <v>5</v>
      </c>
      <c r="G98" s="540"/>
      <c r="H98" s="708"/>
      <c r="I98" s="540"/>
      <c r="J98" s="709"/>
      <c r="K98" s="540"/>
    </row>
    <row r="99" spans="1:11" ht="16.5" customHeight="1">
      <c r="A99" s="1089" t="s">
        <v>14</v>
      </c>
      <c r="B99" s="714" t="s">
        <v>15</v>
      </c>
      <c r="C99" s="719">
        <v>199</v>
      </c>
      <c r="D99" s="720">
        <v>41</v>
      </c>
      <c r="E99" s="720">
        <v>150</v>
      </c>
      <c r="F99" s="721">
        <f t="shared" si="1"/>
        <v>8</v>
      </c>
      <c r="G99" s="540"/>
      <c r="H99" s="706"/>
      <c r="I99" s="540"/>
      <c r="J99" s="706"/>
      <c r="K99" s="540"/>
    </row>
    <row r="100" spans="1:11" ht="16.5" customHeight="1">
      <c r="A100" s="1089" t="s">
        <v>35</v>
      </c>
      <c r="B100" s="714" t="s">
        <v>36</v>
      </c>
      <c r="C100" s="719">
        <v>25</v>
      </c>
      <c r="D100" s="720">
        <v>17</v>
      </c>
      <c r="E100" s="722">
        <v>0</v>
      </c>
      <c r="F100" s="721">
        <f t="shared" si="1"/>
        <v>8</v>
      </c>
      <c r="G100" s="540"/>
      <c r="H100" s="708"/>
      <c r="I100" s="540"/>
      <c r="J100" s="709"/>
      <c r="K100" s="540"/>
    </row>
    <row r="101" spans="1:11" ht="16.5" customHeight="1">
      <c r="A101" s="1089" t="s">
        <v>53</v>
      </c>
      <c r="B101" s="714" t="s">
        <v>54</v>
      </c>
      <c r="C101" s="719">
        <v>93</v>
      </c>
      <c r="D101" s="720">
        <v>31</v>
      </c>
      <c r="E101" s="720">
        <v>52</v>
      </c>
      <c r="F101" s="721">
        <f t="shared" si="1"/>
        <v>10</v>
      </c>
      <c r="G101" s="540"/>
      <c r="H101" s="708"/>
      <c r="I101" s="540"/>
      <c r="J101" s="540"/>
      <c r="K101" s="540"/>
    </row>
    <row r="102" spans="1:11" ht="16.5" customHeight="1">
      <c r="A102" s="1089" t="s">
        <v>55</v>
      </c>
      <c r="B102" s="714" t="s">
        <v>56</v>
      </c>
      <c r="C102" s="719">
        <v>144</v>
      </c>
      <c r="D102" s="720">
        <v>46</v>
      </c>
      <c r="E102" s="720">
        <v>84</v>
      </c>
      <c r="F102" s="721">
        <f t="shared" si="1"/>
        <v>14</v>
      </c>
      <c r="G102" s="540"/>
      <c r="H102" s="708"/>
      <c r="I102" s="540"/>
      <c r="J102" s="540"/>
      <c r="K102" s="540"/>
    </row>
    <row r="103" spans="1:11" ht="16.5" customHeight="1">
      <c r="A103" s="1089" t="s">
        <v>67</v>
      </c>
      <c r="B103" s="714" t="s">
        <v>68</v>
      </c>
      <c r="C103" s="719">
        <v>49</v>
      </c>
      <c r="D103" s="720">
        <v>13</v>
      </c>
      <c r="E103" s="720">
        <v>35</v>
      </c>
      <c r="F103" s="721">
        <f t="shared" si="1"/>
        <v>1</v>
      </c>
      <c r="G103" s="540"/>
      <c r="H103" s="708"/>
      <c r="I103" s="540"/>
      <c r="J103" s="709"/>
      <c r="K103" s="540"/>
    </row>
    <row r="104" spans="1:11" ht="16.5" customHeight="1">
      <c r="A104" s="1089" t="s">
        <v>83</v>
      </c>
      <c r="B104" s="714" t="s">
        <v>390</v>
      </c>
      <c r="C104" s="719">
        <v>2</v>
      </c>
      <c r="D104" s="720">
        <v>1</v>
      </c>
      <c r="E104" s="720">
        <v>1</v>
      </c>
      <c r="F104" s="721">
        <f t="shared" si="1"/>
        <v>0</v>
      </c>
      <c r="G104" s="540"/>
      <c r="H104" s="540"/>
      <c r="I104" s="540"/>
      <c r="J104" s="540"/>
      <c r="K104" s="540"/>
    </row>
    <row r="105" spans="1:11" ht="16.5" customHeight="1">
      <c r="A105" s="1089" t="s">
        <v>89</v>
      </c>
      <c r="B105" s="714" t="s">
        <v>90</v>
      </c>
      <c r="C105" s="719">
        <v>66</v>
      </c>
      <c r="D105" s="720">
        <v>18</v>
      </c>
      <c r="E105" s="720">
        <v>25</v>
      </c>
      <c r="F105" s="721">
        <f t="shared" si="1"/>
        <v>23</v>
      </c>
      <c r="G105" s="540"/>
      <c r="H105" s="706"/>
      <c r="I105" s="540"/>
      <c r="J105" s="706"/>
      <c r="K105" s="540"/>
    </row>
    <row r="106" spans="1:11" ht="16.5" customHeight="1">
      <c r="A106" s="1089" t="s">
        <v>91</v>
      </c>
      <c r="B106" s="714" t="s">
        <v>92</v>
      </c>
      <c r="C106" s="719">
        <v>14</v>
      </c>
      <c r="D106" s="720">
        <v>11</v>
      </c>
      <c r="E106" s="720">
        <v>2</v>
      </c>
      <c r="F106" s="721">
        <f t="shared" si="1"/>
        <v>1</v>
      </c>
      <c r="G106" s="540"/>
      <c r="H106" s="709"/>
      <c r="I106" s="540"/>
      <c r="J106" s="540"/>
      <c r="K106" s="540"/>
    </row>
    <row r="107" spans="1:11" ht="16.5" customHeight="1">
      <c r="A107" s="1089" t="s">
        <v>107</v>
      </c>
      <c r="B107" s="714" t="s">
        <v>108</v>
      </c>
      <c r="C107" s="719">
        <v>193</v>
      </c>
      <c r="D107" s="720">
        <v>54</v>
      </c>
      <c r="E107" s="720">
        <v>123</v>
      </c>
      <c r="F107" s="721">
        <f t="shared" si="1"/>
        <v>16</v>
      </c>
      <c r="G107" s="540"/>
      <c r="H107" s="708"/>
      <c r="I107" s="540"/>
      <c r="J107" s="540"/>
      <c r="K107" s="540"/>
    </row>
    <row r="108" spans="1:11" ht="16.5" customHeight="1">
      <c r="A108" s="1089" t="s">
        <v>117</v>
      </c>
      <c r="B108" s="714" t="s">
        <v>118</v>
      </c>
      <c r="C108" s="719">
        <v>10</v>
      </c>
      <c r="D108" s="720">
        <v>2</v>
      </c>
      <c r="E108" s="720">
        <v>8</v>
      </c>
      <c r="F108" s="721">
        <f t="shared" si="1"/>
        <v>0</v>
      </c>
      <c r="G108" s="540"/>
      <c r="H108" s="540"/>
      <c r="I108" s="540"/>
      <c r="J108" s="709"/>
      <c r="K108" s="540"/>
    </row>
    <row r="109" spans="1:11" ht="16.5" customHeight="1">
      <c r="A109" s="1089" t="s">
        <v>139</v>
      </c>
      <c r="B109" s="714" t="s">
        <v>140</v>
      </c>
      <c r="C109" s="719">
        <v>256</v>
      </c>
      <c r="D109" s="720">
        <v>65</v>
      </c>
      <c r="E109" s="720">
        <v>151</v>
      </c>
      <c r="F109" s="721">
        <f t="shared" si="1"/>
        <v>40</v>
      </c>
      <c r="G109" s="540"/>
      <c r="H109" s="706"/>
      <c r="I109" s="540"/>
      <c r="J109" s="706"/>
      <c r="K109" s="540"/>
    </row>
    <row r="110" spans="1:11" ht="16.5" customHeight="1">
      <c r="A110" s="1089" t="s">
        <v>143</v>
      </c>
      <c r="B110" s="714" t="s">
        <v>144</v>
      </c>
      <c r="C110" s="719">
        <v>12</v>
      </c>
      <c r="D110" s="720">
        <v>4</v>
      </c>
      <c r="E110" s="720">
        <v>8</v>
      </c>
      <c r="F110" s="721">
        <f t="shared" si="1"/>
        <v>0</v>
      </c>
      <c r="G110" s="540"/>
      <c r="H110" s="709"/>
      <c r="I110" s="540"/>
      <c r="J110" s="709"/>
      <c r="K110" s="540"/>
    </row>
    <row r="111" spans="1:11" ht="16.5" customHeight="1">
      <c r="A111" s="1089" t="s">
        <v>145</v>
      </c>
      <c r="B111" s="714" t="s">
        <v>146</v>
      </c>
      <c r="C111" s="719">
        <v>4</v>
      </c>
      <c r="D111" s="720">
        <v>4</v>
      </c>
      <c r="E111" s="722">
        <v>0</v>
      </c>
      <c r="F111" s="721">
        <f t="shared" si="1"/>
        <v>0</v>
      </c>
      <c r="G111" s="540"/>
      <c r="H111" s="540"/>
      <c r="I111" s="540"/>
      <c r="J111" s="540"/>
      <c r="K111" s="540"/>
    </row>
    <row r="112" spans="1:11" ht="16.5" customHeight="1">
      <c r="A112" s="1089" t="s">
        <v>159</v>
      </c>
      <c r="B112" s="714" t="s">
        <v>160</v>
      </c>
      <c r="C112" s="719">
        <v>402</v>
      </c>
      <c r="D112" s="720">
        <v>68</v>
      </c>
      <c r="E112" s="720">
        <v>311</v>
      </c>
      <c r="F112" s="721">
        <f t="shared" si="1"/>
        <v>23</v>
      </c>
      <c r="G112" s="540"/>
      <c r="H112" s="706"/>
      <c r="I112" s="540"/>
      <c r="J112" s="540"/>
      <c r="K112" s="540"/>
    </row>
    <row r="113" spans="1:11" ht="16.5" customHeight="1">
      <c r="A113" s="1089" t="s">
        <v>161</v>
      </c>
      <c r="B113" s="714" t="s">
        <v>162</v>
      </c>
      <c r="C113" s="719">
        <v>210</v>
      </c>
      <c r="D113" s="720">
        <v>31</v>
      </c>
      <c r="E113" s="720">
        <v>160</v>
      </c>
      <c r="F113" s="721">
        <f t="shared" si="1"/>
        <v>19</v>
      </c>
      <c r="G113" s="540"/>
      <c r="H113" s="706"/>
      <c r="I113" s="706"/>
      <c r="J113" s="540"/>
      <c r="K113" s="540"/>
    </row>
    <row r="114" spans="1:11" ht="16.5" customHeight="1">
      <c r="A114" s="1089" t="s">
        <v>167</v>
      </c>
      <c r="B114" s="714" t="s">
        <v>168</v>
      </c>
      <c r="C114" s="719">
        <v>9</v>
      </c>
      <c r="D114" s="720">
        <v>8</v>
      </c>
      <c r="E114" s="722">
        <v>0</v>
      </c>
      <c r="F114" s="721">
        <f t="shared" si="1"/>
        <v>1</v>
      </c>
      <c r="G114" s="540"/>
      <c r="H114" s="706"/>
      <c r="I114" s="540"/>
      <c r="J114" s="540"/>
      <c r="K114" s="540"/>
    </row>
    <row r="115" spans="1:11" ht="16.5" customHeight="1">
      <c r="A115" s="1089" t="s">
        <v>177</v>
      </c>
      <c r="B115" s="714" t="s">
        <v>178</v>
      </c>
      <c r="C115" s="719">
        <v>117</v>
      </c>
      <c r="D115" s="720">
        <v>15</v>
      </c>
      <c r="E115" s="720">
        <v>85</v>
      </c>
      <c r="F115" s="721">
        <f t="shared" si="1"/>
        <v>17</v>
      </c>
      <c r="G115" s="540"/>
      <c r="H115" s="708"/>
      <c r="I115" s="540"/>
      <c r="J115" s="708"/>
      <c r="K115" s="540"/>
    </row>
    <row r="116" spans="1:11" ht="16.5" customHeight="1">
      <c r="A116" s="1089" t="s">
        <v>181</v>
      </c>
      <c r="B116" s="714" t="s">
        <v>182</v>
      </c>
      <c r="C116" s="719">
        <v>148</v>
      </c>
      <c r="D116" s="720">
        <v>33</v>
      </c>
      <c r="E116" s="720">
        <v>107</v>
      </c>
      <c r="F116" s="721">
        <f t="shared" si="1"/>
        <v>8</v>
      </c>
      <c r="G116" s="540"/>
      <c r="H116" s="708"/>
      <c r="I116" s="540"/>
      <c r="J116" s="540"/>
      <c r="K116" s="540"/>
    </row>
    <row r="117" spans="1:11" ht="16.5" customHeight="1">
      <c r="A117" s="1089" t="s">
        <v>193</v>
      </c>
      <c r="B117" s="714" t="s">
        <v>194</v>
      </c>
      <c r="C117" s="719">
        <v>13</v>
      </c>
      <c r="D117" s="720">
        <v>10</v>
      </c>
      <c r="E117" s="720">
        <v>3</v>
      </c>
      <c r="F117" s="721">
        <f t="shared" si="1"/>
        <v>0</v>
      </c>
      <c r="G117" s="540"/>
      <c r="H117" s="709"/>
      <c r="I117" s="540"/>
      <c r="J117" s="540"/>
      <c r="K117" s="540"/>
    </row>
    <row r="118" spans="1:11" ht="16.5" customHeight="1">
      <c r="A118" s="1089" t="s">
        <v>197</v>
      </c>
      <c r="B118" s="714" t="s">
        <v>391</v>
      </c>
      <c r="C118" s="719">
        <v>536</v>
      </c>
      <c r="D118" s="720">
        <v>62</v>
      </c>
      <c r="E118" s="720">
        <v>454</v>
      </c>
      <c r="F118" s="721">
        <f t="shared" si="1"/>
        <v>20</v>
      </c>
      <c r="G118" s="540"/>
      <c r="H118" s="708"/>
      <c r="I118" s="540"/>
      <c r="J118" s="706"/>
      <c r="K118" s="540"/>
    </row>
    <row r="119" spans="1:11" ht="16.5" customHeight="1">
      <c r="A119" s="1089" t="s">
        <v>201</v>
      </c>
      <c r="B119" s="714" t="s">
        <v>392</v>
      </c>
      <c r="C119" s="719">
        <v>359</v>
      </c>
      <c r="D119" s="720">
        <v>188</v>
      </c>
      <c r="E119" s="720">
        <v>136</v>
      </c>
      <c r="F119" s="721">
        <f t="shared" si="1"/>
        <v>35</v>
      </c>
      <c r="G119" s="540"/>
      <c r="H119" s="706"/>
      <c r="I119" s="540"/>
      <c r="J119" s="706"/>
      <c r="K119" s="540"/>
    </row>
    <row r="120" spans="1:11" ht="16.5" customHeight="1">
      <c r="A120" s="1089" t="s">
        <v>223</v>
      </c>
      <c r="B120" s="714" t="s">
        <v>224</v>
      </c>
      <c r="C120" s="719">
        <v>37</v>
      </c>
      <c r="D120" s="720">
        <v>8</v>
      </c>
      <c r="E120" s="720">
        <v>28</v>
      </c>
      <c r="F120" s="721">
        <f t="shared" si="1"/>
        <v>1</v>
      </c>
      <c r="G120" s="540"/>
      <c r="H120" s="709"/>
      <c r="I120" s="540"/>
      <c r="J120" s="540"/>
      <c r="K120" s="540"/>
    </row>
    <row r="121" spans="1:11" ht="16.5" customHeight="1">
      <c r="A121" s="1089" t="s">
        <v>231</v>
      </c>
      <c r="B121" s="714" t="s">
        <v>232</v>
      </c>
      <c r="C121" s="719">
        <v>296</v>
      </c>
      <c r="D121" s="720">
        <v>151</v>
      </c>
      <c r="E121" s="720">
        <v>115</v>
      </c>
      <c r="F121" s="721">
        <f t="shared" si="1"/>
        <v>30</v>
      </c>
      <c r="G121" s="540"/>
      <c r="H121" s="706"/>
      <c r="I121" s="540"/>
      <c r="J121" s="706"/>
      <c r="K121" s="540"/>
    </row>
    <row r="122" spans="1:11" ht="16.5" customHeight="1">
      <c r="A122" s="1089" t="s">
        <v>239</v>
      </c>
      <c r="B122" s="714" t="s">
        <v>240</v>
      </c>
      <c r="C122" s="719">
        <v>14</v>
      </c>
      <c r="D122" s="720">
        <v>2</v>
      </c>
      <c r="E122" s="720">
        <v>12</v>
      </c>
      <c r="F122" s="721">
        <f t="shared" si="1"/>
        <v>0</v>
      </c>
      <c r="G122" s="540"/>
      <c r="H122" s="540"/>
      <c r="I122" s="540"/>
      <c r="J122" s="540"/>
      <c r="K122" s="540"/>
    </row>
    <row r="123" spans="1:11" ht="16.5" customHeight="1">
      <c r="A123" s="1089" t="s">
        <v>241</v>
      </c>
      <c r="B123" s="714" t="s">
        <v>242</v>
      </c>
      <c r="C123" s="719">
        <v>37</v>
      </c>
      <c r="D123" s="720">
        <v>27</v>
      </c>
      <c r="E123" s="720">
        <v>7</v>
      </c>
      <c r="F123" s="721">
        <f t="shared" si="1"/>
        <v>3</v>
      </c>
      <c r="G123" s="540"/>
      <c r="H123" s="708"/>
      <c r="I123" s="540"/>
      <c r="J123" s="540"/>
      <c r="K123" s="540"/>
    </row>
    <row r="124" spans="1:11">
      <c r="C124" s="540"/>
      <c r="D124" s="540"/>
      <c r="E124" s="710"/>
      <c r="F124" s="540"/>
      <c r="G124" s="540"/>
      <c r="H124" s="540"/>
      <c r="I124" s="540"/>
      <c r="J124" s="540"/>
      <c r="K124" s="540"/>
    </row>
    <row r="125" spans="1:11">
      <c r="A125" s="538" t="s">
        <v>1019</v>
      </c>
      <c r="C125" s="540"/>
    </row>
    <row r="127" spans="1:11" s="519" customFormat="1">
      <c r="A127" s="519" t="s">
        <v>250</v>
      </c>
    </row>
    <row r="128" spans="1:11" s="519" customFormat="1">
      <c r="A128" s="536" t="s">
        <v>251</v>
      </c>
      <c r="B128" s="407" t="s">
        <v>252</v>
      </c>
    </row>
  </sheetData>
  <hyperlinks>
    <hyperlink ref="B128" r:id="rId1"/>
  </hyperlinks>
  <pageMargins left="0.75" right="0.75" top="1" bottom="1" header="0.5" footer="0.5"/>
  <pageSetup orientation="portrait" r:id="rId2"/>
</worksheet>
</file>

<file path=xl/worksheets/sheet16.xml><?xml version="1.0" encoding="utf-8"?>
<worksheet xmlns="http://schemas.openxmlformats.org/spreadsheetml/2006/main" xmlns:r="http://schemas.openxmlformats.org/officeDocument/2006/relationships">
  <dimension ref="A1:F130"/>
  <sheetViews>
    <sheetView zoomScaleNormal="232" zoomScaleSheetLayoutView="242" workbookViewId="0">
      <pane ySplit="3" topLeftCell="A99" activePane="bottomLeft" state="frozen"/>
      <selection pane="bottomLeft" activeCell="B12" sqref="B12"/>
    </sheetView>
  </sheetViews>
  <sheetFormatPr defaultRowHeight="12.75"/>
  <cols>
    <col min="1" max="1" width="12.25" style="538" customWidth="1"/>
    <col min="2" max="2" width="28.75" style="538" bestFit="1" customWidth="1"/>
    <col min="3" max="6" width="12.25" style="538" customWidth="1"/>
    <col min="7" max="16384" width="9" style="538"/>
  </cols>
  <sheetData>
    <row r="1" spans="1:6" ht="15.75">
      <c r="A1" s="543" t="s">
        <v>1017</v>
      </c>
    </row>
    <row r="3" spans="1:6" ht="16.5" customHeight="1">
      <c r="A3" s="724" t="s">
        <v>372</v>
      </c>
      <c r="B3" s="724" t="s">
        <v>373</v>
      </c>
      <c r="C3" s="724" t="s">
        <v>675</v>
      </c>
      <c r="D3" s="724" t="s">
        <v>2</v>
      </c>
      <c r="E3" s="724" t="s">
        <v>667</v>
      </c>
      <c r="F3" s="725" t="s">
        <v>668</v>
      </c>
    </row>
    <row r="4" spans="1:6" ht="16.5" customHeight="1">
      <c r="A4" s="1103">
        <v>999</v>
      </c>
      <c r="B4" s="726" t="s">
        <v>9</v>
      </c>
      <c r="C4" s="602">
        <f>SUM(C5:C124)</f>
        <v>99657</v>
      </c>
      <c r="D4" s="602">
        <f>SUM(D5:D124)</f>
        <v>56987</v>
      </c>
      <c r="E4" s="602">
        <f>SUM(E5:E124)</f>
        <v>27497</v>
      </c>
      <c r="F4" s="602">
        <f>SUM(F5:F124)</f>
        <v>15173</v>
      </c>
    </row>
    <row r="5" spans="1:6" ht="16.5" customHeight="1">
      <c r="A5" s="1104" t="s">
        <v>10</v>
      </c>
      <c r="B5" s="727" t="s">
        <v>11</v>
      </c>
      <c r="C5" s="728">
        <v>407</v>
      </c>
      <c r="D5" s="728">
        <v>257</v>
      </c>
      <c r="E5" s="728">
        <v>144</v>
      </c>
      <c r="F5" s="729">
        <f>+C5-(D5+E5)</f>
        <v>6</v>
      </c>
    </row>
    <row r="6" spans="1:6" ht="16.5" customHeight="1">
      <c r="A6" s="1104" t="s">
        <v>12</v>
      </c>
      <c r="B6" s="727" t="s">
        <v>13</v>
      </c>
      <c r="C6" s="728">
        <v>602</v>
      </c>
      <c r="D6" s="728">
        <v>343</v>
      </c>
      <c r="E6" s="728">
        <v>167</v>
      </c>
      <c r="F6" s="729">
        <f t="shared" ref="F6:F69" si="0">+C6-(D6+E6)</f>
        <v>92</v>
      </c>
    </row>
    <row r="7" spans="1:6" ht="16.5" customHeight="1">
      <c r="A7" s="1104" t="s">
        <v>16</v>
      </c>
      <c r="B7" s="727" t="s">
        <v>364</v>
      </c>
      <c r="C7" s="728">
        <v>504</v>
      </c>
      <c r="D7" s="728">
        <v>418</v>
      </c>
      <c r="E7" s="728">
        <v>25</v>
      </c>
      <c r="F7" s="729">
        <f t="shared" si="0"/>
        <v>61</v>
      </c>
    </row>
    <row r="8" spans="1:6" ht="16.5" customHeight="1">
      <c r="A8" s="1104" t="s">
        <v>18</v>
      </c>
      <c r="B8" s="727" t="s">
        <v>19</v>
      </c>
      <c r="C8" s="728">
        <v>164</v>
      </c>
      <c r="D8" s="728">
        <v>119</v>
      </c>
      <c r="E8" s="728">
        <v>32</v>
      </c>
      <c r="F8" s="729">
        <f t="shared" si="0"/>
        <v>13</v>
      </c>
    </row>
    <row r="9" spans="1:6" ht="16.5" customHeight="1">
      <c r="A9" s="1104" t="s">
        <v>20</v>
      </c>
      <c r="B9" s="727" t="s">
        <v>21</v>
      </c>
      <c r="C9" s="728">
        <v>352</v>
      </c>
      <c r="D9" s="728">
        <v>271</v>
      </c>
      <c r="E9" s="728">
        <v>57</v>
      </c>
      <c r="F9" s="729">
        <f t="shared" si="0"/>
        <v>24</v>
      </c>
    </row>
    <row r="10" spans="1:6" ht="16.5" customHeight="1">
      <c r="A10" s="1104" t="s">
        <v>22</v>
      </c>
      <c r="B10" s="727" t="s">
        <v>23</v>
      </c>
      <c r="C10" s="728">
        <v>269</v>
      </c>
      <c r="D10" s="728">
        <v>176</v>
      </c>
      <c r="E10" s="728">
        <v>62</v>
      </c>
      <c r="F10" s="729">
        <f t="shared" si="0"/>
        <v>31</v>
      </c>
    </row>
    <row r="11" spans="1:6" ht="16.5" customHeight="1">
      <c r="A11" s="1104" t="s">
        <v>24</v>
      </c>
      <c r="B11" s="727" t="s">
        <v>25</v>
      </c>
      <c r="C11" s="728">
        <v>1492</v>
      </c>
      <c r="D11" s="728">
        <v>818</v>
      </c>
      <c r="E11" s="728">
        <v>432</v>
      </c>
      <c r="F11" s="729">
        <f t="shared" si="0"/>
        <v>242</v>
      </c>
    </row>
    <row r="12" spans="1:6" ht="16.5" customHeight="1">
      <c r="A12" s="1104" t="s">
        <v>26</v>
      </c>
      <c r="B12" s="727" t="s">
        <v>1114</v>
      </c>
      <c r="C12" s="728">
        <v>3396</v>
      </c>
      <c r="D12" s="728">
        <v>2680</v>
      </c>
      <c r="E12" s="728">
        <v>280</v>
      </c>
      <c r="F12" s="729">
        <f t="shared" si="0"/>
        <v>436</v>
      </c>
    </row>
    <row r="13" spans="1:6" ht="16.5" customHeight="1">
      <c r="A13" s="1104" t="s">
        <v>27</v>
      </c>
      <c r="B13" s="727" t="s">
        <v>28</v>
      </c>
      <c r="C13" s="728">
        <v>39</v>
      </c>
      <c r="D13" s="728">
        <v>34</v>
      </c>
      <c r="E13" s="728">
        <v>4</v>
      </c>
      <c r="F13" s="729">
        <f t="shared" si="0"/>
        <v>1</v>
      </c>
    </row>
    <row r="14" spans="1:6" ht="16.5" customHeight="1">
      <c r="A14" s="1104" t="s">
        <v>29</v>
      </c>
      <c r="B14" s="727" t="s">
        <v>386</v>
      </c>
      <c r="C14" s="728">
        <v>1175</v>
      </c>
      <c r="D14" s="728">
        <v>1036</v>
      </c>
      <c r="E14" s="728">
        <v>69</v>
      </c>
      <c r="F14" s="729">
        <f t="shared" si="0"/>
        <v>70</v>
      </c>
    </row>
    <row r="15" spans="1:6" ht="16.5" customHeight="1">
      <c r="A15" s="1104" t="s">
        <v>31</v>
      </c>
      <c r="B15" s="727" t="s">
        <v>32</v>
      </c>
      <c r="C15" s="728">
        <v>105</v>
      </c>
      <c r="D15" s="728">
        <v>104</v>
      </c>
      <c r="E15" s="728">
        <v>0</v>
      </c>
      <c r="F15" s="729">
        <f t="shared" si="0"/>
        <v>1</v>
      </c>
    </row>
    <row r="16" spans="1:6" ht="16.5" customHeight="1">
      <c r="A16" s="1104" t="s">
        <v>33</v>
      </c>
      <c r="B16" s="727" t="s">
        <v>34</v>
      </c>
      <c r="C16" s="728">
        <v>114</v>
      </c>
      <c r="D16" s="728">
        <v>93</v>
      </c>
      <c r="E16" s="728">
        <v>3</v>
      </c>
      <c r="F16" s="729">
        <f t="shared" si="0"/>
        <v>18</v>
      </c>
    </row>
    <row r="17" spans="1:6" ht="16.5" customHeight="1">
      <c r="A17" s="1104" t="s">
        <v>37</v>
      </c>
      <c r="B17" s="727" t="s">
        <v>38</v>
      </c>
      <c r="C17" s="728">
        <v>100</v>
      </c>
      <c r="D17" s="728">
        <v>25</v>
      </c>
      <c r="E17" s="728">
        <v>58</v>
      </c>
      <c r="F17" s="729">
        <f t="shared" si="0"/>
        <v>17</v>
      </c>
    </row>
    <row r="18" spans="1:6" ht="16.5" customHeight="1">
      <c r="A18" s="1104" t="s">
        <v>39</v>
      </c>
      <c r="B18" s="727" t="s">
        <v>40</v>
      </c>
      <c r="C18" s="728">
        <v>333</v>
      </c>
      <c r="D18" s="728">
        <v>329</v>
      </c>
      <c r="E18" s="728">
        <v>1</v>
      </c>
      <c r="F18" s="729">
        <f t="shared" si="0"/>
        <v>3</v>
      </c>
    </row>
    <row r="19" spans="1:6" ht="16.5" customHeight="1">
      <c r="A19" s="1104" t="s">
        <v>41</v>
      </c>
      <c r="B19" s="727" t="s">
        <v>42</v>
      </c>
      <c r="C19" s="728">
        <v>155</v>
      </c>
      <c r="D19" s="728">
        <v>106</v>
      </c>
      <c r="E19" s="728">
        <v>41</v>
      </c>
      <c r="F19" s="729">
        <f t="shared" si="0"/>
        <v>8</v>
      </c>
    </row>
    <row r="20" spans="1:6" ht="16.5" customHeight="1">
      <c r="A20" s="1104" t="s">
        <v>43</v>
      </c>
      <c r="B20" s="727" t="s">
        <v>44</v>
      </c>
      <c r="C20" s="728">
        <v>1439</v>
      </c>
      <c r="D20" s="728">
        <v>1065</v>
      </c>
      <c r="E20" s="728">
        <v>201</v>
      </c>
      <c r="F20" s="729">
        <f t="shared" si="0"/>
        <v>173</v>
      </c>
    </row>
    <row r="21" spans="1:6" ht="16.5" customHeight="1">
      <c r="A21" s="1104" t="s">
        <v>45</v>
      </c>
      <c r="B21" s="727" t="s">
        <v>46</v>
      </c>
      <c r="C21" s="728">
        <v>414</v>
      </c>
      <c r="D21" s="728">
        <v>292</v>
      </c>
      <c r="E21" s="728">
        <v>80</v>
      </c>
      <c r="F21" s="729">
        <f t="shared" si="0"/>
        <v>42</v>
      </c>
    </row>
    <row r="22" spans="1:6" ht="16.5" customHeight="1">
      <c r="A22" s="1104" t="s">
        <v>47</v>
      </c>
      <c r="B22" s="727" t="s">
        <v>48</v>
      </c>
      <c r="C22" s="728">
        <v>585</v>
      </c>
      <c r="D22" s="728">
        <v>549</v>
      </c>
      <c r="E22" s="728">
        <v>24</v>
      </c>
      <c r="F22" s="729">
        <f t="shared" si="0"/>
        <v>12</v>
      </c>
    </row>
    <row r="23" spans="1:6" ht="16.5" customHeight="1">
      <c r="A23" s="1104" t="s">
        <v>49</v>
      </c>
      <c r="B23" s="727" t="s">
        <v>279</v>
      </c>
      <c r="C23" s="728">
        <v>55</v>
      </c>
      <c r="D23" s="728">
        <v>20</v>
      </c>
      <c r="E23" s="728">
        <v>29</v>
      </c>
      <c r="F23" s="729">
        <f t="shared" si="0"/>
        <v>6</v>
      </c>
    </row>
    <row r="24" spans="1:6" ht="16.5" customHeight="1">
      <c r="A24" s="1104" t="s">
        <v>51</v>
      </c>
      <c r="B24" s="727" t="s">
        <v>52</v>
      </c>
      <c r="C24" s="728">
        <v>109</v>
      </c>
      <c r="D24" s="728">
        <v>59</v>
      </c>
      <c r="E24" s="728">
        <v>35</v>
      </c>
      <c r="F24" s="729">
        <f t="shared" si="0"/>
        <v>15</v>
      </c>
    </row>
    <row r="25" spans="1:6" ht="16.5" customHeight="1">
      <c r="A25" s="1104" t="s">
        <v>57</v>
      </c>
      <c r="B25" s="727" t="s">
        <v>362</v>
      </c>
      <c r="C25" s="728">
        <v>3633</v>
      </c>
      <c r="D25" s="728">
        <v>2284</v>
      </c>
      <c r="E25" s="728">
        <v>967</v>
      </c>
      <c r="F25" s="729">
        <f t="shared" si="0"/>
        <v>382</v>
      </c>
    </row>
    <row r="26" spans="1:6" ht="16.5" customHeight="1">
      <c r="A26" s="1104" t="s">
        <v>59</v>
      </c>
      <c r="B26" s="727" t="s">
        <v>60</v>
      </c>
      <c r="C26" s="728">
        <v>87</v>
      </c>
      <c r="D26" s="728">
        <v>52</v>
      </c>
      <c r="E26" s="728">
        <v>12</v>
      </c>
      <c r="F26" s="729">
        <f t="shared" si="0"/>
        <v>23</v>
      </c>
    </row>
    <row r="27" spans="1:6" ht="16.5" customHeight="1">
      <c r="A27" s="1104" t="s">
        <v>61</v>
      </c>
      <c r="B27" s="727" t="s">
        <v>62</v>
      </c>
      <c r="C27" s="728">
        <v>73</v>
      </c>
      <c r="D27" s="728">
        <v>68</v>
      </c>
      <c r="E27" s="728">
        <v>1</v>
      </c>
      <c r="F27" s="729">
        <f t="shared" si="0"/>
        <v>4</v>
      </c>
    </row>
    <row r="28" spans="1:6" ht="16.5" customHeight="1">
      <c r="A28" s="1104" t="s">
        <v>63</v>
      </c>
      <c r="B28" s="727" t="s">
        <v>64</v>
      </c>
      <c r="C28" s="728">
        <v>727</v>
      </c>
      <c r="D28" s="728">
        <v>472</v>
      </c>
      <c r="E28" s="728">
        <v>106</v>
      </c>
      <c r="F28" s="729">
        <f t="shared" si="0"/>
        <v>149</v>
      </c>
    </row>
    <row r="29" spans="1:6" ht="16.5" customHeight="1">
      <c r="A29" s="1104" t="s">
        <v>65</v>
      </c>
      <c r="B29" s="727" t="s">
        <v>66</v>
      </c>
      <c r="C29" s="728">
        <v>126</v>
      </c>
      <c r="D29" s="728">
        <v>82</v>
      </c>
      <c r="E29" s="728">
        <v>36</v>
      </c>
      <c r="F29" s="729">
        <f t="shared" si="0"/>
        <v>8</v>
      </c>
    </row>
    <row r="30" spans="1:6" ht="16.5" customHeight="1">
      <c r="A30" s="1104" t="s">
        <v>69</v>
      </c>
      <c r="B30" s="727" t="s">
        <v>70</v>
      </c>
      <c r="C30" s="728">
        <v>300</v>
      </c>
      <c r="D30" s="728">
        <v>297</v>
      </c>
      <c r="E30" s="728">
        <v>0</v>
      </c>
      <c r="F30" s="729">
        <f t="shared" si="0"/>
        <v>3</v>
      </c>
    </row>
    <row r="31" spans="1:6" ht="16.5" customHeight="1">
      <c r="A31" s="1104" t="s">
        <v>71</v>
      </c>
      <c r="B31" s="727" t="s">
        <v>72</v>
      </c>
      <c r="C31" s="728">
        <v>257</v>
      </c>
      <c r="D31" s="728">
        <v>183</v>
      </c>
      <c r="E31" s="728">
        <v>51</v>
      </c>
      <c r="F31" s="729">
        <f t="shared" si="0"/>
        <v>23</v>
      </c>
    </row>
    <row r="32" spans="1:6" ht="16.5" customHeight="1">
      <c r="A32" s="1104" t="s">
        <v>73</v>
      </c>
      <c r="B32" s="727" t="s">
        <v>74</v>
      </c>
      <c r="C32" s="728">
        <v>124</v>
      </c>
      <c r="D32" s="728">
        <v>48</v>
      </c>
      <c r="E32" s="728">
        <v>49</v>
      </c>
      <c r="F32" s="729">
        <f t="shared" si="0"/>
        <v>27</v>
      </c>
    </row>
    <row r="33" spans="1:6" ht="16.5" customHeight="1">
      <c r="A33" s="1104" t="s">
        <v>75</v>
      </c>
      <c r="B33" s="727" t="s">
        <v>369</v>
      </c>
      <c r="C33" s="728">
        <v>8077</v>
      </c>
      <c r="D33" s="728">
        <v>5208</v>
      </c>
      <c r="E33" s="728">
        <v>1661</v>
      </c>
      <c r="F33" s="729">
        <f t="shared" si="0"/>
        <v>1208</v>
      </c>
    </row>
    <row r="34" spans="1:6" ht="16.5" customHeight="1">
      <c r="A34" s="1104" t="s">
        <v>77</v>
      </c>
      <c r="B34" s="727" t="s">
        <v>78</v>
      </c>
      <c r="C34" s="728">
        <v>664</v>
      </c>
      <c r="D34" s="728">
        <v>472</v>
      </c>
      <c r="E34" s="728">
        <v>105</v>
      </c>
      <c r="F34" s="729">
        <f t="shared" si="0"/>
        <v>87</v>
      </c>
    </row>
    <row r="35" spans="1:6" ht="16.5" customHeight="1">
      <c r="A35" s="1104" t="s">
        <v>79</v>
      </c>
      <c r="B35" s="727" t="s">
        <v>80</v>
      </c>
      <c r="C35" s="728">
        <v>161</v>
      </c>
      <c r="D35" s="728">
        <v>149</v>
      </c>
      <c r="E35" s="728">
        <v>5</v>
      </c>
      <c r="F35" s="729">
        <f t="shared" si="0"/>
        <v>7</v>
      </c>
    </row>
    <row r="36" spans="1:6" ht="16.5" customHeight="1">
      <c r="A36" s="1104" t="s">
        <v>81</v>
      </c>
      <c r="B36" s="727" t="s">
        <v>82</v>
      </c>
      <c r="C36" s="728">
        <v>345</v>
      </c>
      <c r="D36" s="728">
        <v>245</v>
      </c>
      <c r="E36" s="728">
        <v>75</v>
      </c>
      <c r="F36" s="729">
        <f t="shared" si="0"/>
        <v>25</v>
      </c>
    </row>
    <row r="37" spans="1:6" ht="16.5" customHeight="1">
      <c r="A37" s="1104" t="s">
        <v>85</v>
      </c>
      <c r="B37" s="727" t="s">
        <v>387</v>
      </c>
      <c r="C37" s="728">
        <v>1290</v>
      </c>
      <c r="D37" s="728">
        <v>955</v>
      </c>
      <c r="E37" s="728">
        <v>58</v>
      </c>
      <c r="F37" s="729">
        <f t="shared" si="0"/>
        <v>277</v>
      </c>
    </row>
    <row r="38" spans="1:6" ht="16.5" customHeight="1">
      <c r="A38" s="1104" t="s">
        <v>87</v>
      </c>
      <c r="B38" s="727" t="s">
        <v>88</v>
      </c>
      <c r="C38" s="728">
        <v>1370</v>
      </c>
      <c r="D38" s="728">
        <v>777</v>
      </c>
      <c r="E38" s="728">
        <v>57</v>
      </c>
      <c r="F38" s="729">
        <f t="shared" si="0"/>
        <v>536</v>
      </c>
    </row>
    <row r="39" spans="1:6" ht="16.5" customHeight="1">
      <c r="A39" s="1104" t="s">
        <v>93</v>
      </c>
      <c r="B39" s="727" t="s">
        <v>94</v>
      </c>
      <c r="C39" s="728">
        <v>487</v>
      </c>
      <c r="D39" s="728">
        <v>469</v>
      </c>
      <c r="E39" s="728">
        <v>2</v>
      </c>
      <c r="F39" s="729">
        <f t="shared" si="0"/>
        <v>16</v>
      </c>
    </row>
    <row r="40" spans="1:6" ht="16.5" customHeight="1">
      <c r="A40" s="1104" t="s">
        <v>95</v>
      </c>
      <c r="B40" s="727" t="s">
        <v>96</v>
      </c>
      <c r="C40" s="728">
        <v>546</v>
      </c>
      <c r="D40" s="728">
        <v>426</v>
      </c>
      <c r="E40" s="728">
        <v>36</v>
      </c>
      <c r="F40" s="729">
        <f t="shared" si="0"/>
        <v>84</v>
      </c>
    </row>
    <row r="41" spans="1:6" ht="16.5" customHeight="1">
      <c r="A41" s="1104" t="s">
        <v>97</v>
      </c>
      <c r="B41" s="727" t="s">
        <v>98</v>
      </c>
      <c r="C41" s="728">
        <v>102</v>
      </c>
      <c r="D41" s="728">
        <v>65</v>
      </c>
      <c r="E41" s="728">
        <v>19</v>
      </c>
      <c r="F41" s="729">
        <f t="shared" si="0"/>
        <v>18</v>
      </c>
    </row>
    <row r="42" spans="1:6" ht="16.5" customHeight="1">
      <c r="A42" s="1104" t="s">
        <v>99</v>
      </c>
      <c r="B42" s="727" t="s">
        <v>100</v>
      </c>
      <c r="C42" s="728">
        <v>318</v>
      </c>
      <c r="D42" s="728">
        <v>301</v>
      </c>
      <c r="E42" s="728">
        <v>6</v>
      </c>
      <c r="F42" s="729">
        <f t="shared" si="0"/>
        <v>11</v>
      </c>
    </row>
    <row r="43" spans="1:6" ht="16.5" customHeight="1">
      <c r="A43" s="1104" t="s">
        <v>101</v>
      </c>
      <c r="B43" s="727" t="s">
        <v>102</v>
      </c>
      <c r="C43" s="728">
        <v>172</v>
      </c>
      <c r="D43" s="728">
        <v>127</v>
      </c>
      <c r="E43" s="728">
        <v>14</v>
      </c>
      <c r="F43" s="729">
        <f t="shared" si="0"/>
        <v>31</v>
      </c>
    </row>
    <row r="44" spans="1:6" ht="16.5" customHeight="1">
      <c r="A44" s="1104" t="s">
        <v>103</v>
      </c>
      <c r="B44" s="727" t="s">
        <v>104</v>
      </c>
      <c r="C44" s="728">
        <v>193</v>
      </c>
      <c r="D44" s="728">
        <v>37</v>
      </c>
      <c r="E44" s="728">
        <v>148</v>
      </c>
      <c r="F44" s="729">
        <f t="shared" si="0"/>
        <v>8</v>
      </c>
    </row>
    <row r="45" spans="1:6" ht="16.5" customHeight="1">
      <c r="A45" s="1104" t="s">
        <v>105</v>
      </c>
      <c r="B45" s="727" t="s">
        <v>388</v>
      </c>
      <c r="C45" s="728">
        <v>398</v>
      </c>
      <c r="D45" s="728">
        <v>204</v>
      </c>
      <c r="E45" s="728">
        <v>158</v>
      </c>
      <c r="F45" s="729">
        <f t="shared" si="0"/>
        <v>36</v>
      </c>
    </row>
    <row r="46" spans="1:6" ht="16.5" customHeight="1">
      <c r="A46" s="1104" t="s">
        <v>109</v>
      </c>
      <c r="B46" s="727" t="s">
        <v>110</v>
      </c>
      <c r="C46" s="728">
        <v>660</v>
      </c>
      <c r="D46" s="728">
        <v>498</v>
      </c>
      <c r="E46" s="728">
        <v>86</v>
      </c>
      <c r="F46" s="729">
        <f t="shared" si="0"/>
        <v>76</v>
      </c>
    </row>
    <row r="47" spans="1:6" ht="16.5" customHeight="1">
      <c r="A47" s="1104" t="s">
        <v>111</v>
      </c>
      <c r="B47" s="727" t="s">
        <v>112</v>
      </c>
      <c r="C47" s="728">
        <v>2414</v>
      </c>
      <c r="D47" s="728">
        <v>949</v>
      </c>
      <c r="E47" s="728">
        <v>1110</v>
      </c>
      <c r="F47" s="729">
        <f t="shared" si="0"/>
        <v>355</v>
      </c>
    </row>
    <row r="48" spans="1:6" ht="16.5" customHeight="1">
      <c r="A48" s="1104" t="s">
        <v>113</v>
      </c>
      <c r="B48" s="727" t="s">
        <v>367</v>
      </c>
      <c r="C48" s="728">
        <v>1063</v>
      </c>
      <c r="D48" s="728">
        <v>606</v>
      </c>
      <c r="E48" s="728">
        <v>253</v>
      </c>
      <c r="F48" s="729">
        <f t="shared" si="0"/>
        <v>204</v>
      </c>
    </row>
    <row r="49" spans="1:6" ht="16.5" customHeight="1">
      <c r="A49" s="1104" t="s">
        <v>115</v>
      </c>
      <c r="B49" s="727" t="s">
        <v>116</v>
      </c>
      <c r="C49" s="728">
        <v>30</v>
      </c>
      <c r="D49" s="728">
        <v>27</v>
      </c>
      <c r="E49" s="728">
        <v>0</v>
      </c>
      <c r="F49" s="729">
        <f t="shared" si="0"/>
        <v>3</v>
      </c>
    </row>
    <row r="50" spans="1:6" ht="16.5" customHeight="1">
      <c r="A50" s="1104" t="s">
        <v>119</v>
      </c>
      <c r="B50" s="727" t="s">
        <v>120</v>
      </c>
      <c r="C50" s="728">
        <v>228</v>
      </c>
      <c r="D50" s="728">
        <v>160</v>
      </c>
      <c r="E50" s="728">
        <v>62</v>
      </c>
      <c r="F50" s="729">
        <f t="shared" si="0"/>
        <v>6</v>
      </c>
    </row>
    <row r="51" spans="1:6" ht="16.5" customHeight="1">
      <c r="A51" s="1104" t="s">
        <v>121</v>
      </c>
      <c r="B51" s="727" t="s">
        <v>122</v>
      </c>
      <c r="C51" s="728">
        <v>578</v>
      </c>
      <c r="D51" s="728">
        <v>343</v>
      </c>
      <c r="E51" s="728">
        <v>183</v>
      </c>
      <c r="F51" s="729">
        <f t="shared" si="0"/>
        <v>52</v>
      </c>
    </row>
    <row r="52" spans="1:6" ht="16.5" customHeight="1">
      <c r="A52" s="1104" t="s">
        <v>123</v>
      </c>
      <c r="B52" s="727" t="s">
        <v>284</v>
      </c>
      <c r="C52" s="728">
        <v>90</v>
      </c>
      <c r="D52" s="728">
        <v>52</v>
      </c>
      <c r="E52" s="728">
        <v>33</v>
      </c>
      <c r="F52" s="729">
        <f t="shared" si="0"/>
        <v>5</v>
      </c>
    </row>
    <row r="53" spans="1:6" ht="16.5" customHeight="1">
      <c r="A53" s="1104" t="s">
        <v>125</v>
      </c>
      <c r="B53" s="727" t="s">
        <v>126</v>
      </c>
      <c r="C53" s="728">
        <v>247</v>
      </c>
      <c r="D53" s="728">
        <v>179</v>
      </c>
      <c r="E53" s="728">
        <v>36</v>
      </c>
      <c r="F53" s="729">
        <f t="shared" si="0"/>
        <v>32</v>
      </c>
    </row>
    <row r="54" spans="1:6" ht="16.5" customHeight="1">
      <c r="A54" s="1104" t="s">
        <v>127</v>
      </c>
      <c r="B54" s="727" t="s">
        <v>128</v>
      </c>
      <c r="C54" s="728">
        <v>145</v>
      </c>
      <c r="D54" s="728">
        <v>103</v>
      </c>
      <c r="E54" s="728">
        <v>20</v>
      </c>
      <c r="F54" s="729">
        <f t="shared" si="0"/>
        <v>22</v>
      </c>
    </row>
    <row r="55" spans="1:6" ht="16.5" customHeight="1">
      <c r="A55" s="1104" t="s">
        <v>129</v>
      </c>
      <c r="B55" s="727" t="s">
        <v>130</v>
      </c>
      <c r="C55" s="728">
        <v>91</v>
      </c>
      <c r="D55" s="728">
        <v>51</v>
      </c>
      <c r="E55" s="728">
        <v>31</v>
      </c>
      <c r="F55" s="729">
        <f t="shared" si="0"/>
        <v>9</v>
      </c>
    </row>
    <row r="56" spans="1:6" ht="16.5" customHeight="1">
      <c r="A56" s="1104" t="s">
        <v>131</v>
      </c>
      <c r="B56" s="727" t="s">
        <v>132</v>
      </c>
      <c r="C56" s="728">
        <v>843</v>
      </c>
      <c r="D56" s="728">
        <v>834</v>
      </c>
      <c r="E56" s="728">
        <v>3</v>
      </c>
      <c r="F56" s="729">
        <f t="shared" si="0"/>
        <v>6</v>
      </c>
    </row>
    <row r="57" spans="1:6" ht="16.5" customHeight="1">
      <c r="A57" s="1104" t="s">
        <v>133</v>
      </c>
      <c r="B57" s="727" t="s">
        <v>134</v>
      </c>
      <c r="C57" s="728">
        <v>2979</v>
      </c>
      <c r="D57" s="728">
        <v>252</v>
      </c>
      <c r="E57" s="728">
        <v>120</v>
      </c>
      <c r="F57" s="729">
        <f t="shared" si="0"/>
        <v>2607</v>
      </c>
    </row>
    <row r="58" spans="1:6" ht="16.5" customHeight="1">
      <c r="A58" s="1104" t="s">
        <v>135</v>
      </c>
      <c r="B58" s="727" t="s">
        <v>136</v>
      </c>
      <c r="C58" s="728">
        <v>667</v>
      </c>
      <c r="D58" s="728">
        <v>428</v>
      </c>
      <c r="E58" s="728">
        <v>119</v>
      </c>
      <c r="F58" s="729">
        <f t="shared" si="0"/>
        <v>120</v>
      </c>
    </row>
    <row r="59" spans="1:6" ht="16.5" customHeight="1">
      <c r="A59" s="1104" t="s">
        <v>137</v>
      </c>
      <c r="B59" s="727" t="s">
        <v>138</v>
      </c>
      <c r="C59" s="728">
        <v>105</v>
      </c>
      <c r="D59" s="728">
        <v>61</v>
      </c>
      <c r="E59" s="728">
        <v>35</v>
      </c>
      <c r="F59" s="729">
        <f t="shared" si="0"/>
        <v>9</v>
      </c>
    </row>
    <row r="60" spans="1:6" ht="16.5" customHeight="1">
      <c r="A60" s="1104" t="s">
        <v>141</v>
      </c>
      <c r="B60" s="727" t="s">
        <v>142</v>
      </c>
      <c r="C60" s="728">
        <v>110</v>
      </c>
      <c r="D60" s="728">
        <v>91</v>
      </c>
      <c r="E60" s="728">
        <v>12</v>
      </c>
      <c r="F60" s="729">
        <f t="shared" si="0"/>
        <v>7</v>
      </c>
    </row>
    <row r="61" spans="1:6" ht="16.5" customHeight="1">
      <c r="A61" s="1104" t="s">
        <v>147</v>
      </c>
      <c r="B61" s="727" t="s">
        <v>148</v>
      </c>
      <c r="C61" s="728">
        <v>143</v>
      </c>
      <c r="D61" s="728">
        <v>110</v>
      </c>
      <c r="E61" s="728">
        <v>18</v>
      </c>
      <c r="F61" s="729">
        <f t="shared" si="0"/>
        <v>15</v>
      </c>
    </row>
    <row r="62" spans="1:6" ht="16.5" customHeight="1">
      <c r="A62" s="1104" t="s">
        <v>149</v>
      </c>
      <c r="B62" s="727" t="s">
        <v>150</v>
      </c>
      <c r="C62" s="728">
        <v>365</v>
      </c>
      <c r="D62" s="728">
        <v>145</v>
      </c>
      <c r="E62" s="728">
        <v>189</v>
      </c>
      <c r="F62" s="729">
        <f t="shared" si="0"/>
        <v>31</v>
      </c>
    </row>
    <row r="63" spans="1:6" ht="16.5" customHeight="1">
      <c r="A63" s="1104" t="s">
        <v>151</v>
      </c>
      <c r="B63" s="727" t="s">
        <v>152</v>
      </c>
      <c r="C63" s="728">
        <v>181</v>
      </c>
      <c r="D63" s="728">
        <v>126</v>
      </c>
      <c r="E63" s="728">
        <v>20</v>
      </c>
      <c r="F63" s="729">
        <f t="shared" si="0"/>
        <v>35</v>
      </c>
    </row>
    <row r="64" spans="1:6" ht="16.5" customHeight="1">
      <c r="A64" s="1104" t="s">
        <v>153</v>
      </c>
      <c r="B64" s="727" t="s">
        <v>154</v>
      </c>
      <c r="C64" s="728">
        <v>653</v>
      </c>
      <c r="D64" s="728">
        <v>565</v>
      </c>
      <c r="E64" s="728">
        <v>36</v>
      </c>
      <c r="F64" s="729">
        <f t="shared" si="0"/>
        <v>52</v>
      </c>
    </row>
    <row r="65" spans="1:6" ht="16.5" customHeight="1">
      <c r="A65" s="1104" t="s">
        <v>155</v>
      </c>
      <c r="B65" s="727" t="s">
        <v>156</v>
      </c>
      <c r="C65" s="728">
        <v>204</v>
      </c>
      <c r="D65" s="728">
        <v>150</v>
      </c>
      <c r="E65" s="728">
        <v>22</v>
      </c>
      <c r="F65" s="729">
        <f t="shared" si="0"/>
        <v>32</v>
      </c>
    </row>
    <row r="66" spans="1:6" ht="16.5" customHeight="1">
      <c r="A66" s="1104" t="s">
        <v>157</v>
      </c>
      <c r="B66" s="727" t="s">
        <v>158</v>
      </c>
      <c r="C66" s="728">
        <v>134</v>
      </c>
      <c r="D66" s="728">
        <v>91</v>
      </c>
      <c r="E66" s="728">
        <v>20</v>
      </c>
      <c r="F66" s="729">
        <f t="shared" si="0"/>
        <v>23</v>
      </c>
    </row>
    <row r="67" spans="1:6" ht="16.5" customHeight="1">
      <c r="A67" s="1104" t="s">
        <v>163</v>
      </c>
      <c r="B67" s="727" t="s">
        <v>164</v>
      </c>
      <c r="C67" s="728">
        <v>76</v>
      </c>
      <c r="D67" s="728">
        <v>29</v>
      </c>
      <c r="E67" s="728">
        <v>39</v>
      </c>
      <c r="F67" s="729">
        <f t="shared" si="0"/>
        <v>8</v>
      </c>
    </row>
    <row r="68" spans="1:6" ht="16.5" customHeight="1">
      <c r="A68" s="1104" t="s">
        <v>165</v>
      </c>
      <c r="B68" s="727" t="s">
        <v>166</v>
      </c>
      <c r="C68" s="728">
        <v>86</v>
      </c>
      <c r="D68" s="728">
        <v>49</v>
      </c>
      <c r="E68" s="728">
        <v>34</v>
      </c>
      <c r="F68" s="729">
        <f t="shared" si="0"/>
        <v>3</v>
      </c>
    </row>
    <row r="69" spans="1:6" ht="16.5" customHeight="1">
      <c r="A69" s="1104" t="s">
        <v>169</v>
      </c>
      <c r="B69" s="727" t="s">
        <v>170</v>
      </c>
      <c r="C69" s="728">
        <v>104</v>
      </c>
      <c r="D69" s="728">
        <v>59</v>
      </c>
      <c r="E69" s="728">
        <v>26</v>
      </c>
      <c r="F69" s="729">
        <f t="shared" si="0"/>
        <v>19</v>
      </c>
    </row>
    <row r="70" spans="1:6" ht="16.5" customHeight="1">
      <c r="A70" s="1104" t="s">
        <v>171</v>
      </c>
      <c r="B70" s="727" t="s">
        <v>172</v>
      </c>
      <c r="C70" s="728">
        <v>390</v>
      </c>
      <c r="D70" s="728">
        <v>286</v>
      </c>
      <c r="E70" s="728">
        <v>57</v>
      </c>
      <c r="F70" s="729">
        <f t="shared" ref="F70:F124" si="1">+C70-(D70+E70)</f>
        <v>47</v>
      </c>
    </row>
    <row r="71" spans="1:6" ht="16.5" customHeight="1">
      <c r="A71" s="1104" t="s">
        <v>173</v>
      </c>
      <c r="B71" s="727" t="s">
        <v>174</v>
      </c>
      <c r="C71" s="728">
        <v>352</v>
      </c>
      <c r="D71" s="728">
        <v>332</v>
      </c>
      <c r="E71" s="728">
        <v>4</v>
      </c>
      <c r="F71" s="729">
        <f t="shared" si="1"/>
        <v>16</v>
      </c>
    </row>
    <row r="72" spans="1:6" ht="16.5" customHeight="1">
      <c r="A72" s="1104" t="s">
        <v>175</v>
      </c>
      <c r="B72" s="727" t="s">
        <v>176</v>
      </c>
      <c r="C72" s="728">
        <v>214</v>
      </c>
      <c r="D72" s="728">
        <v>191</v>
      </c>
      <c r="E72" s="728">
        <v>20</v>
      </c>
      <c r="F72" s="729">
        <f t="shared" si="1"/>
        <v>3</v>
      </c>
    </row>
    <row r="73" spans="1:6" ht="16.5" customHeight="1">
      <c r="A73" s="1104" t="s">
        <v>179</v>
      </c>
      <c r="B73" s="727" t="s">
        <v>180</v>
      </c>
      <c r="C73" s="728">
        <v>675</v>
      </c>
      <c r="D73" s="728">
        <v>428</v>
      </c>
      <c r="E73" s="728">
        <v>128</v>
      </c>
      <c r="F73" s="729">
        <f t="shared" si="1"/>
        <v>119</v>
      </c>
    </row>
    <row r="74" spans="1:6" ht="16.5" customHeight="1">
      <c r="A74" s="1104" t="s">
        <v>183</v>
      </c>
      <c r="B74" s="727" t="s">
        <v>184</v>
      </c>
      <c r="C74" s="728">
        <v>147</v>
      </c>
      <c r="D74" s="728">
        <v>97</v>
      </c>
      <c r="E74" s="728">
        <v>17</v>
      </c>
      <c r="F74" s="729">
        <f t="shared" si="1"/>
        <v>33</v>
      </c>
    </row>
    <row r="75" spans="1:6" ht="16.5" customHeight="1">
      <c r="A75" s="1104" t="s">
        <v>185</v>
      </c>
      <c r="B75" s="727" t="s">
        <v>186</v>
      </c>
      <c r="C75" s="728">
        <v>184</v>
      </c>
      <c r="D75" s="728">
        <v>98</v>
      </c>
      <c r="E75" s="728">
        <v>62</v>
      </c>
      <c r="F75" s="729">
        <f t="shared" si="1"/>
        <v>24</v>
      </c>
    </row>
    <row r="76" spans="1:6" ht="16.5" customHeight="1">
      <c r="A76" s="1104" t="s">
        <v>187</v>
      </c>
      <c r="B76" s="727" t="s">
        <v>188</v>
      </c>
      <c r="C76" s="728">
        <v>200</v>
      </c>
      <c r="D76" s="728">
        <v>111</v>
      </c>
      <c r="E76" s="728">
        <v>63</v>
      </c>
      <c r="F76" s="729">
        <f t="shared" si="1"/>
        <v>26</v>
      </c>
    </row>
    <row r="77" spans="1:6" ht="16.5" customHeight="1">
      <c r="A77" s="1104" t="s">
        <v>189</v>
      </c>
      <c r="B77" s="727" t="s">
        <v>190</v>
      </c>
      <c r="C77" s="728">
        <v>5924</v>
      </c>
      <c r="D77" s="728">
        <v>2992</v>
      </c>
      <c r="E77" s="728">
        <v>2110</v>
      </c>
      <c r="F77" s="729">
        <f t="shared" si="1"/>
        <v>822</v>
      </c>
    </row>
    <row r="78" spans="1:6" ht="16.5" customHeight="1">
      <c r="A78" s="1104" t="s">
        <v>191</v>
      </c>
      <c r="B78" s="727" t="s">
        <v>192</v>
      </c>
      <c r="C78" s="728">
        <v>928</v>
      </c>
      <c r="D78" s="728">
        <v>746</v>
      </c>
      <c r="E78" s="728">
        <v>68</v>
      </c>
      <c r="F78" s="729">
        <f t="shared" si="1"/>
        <v>114</v>
      </c>
    </row>
    <row r="79" spans="1:6" ht="16.5" customHeight="1">
      <c r="A79" s="1104" t="s">
        <v>195</v>
      </c>
      <c r="B79" s="727" t="s">
        <v>196</v>
      </c>
      <c r="C79" s="728">
        <v>46</v>
      </c>
      <c r="D79" s="728">
        <v>38</v>
      </c>
      <c r="E79" s="728">
        <v>2</v>
      </c>
      <c r="F79" s="729">
        <f t="shared" si="1"/>
        <v>6</v>
      </c>
    </row>
    <row r="80" spans="1:6" ht="16.5" customHeight="1">
      <c r="A80" s="1104" t="s">
        <v>199</v>
      </c>
      <c r="B80" s="727" t="s">
        <v>200</v>
      </c>
      <c r="C80" s="728">
        <v>60</v>
      </c>
      <c r="D80" s="728">
        <v>29</v>
      </c>
      <c r="E80" s="728">
        <v>16</v>
      </c>
      <c r="F80" s="729">
        <f t="shared" si="1"/>
        <v>15</v>
      </c>
    </row>
    <row r="81" spans="1:6" ht="16.5" customHeight="1">
      <c r="A81" s="1104" t="s">
        <v>203</v>
      </c>
      <c r="B81" s="727" t="s">
        <v>204</v>
      </c>
      <c r="C81" s="728">
        <v>1599</v>
      </c>
      <c r="D81" s="728">
        <v>1224</v>
      </c>
      <c r="E81" s="728">
        <v>182</v>
      </c>
      <c r="F81" s="729">
        <f t="shared" si="1"/>
        <v>193</v>
      </c>
    </row>
    <row r="82" spans="1:6" ht="16.5" customHeight="1">
      <c r="A82" s="1104" t="s">
        <v>205</v>
      </c>
      <c r="B82" s="727" t="s">
        <v>206</v>
      </c>
      <c r="C82" s="728">
        <v>486</v>
      </c>
      <c r="D82" s="728">
        <v>448</v>
      </c>
      <c r="E82" s="728">
        <v>22</v>
      </c>
      <c r="F82" s="729">
        <f t="shared" si="1"/>
        <v>16</v>
      </c>
    </row>
    <row r="83" spans="1:6" ht="16.5" customHeight="1">
      <c r="A83" s="1104" t="s">
        <v>207</v>
      </c>
      <c r="B83" s="727" t="s">
        <v>208</v>
      </c>
      <c r="C83" s="728">
        <v>2762</v>
      </c>
      <c r="D83" s="728">
        <v>2467</v>
      </c>
      <c r="E83" s="728">
        <v>192</v>
      </c>
      <c r="F83" s="729">
        <f t="shared" si="1"/>
        <v>103</v>
      </c>
    </row>
    <row r="84" spans="1:6" ht="16.5" customHeight="1">
      <c r="A84" s="1104" t="s">
        <v>209</v>
      </c>
      <c r="B84" s="727" t="s">
        <v>210</v>
      </c>
      <c r="C84" s="728">
        <v>524</v>
      </c>
      <c r="D84" s="728">
        <v>511</v>
      </c>
      <c r="E84" s="728">
        <v>2</v>
      </c>
      <c r="F84" s="729">
        <f t="shared" si="1"/>
        <v>11</v>
      </c>
    </row>
    <row r="85" spans="1:6" ht="16.5" customHeight="1">
      <c r="A85" s="1104" t="s">
        <v>211</v>
      </c>
      <c r="B85" s="727" t="s">
        <v>212</v>
      </c>
      <c r="C85" s="728">
        <v>342</v>
      </c>
      <c r="D85" s="728">
        <v>329</v>
      </c>
      <c r="E85" s="728">
        <v>5</v>
      </c>
      <c r="F85" s="729">
        <f t="shared" si="1"/>
        <v>8</v>
      </c>
    </row>
    <row r="86" spans="1:6" ht="16.5" customHeight="1">
      <c r="A86" s="1104" t="s">
        <v>213</v>
      </c>
      <c r="B86" s="727" t="s">
        <v>214</v>
      </c>
      <c r="C86" s="728">
        <v>560</v>
      </c>
      <c r="D86" s="728">
        <v>490</v>
      </c>
      <c r="E86" s="728">
        <v>9</v>
      </c>
      <c r="F86" s="729">
        <f t="shared" si="1"/>
        <v>61</v>
      </c>
    </row>
    <row r="87" spans="1:6" ht="16.5" customHeight="1">
      <c r="A87" s="1104" t="s">
        <v>215</v>
      </c>
      <c r="B87" s="727" t="s">
        <v>216</v>
      </c>
      <c r="C87" s="728">
        <v>1015</v>
      </c>
      <c r="D87" s="728">
        <v>961</v>
      </c>
      <c r="E87" s="728">
        <v>10</v>
      </c>
      <c r="F87" s="729">
        <f t="shared" si="1"/>
        <v>44</v>
      </c>
    </row>
    <row r="88" spans="1:6" ht="16.5" customHeight="1">
      <c r="A88" s="1104" t="s">
        <v>217</v>
      </c>
      <c r="B88" s="727" t="s">
        <v>218</v>
      </c>
      <c r="C88" s="728">
        <v>107</v>
      </c>
      <c r="D88" s="728">
        <v>51</v>
      </c>
      <c r="E88" s="728">
        <v>51</v>
      </c>
      <c r="F88" s="729">
        <f t="shared" si="1"/>
        <v>5</v>
      </c>
    </row>
    <row r="89" spans="1:6" ht="16.5" customHeight="1">
      <c r="A89" s="1104" t="s">
        <v>219</v>
      </c>
      <c r="B89" s="727" t="s">
        <v>220</v>
      </c>
      <c r="C89" s="728">
        <v>1284</v>
      </c>
      <c r="D89" s="728">
        <v>516</v>
      </c>
      <c r="E89" s="728">
        <v>140</v>
      </c>
      <c r="F89" s="729">
        <f t="shared" si="1"/>
        <v>628</v>
      </c>
    </row>
    <row r="90" spans="1:6" ht="16.5" customHeight="1">
      <c r="A90" s="1104" t="s">
        <v>221</v>
      </c>
      <c r="B90" s="727" t="s">
        <v>222</v>
      </c>
      <c r="C90" s="728">
        <v>680</v>
      </c>
      <c r="D90" s="728">
        <v>453</v>
      </c>
      <c r="E90" s="728">
        <v>165</v>
      </c>
      <c r="F90" s="729">
        <f t="shared" si="1"/>
        <v>62</v>
      </c>
    </row>
    <row r="91" spans="1:6" ht="16.5" customHeight="1">
      <c r="A91" s="1104" t="s">
        <v>225</v>
      </c>
      <c r="B91" s="727" t="s">
        <v>226</v>
      </c>
      <c r="C91" s="728">
        <v>57</v>
      </c>
      <c r="D91" s="728">
        <v>26</v>
      </c>
      <c r="E91" s="728">
        <v>30</v>
      </c>
      <c r="F91" s="729">
        <f t="shared" si="1"/>
        <v>1</v>
      </c>
    </row>
    <row r="92" spans="1:6" ht="16.5" customHeight="1">
      <c r="A92" s="1104" t="s">
        <v>227</v>
      </c>
      <c r="B92" s="727" t="s">
        <v>228</v>
      </c>
      <c r="C92" s="728">
        <v>68</v>
      </c>
      <c r="D92" s="728">
        <v>17</v>
      </c>
      <c r="E92" s="728">
        <v>43</v>
      </c>
      <c r="F92" s="729">
        <f t="shared" si="1"/>
        <v>8</v>
      </c>
    </row>
    <row r="93" spans="1:6" ht="16.5" customHeight="1">
      <c r="A93" s="1104" t="s">
        <v>229</v>
      </c>
      <c r="B93" s="727" t="s">
        <v>230</v>
      </c>
      <c r="C93" s="728">
        <v>558</v>
      </c>
      <c r="D93" s="728">
        <v>513</v>
      </c>
      <c r="E93" s="728">
        <v>22</v>
      </c>
      <c r="F93" s="729">
        <f t="shared" si="1"/>
        <v>23</v>
      </c>
    </row>
    <row r="94" spans="1:6" ht="16.5" customHeight="1">
      <c r="A94" s="1104" t="s">
        <v>233</v>
      </c>
      <c r="B94" s="727" t="s">
        <v>234</v>
      </c>
      <c r="C94" s="728">
        <v>1036</v>
      </c>
      <c r="D94" s="728">
        <v>851</v>
      </c>
      <c r="E94" s="728">
        <v>30</v>
      </c>
      <c r="F94" s="729">
        <f t="shared" si="1"/>
        <v>155</v>
      </c>
    </row>
    <row r="95" spans="1:6" ht="16.5" customHeight="1">
      <c r="A95" s="1104" t="s">
        <v>235</v>
      </c>
      <c r="B95" s="727" t="s">
        <v>236</v>
      </c>
      <c r="C95" s="728">
        <v>648</v>
      </c>
      <c r="D95" s="728">
        <v>604</v>
      </c>
      <c r="E95" s="728">
        <v>20</v>
      </c>
      <c r="F95" s="729">
        <f t="shared" si="1"/>
        <v>24</v>
      </c>
    </row>
    <row r="96" spans="1:6" ht="16.5" customHeight="1">
      <c r="A96" s="1104" t="s">
        <v>237</v>
      </c>
      <c r="B96" s="727" t="s">
        <v>238</v>
      </c>
      <c r="C96" s="728">
        <v>214</v>
      </c>
      <c r="D96" s="728">
        <v>113</v>
      </c>
      <c r="E96" s="728">
        <v>37</v>
      </c>
      <c r="F96" s="729">
        <f t="shared" si="1"/>
        <v>64</v>
      </c>
    </row>
    <row r="97" spans="1:6" ht="16.5" customHeight="1">
      <c r="A97" s="1104" t="s">
        <v>243</v>
      </c>
      <c r="B97" s="727" t="s">
        <v>244</v>
      </c>
      <c r="C97" s="728">
        <v>1378</v>
      </c>
      <c r="D97" s="728">
        <v>1266</v>
      </c>
      <c r="E97" s="728">
        <v>17</v>
      </c>
      <c r="F97" s="729">
        <f t="shared" si="1"/>
        <v>95</v>
      </c>
    </row>
    <row r="98" spans="1:6" ht="16.5" customHeight="1">
      <c r="A98" s="1104" t="s">
        <v>245</v>
      </c>
      <c r="B98" s="727" t="s">
        <v>246</v>
      </c>
      <c r="C98" s="728">
        <v>644</v>
      </c>
      <c r="D98" s="728">
        <v>549</v>
      </c>
      <c r="E98" s="728">
        <v>33</v>
      </c>
      <c r="F98" s="729">
        <f t="shared" si="1"/>
        <v>62</v>
      </c>
    </row>
    <row r="99" spans="1:6" ht="16.5" customHeight="1">
      <c r="A99" s="1104" t="s">
        <v>247</v>
      </c>
      <c r="B99" s="727" t="s">
        <v>389</v>
      </c>
      <c r="C99" s="728">
        <v>971</v>
      </c>
      <c r="D99" s="728">
        <v>577</v>
      </c>
      <c r="E99" s="728">
        <v>167</v>
      </c>
      <c r="F99" s="729">
        <f t="shared" si="1"/>
        <v>227</v>
      </c>
    </row>
    <row r="100" spans="1:6" ht="16.5" customHeight="1">
      <c r="A100" s="1104" t="s">
        <v>14</v>
      </c>
      <c r="B100" s="727" t="s">
        <v>15</v>
      </c>
      <c r="C100" s="728">
        <v>1535</v>
      </c>
      <c r="D100" s="728">
        <v>602</v>
      </c>
      <c r="E100" s="728">
        <v>792</v>
      </c>
      <c r="F100" s="729">
        <f t="shared" si="1"/>
        <v>141</v>
      </c>
    </row>
    <row r="101" spans="1:6" ht="16.5" customHeight="1">
      <c r="A101" s="1104" t="s">
        <v>35</v>
      </c>
      <c r="B101" s="727" t="s">
        <v>36</v>
      </c>
      <c r="C101" s="728">
        <v>516</v>
      </c>
      <c r="D101" s="728">
        <v>380</v>
      </c>
      <c r="E101" s="728">
        <v>28</v>
      </c>
      <c r="F101" s="729">
        <f t="shared" si="1"/>
        <v>108</v>
      </c>
    </row>
    <row r="102" spans="1:6" ht="16.5" customHeight="1">
      <c r="A102" s="1104" t="s">
        <v>53</v>
      </c>
      <c r="B102" s="727" t="s">
        <v>54</v>
      </c>
      <c r="C102" s="728">
        <v>1043</v>
      </c>
      <c r="D102" s="728">
        <v>353</v>
      </c>
      <c r="E102" s="728">
        <v>555</v>
      </c>
      <c r="F102" s="729">
        <f t="shared" si="1"/>
        <v>135</v>
      </c>
    </row>
    <row r="103" spans="1:6" ht="16.5" customHeight="1">
      <c r="A103" s="1104" t="s">
        <v>55</v>
      </c>
      <c r="B103" s="727" t="s">
        <v>56</v>
      </c>
      <c r="C103" s="728">
        <v>2541</v>
      </c>
      <c r="D103" s="728">
        <v>1260</v>
      </c>
      <c r="E103" s="728">
        <v>979</v>
      </c>
      <c r="F103" s="729">
        <f t="shared" si="1"/>
        <v>302</v>
      </c>
    </row>
    <row r="104" spans="1:6" ht="16.5" customHeight="1">
      <c r="A104" s="1104" t="s">
        <v>67</v>
      </c>
      <c r="B104" s="727" t="s">
        <v>68</v>
      </c>
      <c r="C104" s="728">
        <v>763</v>
      </c>
      <c r="D104" s="728">
        <v>254</v>
      </c>
      <c r="E104" s="728">
        <v>411</v>
      </c>
      <c r="F104" s="729">
        <f t="shared" si="1"/>
        <v>98</v>
      </c>
    </row>
    <row r="105" spans="1:6" ht="16.5" customHeight="1">
      <c r="A105" s="1104" t="s">
        <v>83</v>
      </c>
      <c r="B105" s="727" t="s">
        <v>390</v>
      </c>
      <c r="C105" s="728">
        <v>153</v>
      </c>
      <c r="D105" s="728">
        <v>20</v>
      </c>
      <c r="E105" s="728">
        <v>124</v>
      </c>
      <c r="F105" s="729">
        <f t="shared" si="1"/>
        <v>9</v>
      </c>
    </row>
    <row r="106" spans="1:6" ht="16.5" customHeight="1">
      <c r="A106" s="1104" t="s">
        <v>89</v>
      </c>
      <c r="B106" s="727" t="s">
        <v>90</v>
      </c>
      <c r="C106" s="728">
        <v>392</v>
      </c>
      <c r="D106" s="728">
        <v>156</v>
      </c>
      <c r="E106" s="728">
        <v>165</v>
      </c>
      <c r="F106" s="729">
        <f t="shared" si="1"/>
        <v>71</v>
      </c>
    </row>
    <row r="107" spans="1:6" ht="16.5" customHeight="1">
      <c r="A107" s="1104" t="s">
        <v>91</v>
      </c>
      <c r="B107" s="727" t="s">
        <v>92</v>
      </c>
      <c r="C107" s="728">
        <v>55</v>
      </c>
      <c r="D107" s="728">
        <v>49</v>
      </c>
      <c r="E107" s="728">
        <v>3</v>
      </c>
      <c r="F107" s="729">
        <f t="shared" si="1"/>
        <v>3</v>
      </c>
    </row>
    <row r="108" spans="1:6" ht="16.5" customHeight="1">
      <c r="A108" s="1104" t="s">
        <v>107</v>
      </c>
      <c r="B108" s="727" t="s">
        <v>108</v>
      </c>
      <c r="C108" s="728">
        <v>1734</v>
      </c>
      <c r="D108" s="728">
        <v>533</v>
      </c>
      <c r="E108" s="728">
        <v>973</v>
      </c>
      <c r="F108" s="729">
        <f t="shared" si="1"/>
        <v>228</v>
      </c>
    </row>
    <row r="109" spans="1:6" ht="16.5" customHeight="1">
      <c r="A109" s="1104" t="s">
        <v>117</v>
      </c>
      <c r="B109" s="727" t="s">
        <v>118</v>
      </c>
      <c r="C109" s="728">
        <v>539</v>
      </c>
      <c r="D109" s="728">
        <v>240</v>
      </c>
      <c r="E109" s="728">
        <v>202</v>
      </c>
      <c r="F109" s="729">
        <f t="shared" si="1"/>
        <v>97</v>
      </c>
    </row>
    <row r="110" spans="1:6" ht="16.5" customHeight="1">
      <c r="A110" s="1104" t="s">
        <v>139</v>
      </c>
      <c r="B110" s="727" t="s">
        <v>140</v>
      </c>
      <c r="C110" s="728">
        <v>1532</v>
      </c>
      <c r="D110" s="728">
        <v>476</v>
      </c>
      <c r="E110" s="728">
        <v>765</v>
      </c>
      <c r="F110" s="729">
        <f t="shared" si="1"/>
        <v>291</v>
      </c>
    </row>
    <row r="111" spans="1:6" ht="16.5" customHeight="1">
      <c r="A111" s="1104" t="s">
        <v>143</v>
      </c>
      <c r="B111" s="727" t="s">
        <v>144</v>
      </c>
      <c r="C111" s="728">
        <v>408</v>
      </c>
      <c r="D111" s="728">
        <v>229</v>
      </c>
      <c r="E111" s="728">
        <v>132</v>
      </c>
      <c r="F111" s="729">
        <f t="shared" si="1"/>
        <v>47</v>
      </c>
    </row>
    <row r="112" spans="1:6" ht="16.5" customHeight="1">
      <c r="A112" s="1104" t="s">
        <v>145</v>
      </c>
      <c r="B112" s="727" t="s">
        <v>146</v>
      </c>
      <c r="C112" s="728">
        <v>168</v>
      </c>
      <c r="D112" s="728">
        <v>114</v>
      </c>
      <c r="E112" s="728">
        <v>18</v>
      </c>
      <c r="F112" s="729">
        <f t="shared" si="1"/>
        <v>36</v>
      </c>
    </row>
    <row r="113" spans="1:6" ht="16.5" customHeight="1">
      <c r="A113" s="1104" t="s">
        <v>159</v>
      </c>
      <c r="B113" s="727" t="s">
        <v>160</v>
      </c>
      <c r="C113" s="728">
        <v>2471</v>
      </c>
      <c r="D113" s="728">
        <v>733</v>
      </c>
      <c r="E113" s="728">
        <v>1334</v>
      </c>
      <c r="F113" s="729">
        <f t="shared" si="1"/>
        <v>404</v>
      </c>
    </row>
    <row r="114" spans="1:6" ht="16.5" customHeight="1">
      <c r="A114" s="1104" t="s">
        <v>161</v>
      </c>
      <c r="B114" s="727" t="s">
        <v>162</v>
      </c>
      <c r="C114" s="728">
        <v>3170</v>
      </c>
      <c r="D114" s="728">
        <v>853</v>
      </c>
      <c r="E114" s="728">
        <v>1927</v>
      </c>
      <c r="F114" s="729">
        <f t="shared" si="1"/>
        <v>390</v>
      </c>
    </row>
    <row r="115" spans="1:6" ht="16.5" customHeight="1">
      <c r="A115" s="1104" t="s">
        <v>167</v>
      </c>
      <c r="B115" s="727" t="s">
        <v>168</v>
      </c>
      <c r="C115" s="728">
        <v>111</v>
      </c>
      <c r="D115" s="728">
        <v>89</v>
      </c>
      <c r="E115" s="728">
        <v>7</v>
      </c>
      <c r="F115" s="729">
        <f t="shared" si="1"/>
        <v>15</v>
      </c>
    </row>
    <row r="116" spans="1:6" ht="16.5" customHeight="1">
      <c r="A116" s="1104" t="s">
        <v>177</v>
      </c>
      <c r="B116" s="727" t="s">
        <v>178</v>
      </c>
      <c r="C116" s="728">
        <v>350</v>
      </c>
      <c r="D116" s="728">
        <v>44</v>
      </c>
      <c r="E116" s="728">
        <v>275</v>
      </c>
      <c r="F116" s="729">
        <f t="shared" si="1"/>
        <v>31</v>
      </c>
    </row>
    <row r="117" spans="1:6" ht="16.5" customHeight="1">
      <c r="A117" s="1104" t="s">
        <v>181</v>
      </c>
      <c r="B117" s="727" t="s">
        <v>182</v>
      </c>
      <c r="C117" s="728">
        <v>1693</v>
      </c>
      <c r="D117" s="728">
        <v>373</v>
      </c>
      <c r="E117" s="728">
        <v>1171</v>
      </c>
      <c r="F117" s="729">
        <f t="shared" si="1"/>
        <v>149</v>
      </c>
    </row>
    <row r="118" spans="1:6" ht="16.5" customHeight="1">
      <c r="A118" s="1104" t="s">
        <v>193</v>
      </c>
      <c r="B118" s="727" t="s">
        <v>194</v>
      </c>
      <c r="C118" s="728">
        <v>194</v>
      </c>
      <c r="D118" s="728">
        <v>123</v>
      </c>
      <c r="E118" s="728">
        <v>16</v>
      </c>
      <c r="F118" s="729">
        <f t="shared" si="1"/>
        <v>55</v>
      </c>
    </row>
    <row r="119" spans="1:6" ht="16.5" customHeight="1">
      <c r="A119" s="1104" t="s">
        <v>197</v>
      </c>
      <c r="B119" s="727" t="s">
        <v>391</v>
      </c>
      <c r="C119" s="728">
        <v>3581</v>
      </c>
      <c r="D119" s="728">
        <v>371</v>
      </c>
      <c r="E119" s="728">
        <v>2990</v>
      </c>
      <c r="F119" s="729">
        <f t="shared" si="1"/>
        <v>220</v>
      </c>
    </row>
    <row r="120" spans="1:6" ht="16.5" customHeight="1">
      <c r="A120" s="1104" t="s">
        <v>201</v>
      </c>
      <c r="B120" s="727" t="s">
        <v>392</v>
      </c>
      <c r="C120" s="728">
        <v>2149</v>
      </c>
      <c r="D120" s="728">
        <v>1129</v>
      </c>
      <c r="E120" s="728">
        <v>775</v>
      </c>
      <c r="F120" s="729">
        <f t="shared" si="1"/>
        <v>245</v>
      </c>
    </row>
    <row r="121" spans="1:6" ht="16.5" customHeight="1">
      <c r="A121" s="1104" t="s">
        <v>223</v>
      </c>
      <c r="B121" s="727" t="s">
        <v>224</v>
      </c>
      <c r="C121" s="728">
        <v>1144</v>
      </c>
      <c r="D121" s="728">
        <v>362</v>
      </c>
      <c r="E121" s="728">
        <v>689</v>
      </c>
      <c r="F121" s="729">
        <f t="shared" si="1"/>
        <v>93</v>
      </c>
    </row>
    <row r="122" spans="1:6" ht="16.5" customHeight="1">
      <c r="A122" s="1104" t="s">
        <v>231</v>
      </c>
      <c r="B122" s="727" t="s">
        <v>232</v>
      </c>
      <c r="C122" s="728">
        <v>4950</v>
      </c>
      <c r="D122" s="728">
        <v>2687</v>
      </c>
      <c r="E122" s="728">
        <v>1464</v>
      </c>
      <c r="F122" s="729">
        <f t="shared" si="1"/>
        <v>799</v>
      </c>
    </row>
    <row r="123" spans="1:6" ht="16.5" customHeight="1">
      <c r="A123" s="1104" t="s">
        <v>239</v>
      </c>
      <c r="B123" s="727" t="s">
        <v>240</v>
      </c>
      <c r="C123" s="728">
        <v>137</v>
      </c>
      <c r="D123" s="728">
        <v>53</v>
      </c>
      <c r="E123" s="728">
        <v>59</v>
      </c>
      <c r="F123" s="729">
        <f t="shared" si="1"/>
        <v>25</v>
      </c>
    </row>
    <row r="124" spans="1:6" ht="16.5" customHeight="1">
      <c r="A124" s="1104" t="s">
        <v>241</v>
      </c>
      <c r="B124" s="727" t="s">
        <v>242</v>
      </c>
      <c r="C124" s="728">
        <v>820</v>
      </c>
      <c r="D124" s="728">
        <v>517</v>
      </c>
      <c r="E124" s="728">
        <v>102</v>
      </c>
      <c r="F124" s="729">
        <f t="shared" si="1"/>
        <v>201</v>
      </c>
    </row>
    <row r="126" spans="1:6">
      <c r="D126" s="540"/>
      <c r="F126" s="540"/>
    </row>
    <row r="127" spans="1:6">
      <c r="A127" s="538" t="s">
        <v>1020</v>
      </c>
      <c r="C127" s="540"/>
    </row>
    <row r="129" spans="1:2" s="519" customFormat="1">
      <c r="A129" s="519" t="s">
        <v>250</v>
      </c>
    </row>
    <row r="130" spans="1:2" s="519" customFormat="1">
      <c r="A130" s="536" t="s">
        <v>251</v>
      </c>
      <c r="B130" s="407" t="s">
        <v>252</v>
      </c>
    </row>
  </sheetData>
  <autoFilter ref="A3:F3"/>
  <hyperlinks>
    <hyperlink ref="B130" r:id="rId1"/>
  </hyperlinks>
  <pageMargins left="0.75" right="0.75" top="1" bottom="1" header="0.5" footer="0.5"/>
  <pageSetup orientation="portrait" r:id="rId2"/>
</worksheet>
</file>

<file path=xl/worksheets/sheet17.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K4" activePane="bottomRight" state="frozen"/>
      <selection pane="topRight" activeCell="C1" sqref="C1"/>
      <selection pane="bottomLeft" activeCell="A4" sqref="A4"/>
      <selection pane="bottomRight" activeCell="K6" sqref="K6"/>
    </sheetView>
  </sheetViews>
  <sheetFormatPr defaultRowHeight="12.75"/>
  <cols>
    <col min="1" max="1" width="12.25" style="62" customWidth="1"/>
    <col min="2" max="2" width="21.5" style="72" customWidth="1"/>
    <col min="3" max="3" width="10.125" style="62" customWidth="1"/>
    <col min="4" max="4" width="9.875" style="62" customWidth="1"/>
    <col min="5" max="5" width="9.875" style="62" bestFit="1" customWidth="1"/>
    <col min="6" max="6" width="2.625" style="62" customWidth="1"/>
    <col min="7" max="7" width="10.125" style="62" customWidth="1"/>
    <col min="8" max="8" width="9.5" style="62" customWidth="1"/>
    <col min="9" max="9" width="9.75" style="62" customWidth="1"/>
    <col min="10" max="10" width="2.625" style="62" customWidth="1"/>
    <col min="11" max="11" width="9.625" style="62" customWidth="1"/>
    <col min="12" max="12" width="10.5" style="62" customWidth="1"/>
    <col min="13" max="13" width="11.375" style="62" customWidth="1"/>
    <col min="14" max="14" width="2.625" style="62" customWidth="1"/>
    <col min="15" max="15" width="10.125" style="62" customWidth="1"/>
    <col min="16" max="16" width="10.25" style="62" customWidth="1"/>
    <col min="17" max="17" width="10.375" style="62" customWidth="1"/>
    <col min="18" max="18" width="2.625" style="62" customWidth="1"/>
    <col min="19" max="19" width="11" style="62" customWidth="1"/>
    <col min="20" max="20" width="10.875" style="62" customWidth="1"/>
    <col min="21" max="21" width="9.875" style="62" customWidth="1"/>
    <col min="22" max="22" width="2.625" style="62" customWidth="1"/>
    <col min="23" max="23" width="9.5" style="62" customWidth="1"/>
    <col min="24" max="24" width="10.375" style="62" customWidth="1"/>
    <col min="25" max="25" width="10.25" style="62" customWidth="1"/>
    <col min="26" max="16384" width="9" style="62"/>
  </cols>
  <sheetData>
    <row r="1" spans="1:25" ht="15.75">
      <c r="C1" s="1350" t="s">
        <v>818</v>
      </c>
      <c r="D1" s="1350"/>
      <c r="E1" s="1350"/>
      <c r="F1" s="1350"/>
      <c r="G1" s="1350"/>
      <c r="H1" s="1350"/>
      <c r="I1" s="1350"/>
      <c r="J1" s="1350"/>
      <c r="K1" s="1350"/>
      <c r="L1" s="1350"/>
      <c r="M1" s="1350"/>
      <c r="O1" s="1347" t="s">
        <v>819</v>
      </c>
      <c r="P1" s="1347"/>
      <c r="Q1" s="1347"/>
      <c r="R1" s="1347"/>
      <c r="S1" s="1347"/>
      <c r="T1" s="1347"/>
      <c r="U1" s="1347"/>
      <c r="V1" s="1347"/>
      <c r="W1" s="1347"/>
      <c r="X1" s="1347"/>
      <c r="Y1" s="1347"/>
    </row>
    <row r="2" spans="1:25" ht="12.75" customHeight="1">
      <c r="C2" s="1346" t="s">
        <v>2</v>
      </c>
      <c r="D2" s="1346"/>
      <c r="E2" s="1346"/>
      <c r="F2" s="81"/>
      <c r="G2" s="1346" t="s">
        <v>667</v>
      </c>
      <c r="H2" s="1346"/>
      <c r="I2" s="1346"/>
      <c r="J2" s="81"/>
      <c r="K2" s="1346" t="s">
        <v>827</v>
      </c>
      <c r="L2" s="1346"/>
      <c r="M2" s="1346"/>
      <c r="N2" s="87"/>
      <c r="O2" s="1346" t="s">
        <v>2</v>
      </c>
      <c r="P2" s="1346"/>
      <c r="Q2" s="1346"/>
      <c r="S2" s="1346" t="s">
        <v>667</v>
      </c>
      <c r="T2" s="1346"/>
      <c r="U2" s="1346"/>
      <c r="X2" s="66"/>
      <c r="Y2" s="74"/>
    </row>
    <row r="3" spans="1:25" s="65" customFormat="1" ht="45" customHeight="1">
      <c r="A3" s="64" t="s">
        <v>372</v>
      </c>
      <c r="B3" s="75" t="s">
        <v>373</v>
      </c>
      <c r="C3" s="67" t="s">
        <v>824</v>
      </c>
      <c r="D3" s="67" t="s">
        <v>825</v>
      </c>
      <c r="E3" s="78" t="s">
        <v>826</v>
      </c>
      <c r="F3" s="82"/>
      <c r="G3" s="79" t="s">
        <v>824</v>
      </c>
      <c r="H3" s="67" t="s">
        <v>825</v>
      </c>
      <c r="I3" s="78" t="s">
        <v>826</v>
      </c>
      <c r="J3" s="82"/>
      <c r="K3" s="67" t="s">
        <v>824</v>
      </c>
      <c r="L3" s="67" t="s">
        <v>825</v>
      </c>
      <c r="M3" s="78" t="s">
        <v>826</v>
      </c>
      <c r="N3" s="82"/>
      <c r="O3" s="67" t="s">
        <v>824</v>
      </c>
      <c r="P3" s="67" t="s">
        <v>825</v>
      </c>
      <c r="Q3" s="78" t="s">
        <v>826</v>
      </c>
      <c r="R3" s="82"/>
      <c r="S3" s="79" t="s">
        <v>824</v>
      </c>
      <c r="T3" s="67" t="s">
        <v>825</v>
      </c>
      <c r="U3" s="78" t="s">
        <v>826</v>
      </c>
      <c r="V3" s="82"/>
      <c r="W3" s="79" t="s">
        <v>824</v>
      </c>
      <c r="X3" s="67" t="s">
        <v>825</v>
      </c>
      <c r="Y3" s="78" t="s">
        <v>826</v>
      </c>
    </row>
    <row r="4" spans="1:25" ht="16.5" customHeight="1">
      <c r="A4" s="60" t="s">
        <v>10</v>
      </c>
      <c r="B4" s="76" t="s">
        <v>11</v>
      </c>
      <c r="C4" s="70" t="e">
        <f t="shared" ref="C4:C35" si="0">VLOOKUP(A4,MedicaidR,7,FALSE)</f>
        <v>#REF!</v>
      </c>
      <c r="D4" s="70" t="e">
        <f t="shared" ref="D4:D35" si="1">VLOOKUP(A4,Pop,14,FALSE)</f>
        <v>#REF!</v>
      </c>
      <c r="E4" s="56" t="e">
        <f t="shared" ref="E4:E35" si="2">+C4/D4</f>
        <v>#REF!</v>
      </c>
      <c r="F4" s="89"/>
      <c r="G4" s="70" t="e">
        <f t="shared" ref="G4:G35" si="3">VLOOKUP(A4,MedicaidR,8,FALSE)</f>
        <v>#REF!</v>
      </c>
      <c r="H4" s="70" t="e">
        <f t="shared" ref="H4:H35" si="4">VLOOKUP(A4,Pop,15,FALSE)</f>
        <v>#REF!</v>
      </c>
      <c r="I4" s="56" t="e">
        <f t="shared" ref="I4:I35" si="5">+G4/H4</f>
        <v>#REF!</v>
      </c>
      <c r="J4" s="89"/>
      <c r="K4" s="70" t="e">
        <f t="shared" ref="K4:K35" si="6">VLOOKUP(A4,MedicaidR,9,FALSE)</f>
        <v>#REF!</v>
      </c>
      <c r="L4" s="70" t="e">
        <f t="shared" ref="L4:L35" si="7">VLOOKUP(A4,Pop,16,FALSE)</f>
        <v>#REF!</v>
      </c>
      <c r="M4" s="56" t="e">
        <f t="shared" ref="M4:M35" si="8">+K4/L4</f>
        <v>#REF!</v>
      </c>
      <c r="N4" s="56"/>
      <c r="O4" s="70" t="e">
        <f t="shared" ref="O4:O35" si="9">VLOOKUP(A4,MedicaidR,3,FALSE)</f>
        <v>#REF!</v>
      </c>
      <c r="P4" s="70" t="e">
        <f t="shared" ref="P4:P35" si="10">VLOOKUP(A4,Pop,8,FALSE)</f>
        <v>#REF!</v>
      </c>
      <c r="Q4" s="56" t="e">
        <f t="shared" ref="Q4:Q35" si="11">+O4/P4</f>
        <v>#REF!</v>
      </c>
      <c r="R4" s="56"/>
      <c r="S4" s="70" t="e">
        <f t="shared" ref="S4:S35" si="12">VLOOKUP(A4,MedicaidR,4,FALSE)</f>
        <v>#REF!</v>
      </c>
      <c r="T4" s="70" t="e">
        <f t="shared" ref="T4:T35" si="13">VLOOKUP(A4,Pop,9,FALSE)</f>
        <v>#REF!</v>
      </c>
      <c r="U4" s="56" t="e">
        <f t="shared" ref="U4:U35" si="14">+S4/T4</f>
        <v>#REF!</v>
      </c>
      <c r="V4" s="56"/>
      <c r="W4" s="88" t="e">
        <f t="shared" ref="W4:W35" si="15">VLOOKUP(A4,MedicaidR,5,FALSE)</f>
        <v>#REF!</v>
      </c>
      <c r="X4" s="70" t="e">
        <f t="shared" ref="X4:X35" si="16">VLOOKUP(A4,Pop,10,FALSE)</f>
        <v>#REF!</v>
      </c>
      <c r="Y4" s="56" t="e">
        <f t="shared" ref="Y4:Y35" si="17">+W4/X4</f>
        <v>#REF!</v>
      </c>
    </row>
    <row r="5" spans="1:25" ht="16.5" customHeight="1">
      <c r="A5" s="60" t="s">
        <v>12</v>
      </c>
      <c r="B5" s="61" t="s">
        <v>13</v>
      </c>
      <c r="C5" s="70" t="e">
        <f t="shared" si="0"/>
        <v>#REF!</v>
      </c>
      <c r="D5" s="70" t="e">
        <f t="shared" si="1"/>
        <v>#REF!</v>
      </c>
      <c r="E5" s="56" t="e">
        <f t="shared" si="2"/>
        <v>#REF!</v>
      </c>
      <c r="F5" s="70"/>
      <c r="G5" s="70" t="e">
        <f t="shared" si="3"/>
        <v>#REF!</v>
      </c>
      <c r="H5" s="70" t="e">
        <f t="shared" si="4"/>
        <v>#REF!</v>
      </c>
      <c r="I5" s="56" t="e">
        <f t="shared" si="5"/>
        <v>#REF!</v>
      </c>
      <c r="J5" s="70"/>
      <c r="K5" s="70" t="e">
        <f t="shared" si="6"/>
        <v>#REF!</v>
      </c>
      <c r="L5" s="70" t="e">
        <f t="shared" si="7"/>
        <v>#REF!</v>
      </c>
      <c r="M5" s="56" t="e">
        <f t="shared" si="8"/>
        <v>#REF!</v>
      </c>
      <c r="N5" s="56"/>
      <c r="O5" s="70" t="e">
        <f t="shared" si="9"/>
        <v>#REF!</v>
      </c>
      <c r="P5" s="70" t="e">
        <f t="shared" si="10"/>
        <v>#REF!</v>
      </c>
      <c r="Q5" s="56" t="e">
        <f t="shared" si="11"/>
        <v>#REF!</v>
      </c>
      <c r="R5" s="56"/>
      <c r="S5" s="70" t="e">
        <f t="shared" si="12"/>
        <v>#REF!</v>
      </c>
      <c r="T5" s="70" t="e">
        <f t="shared" si="13"/>
        <v>#REF!</v>
      </c>
      <c r="U5" s="56" t="e">
        <f t="shared" si="14"/>
        <v>#REF!</v>
      </c>
      <c r="V5" s="56"/>
      <c r="W5" s="88" t="e">
        <f t="shared" si="15"/>
        <v>#REF!</v>
      </c>
      <c r="X5" s="70" t="e">
        <f t="shared" si="16"/>
        <v>#REF!</v>
      </c>
      <c r="Y5" s="56" t="e">
        <f t="shared" si="17"/>
        <v>#REF!</v>
      </c>
    </row>
    <row r="6" spans="1:25" ht="16.5" customHeight="1">
      <c r="A6" s="60" t="s">
        <v>16</v>
      </c>
      <c r="B6" s="76" t="s">
        <v>364</v>
      </c>
      <c r="C6" s="70" t="e">
        <f t="shared" si="0"/>
        <v>#REF!</v>
      </c>
      <c r="D6" s="70" t="e">
        <f t="shared" si="1"/>
        <v>#REF!</v>
      </c>
      <c r="E6" s="56" t="e">
        <f t="shared" si="2"/>
        <v>#REF!</v>
      </c>
      <c r="F6" s="70"/>
      <c r="G6" s="70" t="e">
        <f t="shared" si="3"/>
        <v>#REF!</v>
      </c>
      <c r="H6" s="70" t="e">
        <f t="shared" si="4"/>
        <v>#REF!</v>
      </c>
      <c r="I6" s="56" t="e">
        <f t="shared" si="5"/>
        <v>#REF!</v>
      </c>
      <c r="J6" s="70"/>
      <c r="K6" s="70" t="e">
        <f t="shared" si="6"/>
        <v>#REF!</v>
      </c>
      <c r="L6" s="70" t="e">
        <f t="shared" si="7"/>
        <v>#REF!</v>
      </c>
      <c r="M6" s="56" t="e">
        <f t="shared" si="8"/>
        <v>#REF!</v>
      </c>
      <c r="N6" s="56"/>
      <c r="O6" s="70" t="e">
        <f t="shared" si="9"/>
        <v>#REF!</v>
      </c>
      <c r="P6" s="70" t="e">
        <f t="shared" si="10"/>
        <v>#REF!</v>
      </c>
      <c r="Q6" s="56" t="e">
        <f t="shared" si="11"/>
        <v>#REF!</v>
      </c>
      <c r="R6" s="56"/>
      <c r="S6" s="70" t="e">
        <f t="shared" si="12"/>
        <v>#REF!</v>
      </c>
      <c r="T6" s="70" t="e">
        <f t="shared" si="13"/>
        <v>#REF!</v>
      </c>
      <c r="U6" s="56" t="e">
        <f t="shared" si="14"/>
        <v>#REF!</v>
      </c>
      <c r="V6" s="56"/>
      <c r="W6" s="88" t="e">
        <f t="shared" si="15"/>
        <v>#REF!</v>
      </c>
      <c r="X6" s="70" t="e">
        <f t="shared" si="16"/>
        <v>#REF!</v>
      </c>
      <c r="Y6" s="56" t="e">
        <f t="shared" si="17"/>
        <v>#REF!</v>
      </c>
    </row>
    <row r="7" spans="1:25" ht="16.5" customHeight="1">
      <c r="A7" s="60" t="s">
        <v>18</v>
      </c>
      <c r="B7" s="61" t="s">
        <v>19</v>
      </c>
      <c r="C7" s="70" t="e">
        <f t="shared" si="0"/>
        <v>#REF!</v>
      </c>
      <c r="D7" s="70" t="e">
        <f t="shared" si="1"/>
        <v>#REF!</v>
      </c>
      <c r="E7" s="56" t="e">
        <f t="shared" si="2"/>
        <v>#REF!</v>
      </c>
      <c r="F7" s="70"/>
      <c r="G7" s="70" t="e">
        <f t="shared" si="3"/>
        <v>#REF!</v>
      </c>
      <c r="H7" s="70" t="e">
        <f t="shared" si="4"/>
        <v>#REF!</v>
      </c>
      <c r="I7" s="56" t="e">
        <f t="shared" si="5"/>
        <v>#REF!</v>
      </c>
      <c r="J7" s="70"/>
      <c r="K7" s="70" t="e">
        <f t="shared" si="6"/>
        <v>#REF!</v>
      </c>
      <c r="L7" s="70" t="e">
        <f t="shared" si="7"/>
        <v>#REF!</v>
      </c>
      <c r="M7" s="56" t="e">
        <f t="shared" si="8"/>
        <v>#REF!</v>
      </c>
      <c r="N7" s="56"/>
      <c r="O7" s="70" t="e">
        <f t="shared" si="9"/>
        <v>#REF!</v>
      </c>
      <c r="P7" s="70" t="e">
        <f t="shared" si="10"/>
        <v>#REF!</v>
      </c>
      <c r="Q7" s="56" t="e">
        <f t="shared" si="11"/>
        <v>#REF!</v>
      </c>
      <c r="R7" s="56"/>
      <c r="S7" s="70" t="e">
        <f t="shared" si="12"/>
        <v>#REF!</v>
      </c>
      <c r="T7" s="70" t="e">
        <f t="shared" si="13"/>
        <v>#REF!</v>
      </c>
      <c r="U7" s="56" t="e">
        <f t="shared" si="14"/>
        <v>#REF!</v>
      </c>
      <c r="V7" s="56"/>
      <c r="W7" s="88" t="e">
        <f t="shared" si="15"/>
        <v>#REF!</v>
      </c>
      <c r="X7" s="70" t="e">
        <f t="shared" si="16"/>
        <v>#REF!</v>
      </c>
      <c r="Y7" s="56" t="e">
        <f t="shared" si="17"/>
        <v>#REF!</v>
      </c>
    </row>
    <row r="8" spans="1:25" ht="16.5" customHeight="1">
      <c r="A8" s="60" t="s">
        <v>20</v>
      </c>
      <c r="B8" s="76" t="s">
        <v>21</v>
      </c>
      <c r="C8" s="70" t="e">
        <f t="shared" si="0"/>
        <v>#REF!</v>
      </c>
      <c r="D8" s="70" t="e">
        <f t="shared" si="1"/>
        <v>#REF!</v>
      </c>
      <c r="E8" s="56" t="e">
        <f t="shared" si="2"/>
        <v>#REF!</v>
      </c>
      <c r="F8" s="70"/>
      <c r="G8" s="70" t="e">
        <f t="shared" si="3"/>
        <v>#REF!</v>
      </c>
      <c r="H8" s="70" t="e">
        <f t="shared" si="4"/>
        <v>#REF!</v>
      </c>
      <c r="I8" s="56" t="e">
        <f t="shared" si="5"/>
        <v>#REF!</v>
      </c>
      <c r="J8" s="70"/>
      <c r="K8" s="70" t="e">
        <f t="shared" si="6"/>
        <v>#REF!</v>
      </c>
      <c r="L8" s="70" t="e">
        <f t="shared" si="7"/>
        <v>#REF!</v>
      </c>
      <c r="M8" s="56" t="e">
        <f t="shared" si="8"/>
        <v>#REF!</v>
      </c>
      <c r="N8" s="56"/>
      <c r="O8" s="70" t="e">
        <f t="shared" si="9"/>
        <v>#REF!</v>
      </c>
      <c r="P8" s="70" t="e">
        <f t="shared" si="10"/>
        <v>#REF!</v>
      </c>
      <c r="Q8" s="56" t="e">
        <f t="shared" si="11"/>
        <v>#REF!</v>
      </c>
      <c r="R8" s="56"/>
      <c r="S8" s="70" t="e">
        <f t="shared" si="12"/>
        <v>#REF!</v>
      </c>
      <c r="T8" s="70" t="e">
        <f t="shared" si="13"/>
        <v>#REF!</v>
      </c>
      <c r="U8" s="56" t="e">
        <f t="shared" si="14"/>
        <v>#REF!</v>
      </c>
      <c r="V8" s="56"/>
      <c r="W8" s="88" t="e">
        <f t="shared" si="15"/>
        <v>#REF!</v>
      </c>
      <c r="X8" s="70" t="e">
        <f t="shared" si="16"/>
        <v>#REF!</v>
      </c>
      <c r="Y8" s="56" t="e">
        <f t="shared" si="17"/>
        <v>#REF!</v>
      </c>
    </row>
    <row r="9" spans="1:25" ht="16.5" customHeight="1">
      <c r="A9" s="60" t="s">
        <v>22</v>
      </c>
      <c r="B9" s="61" t="s">
        <v>23</v>
      </c>
      <c r="C9" s="70" t="e">
        <f t="shared" si="0"/>
        <v>#REF!</v>
      </c>
      <c r="D9" s="70" t="e">
        <f t="shared" si="1"/>
        <v>#REF!</v>
      </c>
      <c r="E9" s="56" t="e">
        <f t="shared" si="2"/>
        <v>#REF!</v>
      </c>
      <c r="F9" s="70"/>
      <c r="G9" s="70" t="e">
        <f t="shared" si="3"/>
        <v>#REF!</v>
      </c>
      <c r="H9" s="70" t="e">
        <f t="shared" si="4"/>
        <v>#REF!</v>
      </c>
      <c r="I9" s="56" t="e">
        <f t="shared" si="5"/>
        <v>#REF!</v>
      </c>
      <c r="J9" s="70"/>
      <c r="K9" s="70" t="e">
        <f t="shared" si="6"/>
        <v>#REF!</v>
      </c>
      <c r="L9" s="70" t="e">
        <f t="shared" si="7"/>
        <v>#REF!</v>
      </c>
      <c r="M9" s="56" t="e">
        <f t="shared" si="8"/>
        <v>#REF!</v>
      </c>
      <c r="N9" s="56"/>
      <c r="O9" s="70" t="e">
        <f t="shared" si="9"/>
        <v>#REF!</v>
      </c>
      <c r="P9" s="70" t="e">
        <f t="shared" si="10"/>
        <v>#REF!</v>
      </c>
      <c r="Q9" s="56" t="e">
        <f t="shared" si="11"/>
        <v>#REF!</v>
      </c>
      <c r="R9" s="56"/>
      <c r="S9" s="70" t="e">
        <f t="shared" si="12"/>
        <v>#REF!</v>
      </c>
      <c r="T9" s="70" t="e">
        <f t="shared" si="13"/>
        <v>#REF!</v>
      </c>
      <c r="U9" s="56" t="e">
        <f t="shared" si="14"/>
        <v>#REF!</v>
      </c>
      <c r="V9" s="56"/>
      <c r="W9" s="88" t="e">
        <f t="shared" si="15"/>
        <v>#REF!</v>
      </c>
      <c r="X9" s="70" t="e">
        <f t="shared" si="16"/>
        <v>#REF!</v>
      </c>
      <c r="Y9" s="56" t="e">
        <f t="shared" si="17"/>
        <v>#REF!</v>
      </c>
    </row>
    <row r="10" spans="1:25" ht="16.5" customHeight="1">
      <c r="A10" s="60" t="s">
        <v>24</v>
      </c>
      <c r="B10" s="61" t="s">
        <v>25</v>
      </c>
      <c r="C10" s="70" t="e">
        <f t="shared" si="0"/>
        <v>#REF!</v>
      </c>
      <c r="D10" s="70" t="e">
        <f t="shared" si="1"/>
        <v>#REF!</v>
      </c>
      <c r="E10" s="56" t="e">
        <f t="shared" si="2"/>
        <v>#REF!</v>
      </c>
      <c r="F10" s="70"/>
      <c r="G10" s="70" t="e">
        <f t="shared" si="3"/>
        <v>#REF!</v>
      </c>
      <c r="H10" s="70" t="e">
        <f t="shared" si="4"/>
        <v>#REF!</v>
      </c>
      <c r="I10" s="56" t="e">
        <f t="shared" si="5"/>
        <v>#REF!</v>
      </c>
      <c r="J10" s="70"/>
      <c r="K10" s="70" t="e">
        <f t="shared" si="6"/>
        <v>#REF!</v>
      </c>
      <c r="L10" s="70" t="e">
        <f t="shared" si="7"/>
        <v>#REF!</v>
      </c>
      <c r="M10" s="56" t="e">
        <f t="shared" si="8"/>
        <v>#REF!</v>
      </c>
      <c r="N10" s="56"/>
      <c r="O10" s="70" t="e">
        <f t="shared" si="9"/>
        <v>#REF!</v>
      </c>
      <c r="P10" s="70" t="e">
        <f t="shared" si="10"/>
        <v>#REF!</v>
      </c>
      <c r="Q10" s="56" t="e">
        <f t="shared" si="11"/>
        <v>#REF!</v>
      </c>
      <c r="R10" s="56"/>
      <c r="S10" s="70" t="e">
        <f t="shared" si="12"/>
        <v>#REF!</v>
      </c>
      <c r="T10" s="70" t="e">
        <f t="shared" si="13"/>
        <v>#REF!</v>
      </c>
      <c r="U10" s="56" t="e">
        <f t="shared" si="14"/>
        <v>#REF!</v>
      </c>
      <c r="V10" s="56"/>
      <c r="W10" s="88" t="e">
        <f t="shared" si="15"/>
        <v>#REF!</v>
      </c>
      <c r="X10" s="70" t="e">
        <f t="shared" si="16"/>
        <v>#REF!</v>
      </c>
      <c r="Y10" s="56" t="e">
        <f t="shared" si="17"/>
        <v>#REF!</v>
      </c>
    </row>
    <row r="11" spans="1:25" ht="16.5" customHeight="1">
      <c r="A11" s="60" t="s">
        <v>26</v>
      </c>
      <c r="B11" s="76" t="s">
        <v>365</v>
      </c>
      <c r="C11" s="70" t="e">
        <f t="shared" si="0"/>
        <v>#REF!</v>
      </c>
      <c r="D11" s="70" t="e">
        <f t="shared" si="1"/>
        <v>#REF!</v>
      </c>
      <c r="E11" s="56" t="e">
        <f t="shared" si="2"/>
        <v>#REF!</v>
      </c>
      <c r="F11" s="70"/>
      <c r="G11" s="70" t="e">
        <f t="shared" si="3"/>
        <v>#REF!</v>
      </c>
      <c r="H11" s="70" t="e">
        <f t="shared" si="4"/>
        <v>#REF!</v>
      </c>
      <c r="I11" s="56" t="e">
        <f t="shared" si="5"/>
        <v>#REF!</v>
      </c>
      <c r="J11" s="70"/>
      <c r="K11" s="70" t="e">
        <f t="shared" si="6"/>
        <v>#REF!</v>
      </c>
      <c r="L11" s="70" t="e">
        <f t="shared" si="7"/>
        <v>#REF!</v>
      </c>
      <c r="M11" s="56" t="e">
        <f t="shared" si="8"/>
        <v>#REF!</v>
      </c>
      <c r="N11" s="56"/>
      <c r="O11" s="70" t="e">
        <f t="shared" si="9"/>
        <v>#REF!</v>
      </c>
      <c r="P11" s="70" t="e">
        <f t="shared" si="10"/>
        <v>#REF!</v>
      </c>
      <c r="Q11" s="56" t="e">
        <f t="shared" si="11"/>
        <v>#REF!</v>
      </c>
      <c r="R11" s="56"/>
      <c r="S11" s="70" t="e">
        <f t="shared" si="12"/>
        <v>#REF!</v>
      </c>
      <c r="T11" s="70" t="e">
        <f t="shared" si="13"/>
        <v>#REF!</v>
      </c>
      <c r="U11" s="56" t="e">
        <f t="shared" si="14"/>
        <v>#REF!</v>
      </c>
      <c r="V11" s="56"/>
      <c r="W11" s="88" t="e">
        <f t="shared" si="15"/>
        <v>#REF!</v>
      </c>
      <c r="X11" s="70" t="e">
        <f t="shared" si="16"/>
        <v>#REF!</v>
      </c>
      <c r="Y11" s="56" t="e">
        <f t="shared" si="17"/>
        <v>#REF!</v>
      </c>
    </row>
    <row r="12" spans="1:25" ht="16.5" customHeight="1">
      <c r="A12" s="60" t="s">
        <v>27</v>
      </c>
      <c r="B12" s="76" t="s">
        <v>28</v>
      </c>
      <c r="C12" s="70" t="e">
        <f t="shared" si="0"/>
        <v>#REF!</v>
      </c>
      <c r="D12" s="70" t="e">
        <f t="shared" si="1"/>
        <v>#REF!</v>
      </c>
      <c r="E12" s="56" t="e">
        <f t="shared" si="2"/>
        <v>#REF!</v>
      </c>
      <c r="F12" s="70"/>
      <c r="G12" s="70" t="e">
        <f t="shared" si="3"/>
        <v>#REF!</v>
      </c>
      <c r="H12" s="70" t="e">
        <f t="shared" si="4"/>
        <v>#REF!</v>
      </c>
      <c r="I12" s="56" t="e">
        <f t="shared" si="5"/>
        <v>#REF!</v>
      </c>
      <c r="J12" s="70"/>
      <c r="K12" s="70" t="e">
        <f t="shared" si="6"/>
        <v>#REF!</v>
      </c>
      <c r="L12" s="70" t="e">
        <f t="shared" si="7"/>
        <v>#REF!</v>
      </c>
      <c r="M12" s="56" t="e">
        <f t="shared" si="8"/>
        <v>#REF!</v>
      </c>
      <c r="N12" s="56"/>
      <c r="O12" s="70" t="e">
        <f t="shared" si="9"/>
        <v>#REF!</v>
      </c>
      <c r="P12" s="70" t="e">
        <f t="shared" si="10"/>
        <v>#REF!</v>
      </c>
      <c r="Q12" s="56" t="e">
        <f t="shared" si="11"/>
        <v>#REF!</v>
      </c>
      <c r="R12" s="56"/>
      <c r="S12" s="70" t="e">
        <f t="shared" si="12"/>
        <v>#REF!</v>
      </c>
      <c r="T12" s="70" t="e">
        <f t="shared" si="13"/>
        <v>#REF!</v>
      </c>
      <c r="U12" s="56" t="e">
        <f t="shared" si="14"/>
        <v>#REF!</v>
      </c>
      <c r="V12" s="56"/>
      <c r="W12" s="88" t="e">
        <f t="shared" si="15"/>
        <v>#REF!</v>
      </c>
      <c r="X12" s="70" t="e">
        <f t="shared" si="16"/>
        <v>#REF!</v>
      </c>
      <c r="Y12" s="56" t="e">
        <f t="shared" si="17"/>
        <v>#REF!</v>
      </c>
    </row>
    <row r="13" spans="1:25" ht="16.5" customHeight="1">
      <c r="A13" s="60" t="s">
        <v>29</v>
      </c>
      <c r="B13" s="61" t="s">
        <v>386</v>
      </c>
      <c r="C13" s="70" t="e">
        <f t="shared" si="0"/>
        <v>#REF!</v>
      </c>
      <c r="D13" s="70" t="e">
        <f t="shared" si="1"/>
        <v>#REF!</v>
      </c>
      <c r="E13" s="56" t="e">
        <f t="shared" si="2"/>
        <v>#REF!</v>
      </c>
      <c r="F13" s="70"/>
      <c r="G13" s="70" t="e">
        <f t="shared" si="3"/>
        <v>#REF!</v>
      </c>
      <c r="H13" s="70" t="e">
        <f t="shared" si="4"/>
        <v>#REF!</v>
      </c>
      <c r="I13" s="56" t="e">
        <f t="shared" si="5"/>
        <v>#REF!</v>
      </c>
      <c r="J13" s="70"/>
      <c r="K13" s="70" t="e">
        <f t="shared" si="6"/>
        <v>#REF!</v>
      </c>
      <c r="L13" s="70" t="e">
        <f t="shared" si="7"/>
        <v>#REF!</v>
      </c>
      <c r="M13" s="56" t="e">
        <f t="shared" si="8"/>
        <v>#REF!</v>
      </c>
      <c r="N13" s="56"/>
      <c r="O13" s="70" t="e">
        <f t="shared" si="9"/>
        <v>#REF!</v>
      </c>
      <c r="P13" s="70" t="e">
        <f t="shared" si="10"/>
        <v>#REF!</v>
      </c>
      <c r="Q13" s="56" t="e">
        <f t="shared" si="11"/>
        <v>#REF!</v>
      </c>
      <c r="R13" s="56"/>
      <c r="S13" s="70" t="e">
        <f t="shared" si="12"/>
        <v>#REF!</v>
      </c>
      <c r="T13" s="70" t="e">
        <f t="shared" si="13"/>
        <v>#REF!</v>
      </c>
      <c r="U13" s="56" t="e">
        <f t="shared" si="14"/>
        <v>#REF!</v>
      </c>
      <c r="V13" s="56"/>
      <c r="W13" s="88" t="e">
        <f t="shared" si="15"/>
        <v>#REF!</v>
      </c>
      <c r="X13" s="70" t="e">
        <f t="shared" si="16"/>
        <v>#REF!</v>
      </c>
      <c r="Y13" s="56" t="e">
        <f t="shared" si="17"/>
        <v>#REF!</v>
      </c>
    </row>
    <row r="14" spans="1:25" ht="16.5" customHeight="1">
      <c r="A14" s="60" t="s">
        <v>31</v>
      </c>
      <c r="B14" s="76" t="s">
        <v>32</v>
      </c>
      <c r="C14" s="70" t="e">
        <f t="shared" si="0"/>
        <v>#REF!</v>
      </c>
      <c r="D14" s="70" t="e">
        <f t="shared" si="1"/>
        <v>#REF!</v>
      </c>
      <c r="E14" s="56" t="e">
        <f t="shared" si="2"/>
        <v>#REF!</v>
      </c>
      <c r="F14" s="70"/>
      <c r="G14" s="70" t="e">
        <f t="shared" si="3"/>
        <v>#REF!</v>
      </c>
      <c r="H14" s="70" t="e">
        <f t="shared" si="4"/>
        <v>#REF!</v>
      </c>
      <c r="I14" s="56" t="e">
        <f t="shared" si="5"/>
        <v>#REF!</v>
      </c>
      <c r="J14" s="70"/>
      <c r="K14" s="70" t="e">
        <f t="shared" si="6"/>
        <v>#REF!</v>
      </c>
      <c r="L14" s="70" t="e">
        <f t="shared" si="7"/>
        <v>#REF!</v>
      </c>
      <c r="M14" s="56" t="e">
        <f t="shared" si="8"/>
        <v>#REF!</v>
      </c>
      <c r="N14" s="56"/>
      <c r="O14" s="70" t="e">
        <f t="shared" si="9"/>
        <v>#REF!</v>
      </c>
      <c r="P14" s="70" t="e">
        <f t="shared" si="10"/>
        <v>#REF!</v>
      </c>
      <c r="Q14" s="56" t="e">
        <f t="shared" si="11"/>
        <v>#REF!</v>
      </c>
      <c r="R14" s="56"/>
      <c r="S14" s="70" t="e">
        <f t="shared" si="12"/>
        <v>#REF!</v>
      </c>
      <c r="T14" s="70" t="e">
        <f t="shared" si="13"/>
        <v>#REF!</v>
      </c>
      <c r="U14" s="56" t="e">
        <f t="shared" si="14"/>
        <v>#REF!</v>
      </c>
      <c r="V14" s="56"/>
      <c r="W14" s="88" t="e">
        <f t="shared" si="15"/>
        <v>#REF!</v>
      </c>
      <c r="X14" s="70" t="e">
        <f t="shared" si="16"/>
        <v>#REF!</v>
      </c>
      <c r="Y14" s="56" t="e">
        <f t="shared" si="17"/>
        <v>#REF!</v>
      </c>
    </row>
    <row r="15" spans="1:25" ht="16.5" customHeight="1">
      <c r="A15" s="60" t="s">
        <v>33</v>
      </c>
      <c r="B15" s="61" t="s">
        <v>34</v>
      </c>
      <c r="C15" s="70" t="e">
        <f t="shared" si="0"/>
        <v>#REF!</v>
      </c>
      <c r="D15" s="70" t="e">
        <f t="shared" si="1"/>
        <v>#REF!</v>
      </c>
      <c r="E15" s="56" t="e">
        <f t="shared" si="2"/>
        <v>#REF!</v>
      </c>
      <c r="F15" s="70"/>
      <c r="G15" s="70" t="e">
        <f t="shared" si="3"/>
        <v>#REF!</v>
      </c>
      <c r="H15" s="70" t="e">
        <f t="shared" si="4"/>
        <v>#REF!</v>
      </c>
      <c r="I15" s="56" t="e">
        <f t="shared" si="5"/>
        <v>#REF!</v>
      </c>
      <c r="J15" s="70"/>
      <c r="K15" s="70" t="e">
        <f t="shared" si="6"/>
        <v>#REF!</v>
      </c>
      <c r="L15" s="70" t="e">
        <f t="shared" si="7"/>
        <v>#REF!</v>
      </c>
      <c r="M15" s="56" t="e">
        <f t="shared" si="8"/>
        <v>#REF!</v>
      </c>
      <c r="N15" s="56"/>
      <c r="O15" s="70" t="e">
        <f t="shared" si="9"/>
        <v>#REF!</v>
      </c>
      <c r="P15" s="70" t="e">
        <f t="shared" si="10"/>
        <v>#REF!</v>
      </c>
      <c r="Q15" s="56" t="e">
        <f t="shared" si="11"/>
        <v>#REF!</v>
      </c>
      <c r="R15" s="56"/>
      <c r="S15" s="70" t="e">
        <f t="shared" si="12"/>
        <v>#REF!</v>
      </c>
      <c r="T15" s="70" t="e">
        <f t="shared" si="13"/>
        <v>#REF!</v>
      </c>
      <c r="U15" s="56" t="e">
        <f t="shared" si="14"/>
        <v>#REF!</v>
      </c>
      <c r="V15" s="56"/>
      <c r="W15" s="88" t="e">
        <f t="shared" si="15"/>
        <v>#REF!</v>
      </c>
      <c r="X15" s="70" t="e">
        <f t="shared" si="16"/>
        <v>#REF!</v>
      </c>
      <c r="Y15" s="56" t="e">
        <f t="shared" si="17"/>
        <v>#REF!</v>
      </c>
    </row>
    <row r="16" spans="1:25" ht="16.5" customHeight="1">
      <c r="A16" s="60" t="s">
        <v>37</v>
      </c>
      <c r="B16" s="61" t="s">
        <v>38</v>
      </c>
      <c r="C16" s="70" t="e">
        <f t="shared" si="0"/>
        <v>#REF!</v>
      </c>
      <c r="D16" s="70" t="e">
        <f t="shared" si="1"/>
        <v>#REF!</v>
      </c>
      <c r="E16" s="56" t="e">
        <f t="shared" si="2"/>
        <v>#REF!</v>
      </c>
      <c r="F16" s="70"/>
      <c r="G16" s="70" t="e">
        <f t="shared" si="3"/>
        <v>#REF!</v>
      </c>
      <c r="H16" s="70" t="e">
        <f t="shared" si="4"/>
        <v>#REF!</v>
      </c>
      <c r="I16" s="56" t="e">
        <f t="shared" si="5"/>
        <v>#REF!</v>
      </c>
      <c r="J16" s="70"/>
      <c r="K16" s="70" t="e">
        <f t="shared" si="6"/>
        <v>#REF!</v>
      </c>
      <c r="L16" s="70" t="e">
        <f t="shared" si="7"/>
        <v>#REF!</v>
      </c>
      <c r="M16" s="56" t="e">
        <f t="shared" si="8"/>
        <v>#REF!</v>
      </c>
      <c r="N16" s="56"/>
      <c r="O16" s="70" t="e">
        <f t="shared" si="9"/>
        <v>#REF!</v>
      </c>
      <c r="P16" s="70" t="e">
        <f t="shared" si="10"/>
        <v>#REF!</v>
      </c>
      <c r="Q16" s="56" t="e">
        <f t="shared" si="11"/>
        <v>#REF!</v>
      </c>
      <c r="R16" s="56"/>
      <c r="S16" s="70" t="e">
        <f t="shared" si="12"/>
        <v>#REF!</v>
      </c>
      <c r="T16" s="70" t="e">
        <f t="shared" si="13"/>
        <v>#REF!</v>
      </c>
      <c r="U16" s="56" t="e">
        <f t="shared" si="14"/>
        <v>#REF!</v>
      </c>
      <c r="V16" s="56"/>
      <c r="W16" s="88" t="e">
        <f t="shared" si="15"/>
        <v>#REF!</v>
      </c>
      <c r="X16" s="70" t="e">
        <f t="shared" si="16"/>
        <v>#REF!</v>
      </c>
      <c r="Y16" s="56" t="e">
        <f t="shared" si="17"/>
        <v>#REF!</v>
      </c>
    </row>
    <row r="17" spans="1:25" ht="16.5" customHeight="1">
      <c r="A17" s="60" t="s">
        <v>39</v>
      </c>
      <c r="B17" s="76" t="s">
        <v>40</v>
      </c>
      <c r="C17" s="70" t="e">
        <f t="shared" si="0"/>
        <v>#REF!</v>
      </c>
      <c r="D17" s="70" t="e">
        <f t="shared" si="1"/>
        <v>#REF!</v>
      </c>
      <c r="E17" s="56" t="e">
        <f t="shared" si="2"/>
        <v>#REF!</v>
      </c>
      <c r="F17" s="70"/>
      <c r="G17" s="70" t="e">
        <f t="shared" si="3"/>
        <v>#REF!</v>
      </c>
      <c r="H17" s="70" t="e">
        <f t="shared" si="4"/>
        <v>#REF!</v>
      </c>
      <c r="I17" s="56" t="e">
        <f t="shared" si="5"/>
        <v>#REF!</v>
      </c>
      <c r="J17" s="70"/>
      <c r="K17" s="70" t="e">
        <f t="shared" si="6"/>
        <v>#REF!</v>
      </c>
      <c r="L17" s="70" t="e">
        <f t="shared" si="7"/>
        <v>#REF!</v>
      </c>
      <c r="M17" s="56" t="e">
        <f t="shared" si="8"/>
        <v>#REF!</v>
      </c>
      <c r="N17" s="56"/>
      <c r="O17" s="70" t="e">
        <f t="shared" si="9"/>
        <v>#REF!</v>
      </c>
      <c r="P17" s="70" t="e">
        <f t="shared" si="10"/>
        <v>#REF!</v>
      </c>
      <c r="Q17" s="56" t="e">
        <f t="shared" si="11"/>
        <v>#REF!</v>
      </c>
      <c r="R17" s="56"/>
      <c r="S17" s="70" t="e">
        <f t="shared" si="12"/>
        <v>#REF!</v>
      </c>
      <c r="T17" s="70" t="e">
        <f t="shared" si="13"/>
        <v>#REF!</v>
      </c>
      <c r="U17" s="56" t="e">
        <f t="shared" si="14"/>
        <v>#REF!</v>
      </c>
      <c r="V17" s="56"/>
      <c r="W17" s="88" t="e">
        <f t="shared" si="15"/>
        <v>#REF!</v>
      </c>
      <c r="X17" s="70" t="e">
        <f t="shared" si="16"/>
        <v>#REF!</v>
      </c>
      <c r="Y17" s="56" t="e">
        <f t="shared" si="17"/>
        <v>#REF!</v>
      </c>
    </row>
    <row r="18" spans="1:25" ht="16.5" customHeight="1">
      <c r="A18" s="60" t="s">
        <v>41</v>
      </c>
      <c r="B18" s="76" t="s">
        <v>42</v>
      </c>
      <c r="C18" s="70" t="e">
        <f t="shared" si="0"/>
        <v>#REF!</v>
      </c>
      <c r="D18" s="70" t="e">
        <f t="shared" si="1"/>
        <v>#REF!</v>
      </c>
      <c r="E18" s="56" t="e">
        <f t="shared" si="2"/>
        <v>#REF!</v>
      </c>
      <c r="F18" s="70"/>
      <c r="G18" s="70" t="e">
        <f t="shared" si="3"/>
        <v>#REF!</v>
      </c>
      <c r="H18" s="70" t="e">
        <f t="shared" si="4"/>
        <v>#REF!</v>
      </c>
      <c r="I18" s="56" t="e">
        <f t="shared" si="5"/>
        <v>#REF!</v>
      </c>
      <c r="J18" s="70"/>
      <c r="K18" s="70" t="e">
        <f t="shared" si="6"/>
        <v>#REF!</v>
      </c>
      <c r="L18" s="70" t="e">
        <f t="shared" si="7"/>
        <v>#REF!</v>
      </c>
      <c r="M18" s="56" t="e">
        <f t="shared" si="8"/>
        <v>#REF!</v>
      </c>
      <c r="N18" s="56"/>
      <c r="O18" s="70" t="e">
        <f t="shared" si="9"/>
        <v>#REF!</v>
      </c>
      <c r="P18" s="70" t="e">
        <f t="shared" si="10"/>
        <v>#REF!</v>
      </c>
      <c r="Q18" s="56" t="e">
        <f t="shared" si="11"/>
        <v>#REF!</v>
      </c>
      <c r="R18" s="56"/>
      <c r="S18" s="70" t="e">
        <f t="shared" si="12"/>
        <v>#REF!</v>
      </c>
      <c r="T18" s="70" t="e">
        <f t="shared" si="13"/>
        <v>#REF!</v>
      </c>
      <c r="U18" s="56" t="e">
        <f t="shared" si="14"/>
        <v>#REF!</v>
      </c>
      <c r="V18" s="56"/>
      <c r="W18" s="88" t="e">
        <f t="shared" si="15"/>
        <v>#REF!</v>
      </c>
      <c r="X18" s="70" t="e">
        <f t="shared" si="16"/>
        <v>#REF!</v>
      </c>
      <c r="Y18" s="56" t="e">
        <f t="shared" si="17"/>
        <v>#REF!</v>
      </c>
    </row>
    <row r="19" spans="1:25" ht="16.5" customHeight="1">
      <c r="A19" s="60" t="s">
        <v>43</v>
      </c>
      <c r="B19" s="76" t="s">
        <v>44</v>
      </c>
      <c r="C19" s="70" t="e">
        <f t="shared" si="0"/>
        <v>#REF!</v>
      </c>
      <c r="D19" s="70" t="e">
        <f t="shared" si="1"/>
        <v>#REF!</v>
      </c>
      <c r="E19" s="56" t="e">
        <f t="shared" si="2"/>
        <v>#REF!</v>
      </c>
      <c r="F19" s="70"/>
      <c r="G19" s="70" t="e">
        <f t="shared" si="3"/>
        <v>#REF!</v>
      </c>
      <c r="H19" s="70" t="e">
        <f t="shared" si="4"/>
        <v>#REF!</v>
      </c>
      <c r="I19" s="56" t="e">
        <f t="shared" si="5"/>
        <v>#REF!</v>
      </c>
      <c r="J19" s="70"/>
      <c r="K19" s="70" t="e">
        <f t="shared" si="6"/>
        <v>#REF!</v>
      </c>
      <c r="L19" s="70" t="e">
        <f t="shared" si="7"/>
        <v>#REF!</v>
      </c>
      <c r="M19" s="56" t="e">
        <f t="shared" si="8"/>
        <v>#REF!</v>
      </c>
      <c r="N19" s="56"/>
      <c r="O19" s="70" t="e">
        <f t="shared" si="9"/>
        <v>#REF!</v>
      </c>
      <c r="P19" s="70" t="e">
        <f t="shared" si="10"/>
        <v>#REF!</v>
      </c>
      <c r="Q19" s="56" t="e">
        <f t="shared" si="11"/>
        <v>#REF!</v>
      </c>
      <c r="R19" s="56"/>
      <c r="S19" s="70" t="e">
        <f t="shared" si="12"/>
        <v>#REF!</v>
      </c>
      <c r="T19" s="70" t="e">
        <f t="shared" si="13"/>
        <v>#REF!</v>
      </c>
      <c r="U19" s="56" t="e">
        <f t="shared" si="14"/>
        <v>#REF!</v>
      </c>
      <c r="V19" s="56"/>
      <c r="W19" s="88" t="e">
        <f t="shared" si="15"/>
        <v>#REF!</v>
      </c>
      <c r="X19" s="70" t="e">
        <f t="shared" si="16"/>
        <v>#REF!</v>
      </c>
      <c r="Y19" s="56" t="e">
        <f t="shared" si="17"/>
        <v>#REF!</v>
      </c>
    </row>
    <row r="20" spans="1:25" ht="16.5" customHeight="1">
      <c r="A20" s="60" t="s">
        <v>45</v>
      </c>
      <c r="B20" s="61" t="s">
        <v>46</v>
      </c>
      <c r="C20" s="70" t="e">
        <f t="shared" si="0"/>
        <v>#REF!</v>
      </c>
      <c r="D20" s="70" t="e">
        <f t="shared" si="1"/>
        <v>#REF!</v>
      </c>
      <c r="E20" s="56" t="e">
        <f t="shared" si="2"/>
        <v>#REF!</v>
      </c>
      <c r="F20" s="70"/>
      <c r="G20" s="70" t="e">
        <f t="shared" si="3"/>
        <v>#REF!</v>
      </c>
      <c r="H20" s="70" t="e">
        <f t="shared" si="4"/>
        <v>#REF!</v>
      </c>
      <c r="I20" s="56" t="e">
        <f t="shared" si="5"/>
        <v>#REF!</v>
      </c>
      <c r="J20" s="70"/>
      <c r="K20" s="70" t="e">
        <f t="shared" si="6"/>
        <v>#REF!</v>
      </c>
      <c r="L20" s="70" t="e">
        <f t="shared" si="7"/>
        <v>#REF!</v>
      </c>
      <c r="M20" s="56" t="e">
        <f t="shared" si="8"/>
        <v>#REF!</v>
      </c>
      <c r="N20" s="56"/>
      <c r="O20" s="70" t="e">
        <f t="shared" si="9"/>
        <v>#REF!</v>
      </c>
      <c r="P20" s="70" t="e">
        <f t="shared" si="10"/>
        <v>#REF!</v>
      </c>
      <c r="Q20" s="56" t="e">
        <f t="shared" si="11"/>
        <v>#REF!</v>
      </c>
      <c r="R20" s="56"/>
      <c r="S20" s="70" t="e">
        <f t="shared" si="12"/>
        <v>#REF!</v>
      </c>
      <c r="T20" s="70" t="e">
        <f t="shared" si="13"/>
        <v>#REF!</v>
      </c>
      <c r="U20" s="56" t="e">
        <f t="shared" si="14"/>
        <v>#REF!</v>
      </c>
      <c r="V20" s="56"/>
      <c r="W20" s="88" t="e">
        <f t="shared" si="15"/>
        <v>#REF!</v>
      </c>
      <c r="X20" s="70" t="e">
        <f t="shared" si="16"/>
        <v>#REF!</v>
      </c>
      <c r="Y20" s="56" t="e">
        <f t="shared" si="17"/>
        <v>#REF!</v>
      </c>
    </row>
    <row r="21" spans="1:25" ht="16.5" customHeight="1">
      <c r="A21" s="60" t="s">
        <v>47</v>
      </c>
      <c r="B21" s="76" t="s">
        <v>48</v>
      </c>
      <c r="C21" s="70" t="e">
        <f t="shared" si="0"/>
        <v>#REF!</v>
      </c>
      <c r="D21" s="70" t="e">
        <f t="shared" si="1"/>
        <v>#REF!</v>
      </c>
      <c r="E21" s="56" t="e">
        <f t="shared" si="2"/>
        <v>#REF!</v>
      </c>
      <c r="F21" s="70"/>
      <c r="G21" s="70" t="e">
        <f t="shared" si="3"/>
        <v>#REF!</v>
      </c>
      <c r="H21" s="70" t="e">
        <f t="shared" si="4"/>
        <v>#REF!</v>
      </c>
      <c r="I21" s="56" t="e">
        <f t="shared" si="5"/>
        <v>#REF!</v>
      </c>
      <c r="J21" s="70"/>
      <c r="K21" s="70" t="e">
        <f t="shared" si="6"/>
        <v>#REF!</v>
      </c>
      <c r="L21" s="70" t="e">
        <f t="shared" si="7"/>
        <v>#REF!</v>
      </c>
      <c r="M21" s="56" t="e">
        <f t="shared" si="8"/>
        <v>#REF!</v>
      </c>
      <c r="N21" s="56"/>
      <c r="O21" s="70" t="e">
        <f t="shared" si="9"/>
        <v>#REF!</v>
      </c>
      <c r="P21" s="70" t="e">
        <f t="shared" si="10"/>
        <v>#REF!</v>
      </c>
      <c r="Q21" s="56" t="e">
        <f t="shared" si="11"/>
        <v>#REF!</v>
      </c>
      <c r="R21" s="56"/>
      <c r="S21" s="70" t="e">
        <f t="shared" si="12"/>
        <v>#REF!</v>
      </c>
      <c r="T21" s="70" t="e">
        <f t="shared" si="13"/>
        <v>#REF!</v>
      </c>
      <c r="U21" s="56" t="e">
        <f t="shared" si="14"/>
        <v>#REF!</v>
      </c>
      <c r="V21" s="56"/>
      <c r="W21" s="88" t="e">
        <f t="shared" si="15"/>
        <v>#REF!</v>
      </c>
      <c r="X21" s="70" t="e">
        <f t="shared" si="16"/>
        <v>#REF!</v>
      </c>
      <c r="Y21" s="56" t="e">
        <f t="shared" si="17"/>
        <v>#REF!</v>
      </c>
    </row>
    <row r="22" spans="1:25" ht="16.5" customHeight="1">
      <c r="A22" s="60" t="s">
        <v>49</v>
      </c>
      <c r="B22" s="61" t="s">
        <v>279</v>
      </c>
      <c r="C22" s="70" t="e">
        <f t="shared" si="0"/>
        <v>#REF!</v>
      </c>
      <c r="D22" s="70" t="e">
        <f t="shared" si="1"/>
        <v>#REF!</v>
      </c>
      <c r="E22" s="56" t="e">
        <f t="shared" si="2"/>
        <v>#REF!</v>
      </c>
      <c r="F22" s="70"/>
      <c r="G22" s="70" t="e">
        <f t="shared" si="3"/>
        <v>#REF!</v>
      </c>
      <c r="H22" s="70" t="e">
        <f t="shared" si="4"/>
        <v>#REF!</v>
      </c>
      <c r="I22" s="56" t="e">
        <f t="shared" si="5"/>
        <v>#REF!</v>
      </c>
      <c r="J22" s="70"/>
      <c r="K22" s="70" t="e">
        <f t="shared" si="6"/>
        <v>#REF!</v>
      </c>
      <c r="L22" s="70" t="e">
        <f t="shared" si="7"/>
        <v>#REF!</v>
      </c>
      <c r="M22" s="56" t="e">
        <f t="shared" si="8"/>
        <v>#REF!</v>
      </c>
      <c r="N22" s="56"/>
      <c r="O22" s="70" t="e">
        <f t="shared" si="9"/>
        <v>#REF!</v>
      </c>
      <c r="P22" s="70" t="e">
        <f t="shared" si="10"/>
        <v>#REF!</v>
      </c>
      <c r="Q22" s="56" t="e">
        <f t="shared" si="11"/>
        <v>#REF!</v>
      </c>
      <c r="R22" s="56"/>
      <c r="S22" s="70" t="e">
        <f t="shared" si="12"/>
        <v>#REF!</v>
      </c>
      <c r="T22" s="70" t="e">
        <f t="shared" si="13"/>
        <v>#REF!</v>
      </c>
      <c r="U22" s="56" t="e">
        <f t="shared" si="14"/>
        <v>#REF!</v>
      </c>
      <c r="V22" s="56"/>
      <c r="W22" s="88" t="e">
        <f t="shared" si="15"/>
        <v>#REF!</v>
      </c>
      <c r="X22" s="70" t="e">
        <f t="shared" si="16"/>
        <v>#REF!</v>
      </c>
      <c r="Y22" s="56" t="e">
        <f t="shared" si="17"/>
        <v>#REF!</v>
      </c>
    </row>
    <row r="23" spans="1:25" ht="16.5" customHeight="1">
      <c r="A23" s="60" t="s">
        <v>51</v>
      </c>
      <c r="B23" s="76" t="s">
        <v>52</v>
      </c>
      <c r="C23" s="70" t="e">
        <f t="shared" si="0"/>
        <v>#REF!</v>
      </c>
      <c r="D23" s="70" t="e">
        <f t="shared" si="1"/>
        <v>#REF!</v>
      </c>
      <c r="E23" s="56" t="e">
        <f t="shared" si="2"/>
        <v>#REF!</v>
      </c>
      <c r="F23" s="70"/>
      <c r="G23" s="70" t="e">
        <f t="shared" si="3"/>
        <v>#REF!</v>
      </c>
      <c r="H23" s="70" t="e">
        <f t="shared" si="4"/>
        <v>#REF!</v>
      </c>
      <c r="I23" s="56" t="e">
        <f t="shared" si="5"/>
        <v>#REF!</v>
      </c>
      <c r="J23" s="70"/>
      <c r="K23" s="70" t="e">
        <f t="shared" si="6"/>
        <v>#REF!</v>
      </c>
      <c r="L23" s="70" t="e">
        <f t="shared" si="7"/>
        <v>#REF!</v>
      </c>
      <c r="M23" s="56" t="e">
        <f t="shared" si="8"/>
        <v>#REF!</v>
      </c>
      <c r="N23" s="56"/>
      <c r="O23" s="70" t="e">
        <f t="shared" si="9"/>
        <v>#REF!</v>
      </c>
      <c r="P23" s="70" t="e">
        <f t="shared" si="10"/>
        <v>#REF!</v>
      </c>
      <c r="Q23" s="56" t="e">
        <f t="shared" si="11"/>
        <v>#REF!</v>
      </c>
      <c r="R23" s="56"/>
      <c r="S23" s="70" t="e">
        <f t="shared" si="12"/>
        <v>#REF!</v>
      </c>
      <c r="T23" s="70" t="e">
        <f t="shared" si="13"/>
        <v>#REF!</v>
      </c>
      <c r="U23" s="56" t="e">
        <f t="shared" si="14"/>
        <v>#REF!</v>
      </c>
      <c r="V23" s="56"/>
      <c r="W23" s="88" t="e">
        <f t="shared" si="15"/>
        <v>#REF!</v>
      </c>
      <c r="X23" s="70" t="e">
        <f t="shared" si="16"/>
        <v>#REF!</v>
      </c>
      <c r="Y23" s="56" t="e">
        <f t="shared" si="17"/>
        <v>#REF!</v>
      </c>
    </row>
    <row r="24" spans="1:25" ht="16.5" customHeight="1">
      <c r="A24" s="60" t="s">
        <v>57</v>
      </c>
      <c r="B24" s="61" t="s">
        <v>362</v>
      </c>
      <c r="C24" s="70" t="e">
        <f t="shared" si="0"/>
        <v>#REF!</v>
      </c>
      <c r="D24" s="70" t="e">
        <f t="shared" si="1"/>
        <v>#REF!</v>
      </c>
      <c r="E24" s="56" t="e">
        <f t="shared" si="2"/>
        <v>#REF!</v>
      </c>
      <c r="F24" s="70"/>
      <c r="G24" s="70" t="e">
        <f t="shared" si="3"/>
        <v>#REF!</v>
      </c>
      <c r="H24" s="70" t="e">
        <f t="shared" si="4"/>
        <v>#REF!</v>
      </c>
      <c r="I24" s="56" t="e">
        <f t="shared" si="5"/>
        <v>#REF!</v>
      </c>
      <c r="J24" s="70"/>
      <c r="K24" s="70" t="e">
        <f t="shared" si="6"/>
        <v>#REF!</v>
      </c>
      <c r="L24" s="70" t="e">
        <f t="shared" si="7"/>
        <v>#REF!</v>
      </c>
      <c r="M24" s="56" t="e">
        <f t="shared" si="8"/>
        <v>#REF!</v>
      </c>
      <c r="N24" s="56"/>
      <c r="O24" s="70" t="e">
        <f t="shared" si="9"/>
        <v>#REF!</v>
      </c>
      <c r="P24" s="70" t="e">
        <f t="shared" si="10"/>
        <v>#REF!</v>
      </c>
      <c r="Q24" s="56" t="e">
        <f t="shared" si="11"/>
        <v>#REF!</v>
      </c>
      <c r="R24" s="56"/>
      <c r="S24" s="70" t="e">
        <f t="shared" si="12"/>
        <v>#REF!</v>
      </c>
      <c r="T24" s="70" t="e">
        <f t="shared" si="13"/>
        <v>#REF!</v>
      </c>
      <c r="U24" s="56" t="e">
        <f t="shared" si="14"/>
        <v>#REF!</v>
      </c>
      <c r="V24" s="56"/>
      <c r="W24" s="88" t="e">
        <f t="shared" si="15"/>
        <v>#REF!</v>
      </c>
      <c r="X24" s="70" t="e">
        <f t="shared" si="16"/>
        <v>#REF!</v>
      </c>
      <c r="Y24" s="56" t="e">
        <f t="shared" si="17"/>
        <v>#REF!</v>
      </c>
    </row>
    <row r="25" spans="1:25" ht="16.5" customHeight="1">
      <c r="A25" s="60" t="s">
        <v>59</v>
      </c>
      <c r="B25" s="61" t="s">
        <v>60</v>
      </c>
      <c r="C25" s="70" t="e">
        <f t="shared" si="0"/>
        <v>#REF!</v>
      </c>
      <c r="D25" s="70" t="e">
        <f t="shared" si="1"/>
        <v>#REF!</v>
      </c>
      <c r="E25" s="56" t="e">
        <f t="shared" si="2"/>
        <v>#REF!</v>
      </c>
      <c r="F25" s="70"/>
      <c r="G25" s="70" t="e">
        <f t="shared" si="3"/>
        <v>#REF!</v>
      </c>
      <c r="H25" s="70" t="e">
        <f t="shared" si="4"/>
        <v>#REF!</v>
      </c>
      <c r="I25" s="56" t="e">
        <f t="shared" si="5"/>
        <v>#REF!</v>
      </c>
      <c r="J25" s="70"/>
      <c r="K25" s="70" t="e">
        <f t="shared" si="6"/>
        <v>#REF!</v>
      </c>
      <c r="L25" s="70" t="e">
        <f t="shared" si="7"/>
        <v>#REF!</v>
      </c>
      <c r="M25" s="56" t="e">
        <f t="shared" si="8"/>
        <v>#REF!</v>
      </c>
      <c r="N25" s="56"/>
      <c r="O25" s="70" t="e">
        <f t="shared" si="9"/>
        <v>#REF!</v>
      </c>
      <c r="P25" s="70" t="e">
        <f t="shared" si="10"/>
        <v>#REF!</v>
      </c>
      <c r="Q25" s="56" t="e">
        <f t="shared" si="11"/>
        <v>#REF!</v>
      </c>
      <c r="R25" s="56"/>
      <c r="S25" s="70" t="e">
        <f t="shared" si="12"/>
        <v>#REF!</v>
      </c>
      <c r="T25" s="70" t="e">
        <f t="shared" si="13"/>
        <v>#REF!</v>
      </c>
      <c r="U25" s="56" t="e">
        <f t="shared" si="14"/>
        <v>#REF!</v>
      </c>
      <c r="V25" s="56"/>
      <c r="W25" s="88" t="e">
        <f t="shared" si="15"/>
        <v>#REF!</v>
      </c>
      <c r="X25" s="70" t="e">
        <f t="shared" si="16"/>
        <v>#REF!</v>
      </c>
      <c r="Y25" s="56" t="e">
        <f t="shared" si="17"/>
        <v>#REF!</v>
      </c>
    </row>
    <row r="26" spans="1:25" ht="16.5" customHeight="1">
      <c r="A26" s="60" t="s">
        <v>61</v>
      </c>
      <c r="B26" s="76" t="s">
        <v>62</v>
      </c>
      <c r="C26" s="70" t="e">
        <f t="shared" si="0"/>
        <v>#REF!</v>
      </c>
      <c r="D26" s="70" t="e">
        <f t="shared" si="1"/>
        <v>#REF!</v>
      </c>
      <c r="E26" s="56" t="e">
        <f t="shared" si="2"/>
        <v>#REF!</v>
      </c>
      <c r="F26" s="70"/>
      <c r="G26" s="70" t="e">
        <f t="shared" si="3"/>
        <v>#REF!</v>
      </c>
      <c r="H26" s="70" t="e">
        <f t="shared" si="4"/>
        <v>#REF!</v>
      </c>
      <c r="I26" s="56" t="e">
        <f t="shared" si="5"/>
        <v>#REF!</v>
      </c>
      <c r="J26" s="70"/>
      <c r="K26" s="70" t="e">
        <f t="shared" si="6"/>
        <v>#REF!</v>
      </c>
      <c r="L26" s="70" t="e">
        <f t="shared" si="7"/>
        <v>#REF!</v>
      </c>
      <c r="M26" s="56" t="e">
        <f t="shared" si="8"/>
        <v>#REF!</v>
      </c>
      <c r="N26" s="56"/>
      <c r="O26" s="70" t="e">
        <f t="shared" si="9"/>
        <v>#REF!</v>
      </c>
      <c r="P26" s="70" t="e">
        <f t="shared" si="10"/>
        <v>#REF!</v>
      </c>
      <c r="Q26" s="56" t="e">
        <f t="shared" si="11"/>
        <v>#REF!</v>
      </c>
      <c r="R26" s="56"/>
      <c r="S26" s="70" t="e">
        <f t="shared" si="12"/>
        <v>#REF!</v>
      </c>
      <c r="T26" s="70" t="e">
        <f t="shared" si="13"/>
        <v>#REF!</v>
      </c>
      <c r="U26" s="56" t="e">
        <f t="shared" si="14"/>
        <v>#REF!</v>
      </c>
      <c r="V26" s="56"/>
      <c r="W26" s="88" t="e">
        <f t="shared" si="15"/>
        <v>#REF!</v>
      </c>
      <c r="X26" s="70" t="e">
        <f t="shared" si="16"/>
        <v>#REF!</v>
      </c>
      <c r="Y26" s="56" t="e">
        <f t="shared" si="17"/>
        <v>#REF!</v>
      </c>
    </row>
    <row r="27" spans="1:25" ht="16.5" customHeight="1">
      <c r="A27" s="60" t="s">
        <v>63</v>
      </c>
      <c r="B27" s="61" t="s">
        <v>64</v>
      </c>
      <c r="C27" s="70" t="e">
        <f t="shared" si="0"/>
        <v>#REF!</v>
      </c>
      <c r="D27" s="70" t="e">
        <f t="shared" si="1"/>
        <v>#REF!</v>
      </c>
      <c r="E27" s="56" t="e">
        <f t="shared" si="2"/>
        <v>#REF!</v>
      </c>
      <c r="F27" s="70"/>
      <c r="G27" s="70" t="e">
        <f t="shared" si="3"/>
        <v>#REF!</v>
      </c>
      <c r="H27" s="70" t="e">
        <f t="shared" si="4"/>
        <v>#REF!</v>
      </c>
      <c r="I27" s="56" t="e">
        <f t="shared" si="5"/>
        <v>#REF!</v>
      </c>
      <c r="J27" s="70"/>
      <c r="K27" s="70" t="e">
        <f t="shared" si="6"/>
        <v>#REF!</v>
      </c>
      <c r="L27" s="70" t="e">
        <f t="shared" si="7"/>
        <v>#REF!</v>
      </c>
      <c r="M27" s="56" t="e">
        <f t="shared" si="8"/>
        <v>#REF!</v>
      </c>
      <c r="N27" s="56"/>
      <c r="O27" s="70" t="e">
        <f t="shared" si="9"/>
        <v>#REF!</v>
      </c>
      <c r="P27" s="70" t="e">
        <f t="shared" si="10"/>
        <v>#REF!</v>
      </c>
      <c r="Q27" s="56" t="e">
        <f t="shared" si="11"/>
        <v>#REF!</v>
      </c>
      <c r="R27" s="56"/>
      <c r="S27" s="70" t="e">
        <f t="shared" si="12"/>
        <v>#REF!</v>
      </c>
      <c r="T27" s="70" t="e">
        <f t="shared" si="13"/>
        <v>#REF!</v>
      </c>
      <c r="U27" s="56" t="e">
        <f t="shared" si="14"/>
        <v>#REF!</v>
      </c>
      <c r="V27" s="56"/>
      <c r="W27" s="88" t="e">
        <f t="shared" si="15"/>
        <v>#REF!</v>
      </c>
      <c r="X27" s="70" t="e">
        <f t="shared" si="16"/>
        <v>#REF!</v>
      </c>
      <c r="Y27" s="56" t="e">
        <f t="shared" si="17"/>
        <v>#REF!</v>
      </c>
    </row>
    <row r="28" spans="1:25" ht="16.5" customHeight="1">
      <c r="A28" s="60" t="s">
        <v>65</v>
      </c>
      <c r="B28" s="76" t="s">
        <v>66</v>
      </c>
      <c r="C28" s="70" t="e">
        <f t="shared" si="0"/>
        <v>#REF!</v>
      </c>
      <c r="D28" s="70" t="e">
        <f t="shared" si="1"/>
        <v>#REF!</v>
      </c>
      <c r="E28" s="56" t="e">
        <f t="shared" si="2"/>
        <v>#REF!</v>
      </c>
      <c r="F28" s="70"/>
      <c r="G28" s="70" t="e">
        <f t="shared" si="3"/>
        <v>#REF!</v>
      </c>
      <c r="H28" s="70" t="e">
        <f t="shared" si="4"/>
        <v>#REF!</v>
      </c>
      <c r="I28" s="56" t="e">
        <f t="shared" si="5"/>
        <v>#REF!</v>
      </c>
      <c r="J28" s="70"/>
      <c r="K28" s="70" t="e">
        <f t="shared" si="6"/>
        <v>#REF!</v>
      </c>
      <c r="L28" s="70" t="e">
        <f t="shared" si="7"/>
        <v>#REF!</v>
      </c>
      <c r="M28" s="56" t="e">
        <f t="shared" si="8"/>
        <v>#REF!</v>
      </c>
      <c r="N28" s="56"/>
      <c r="O28" s="70" t="e">
        <f t="shared" si="9"/>
        <v>#REF!</v>
      </c>
      <c r="P28" s="70" t="e">
        <f t="shared" si="10"/>
        <v>#REF!</v>
      </c>
      <c r="Q28" s="56" t="e">
        <f t="shared" si="11"/>
        <v>#REF!</v>
      </c>
      <c r="R28" s="56"/>
      <c r="S28" s="70" t="e">
        <f t="shared" si="12"/>
        <v>#REF!</v>
      </c>
      <c r="T28" s="70" t="e">
        <f t="shared" si="13"/>
        <v>#REF!</v>
      </c>
      <c r="U28" s="56" t="e">
        <f t="shared" si="14"/>
        <v>#REF!</v>
      </c>
      <c r="V28" s="56"/>
      <c r="W28" s="88" t="e">
        <f t="shared" si="15"/>
        <v>#REF!</v>
      </c>
      <c r="X28" s="70" t="e">
        <f t="shared" si="16"/>
        <v>#REF!</v>
      </c>
      <c r="Y28" s="56" t="e">
        <f t="shared" si="17"/>
        <v>#REF!</v>
      </c>
    </row>
    <row r="29" spans="1:25" ht="16.5" customHeight="1">
      <c r="A29" s="60" t="s">
        <v>69</v>
      </c>
      <c r="B29" s="76" t="s">
        <v>70</v>
      </c>
      <c r="C29" s="70" t="e">
        <f t="shared" si="0"/>
        <v>#REF!</v>
      </c>
      <c r="D29" s="70" t="e">
        <f t="shared" si="1"/>
        <v>#REF!</v>
      </c>
      <c r="E29" s="56" t="e">
        <f t="shared" si="2"/>
        <v>#REF!</v>
      </c>
      <c r="F29" s="70"/>
      <c r="G29" s="70" t="e">
        <f t="shared" si="3"/>
        <v>#REF!</v>
      </c>
      <c r="H29" s="70" t="e">
        <f t="shared" si="4"/>
        <v>#REF!</v>
      </c>
      <c r="I29" s="56" t="e">
        <f t="shared" si="5"/>
        <v>#REF!</v>
      </c>
      <c r="J29" s="70"/>
      <c r="K29" s="70" t="e">
        <f t="shared" si="6"/>
        <v>#REF!</v>
      </c>
      <c r="L29" s="70" t="e">
        <f t="shared" si="7"/>
        <v>#REF!</v>
      </c>
      <c r="M29" s="56" t="e">
        <f t="shared" si="8"/>
        <v>#REF!</v>
      </c>
      <c r="N29" s="56"/>
      <c r="O29" s="70" t="e">
        <f t="shared" si="9"/>
        <v>#REF!</v>
      </c>
      <c r="P29" s="70" t="e">
        <f t="shared" si="10"/>
        <v>#REF!</v>
      </c>
      <c r="Q29" s="56" t="e">
        <f t="shared" si="11"/>
        <v>#REF!</v>
      </c>
      <c r="R29" s="56"/>
      <c r="S29" s="70" t="e">
        <f t="shared" si="12"/>
        <v>#REF!</v>
      </c>
      <c r="T29" s="70" t="e">
        <f t="shared" si="13"/>
        <v>#REF!</v>
      </c>
      <c r="U29" s="56" t="e">
        <f t="shared" si="14"/>
        <v>#REF!</v>
      </c>
      <c r="V29" s="56"/>
      <c r="W29" s="88" t="e">
        <f t="shared" si="15"/>
        <v>#REF!</v>
      </c>
      <c r="X29" s="70" t="e">
        <f t="shared" si="16"/>
        <v>#REF!</v>
      </c>
      <c r="Y29" s="56" t="e">
        <f t="shared" si="17"/>
        <v>#REF!</v>
      </c>
    </row>
    <row r="30" spans="1:25" ht="16.5" customHeight="1">
      <c r="A30" s="60" t="s">
        <v>71</v>
      </c>
      <c r="B30" s="76" t="s">
        <v>72</v>
      </c>
      <c r="C30" s="70" t="e">
        <f t="shared" si="0"/>
        <v>#REF!</v>
      </c>
      <c r="D30" s="70" t="e">
        <f t="shared" si="1"/>
        <v>#REF!</v>
      </c>
      <c r="E30" s="56" t="e">
        <f t="shared" si="2"/>
        <v>#REF!</v>
      </c>
      <c r="F30" s="70"/>
      <c r="G30" s="70" t="e">
        <f t="shared" si="3"/>
        <v>#REF!</v>
      </c>
      <c r="H30" s="70" t="e">
        <f t="shared" si="4"/>
        <v>#REF!</v>
      </c>
      <c r="I30" s="56" t="e">
        <f t="shared" si="5"/>
        <v>#REF!</v>
      </c>
      <c r="J30" s="70"/>
      <c r="K30" s="70" t="e">
        <f t="shared" si="6"/>
        <v>#REF!</v>
      </c>
      <c r="L30" s="70" t="e">
        <f t="shared" si="7"/>
        <v>#REF!</v>
      </c>
      <c r="M30" s="56" t="e">
        <f t="shared" si="8"/>
        <v>#REF!</v>
      </c>
      <c r="N30" s="56"/>
      <c r="O30" s="70" t="e">
        <f t="shared" si="9"/>
        <v>#REF!</v>
      </c>
      <c r="P30" s="70" t="e">
        <f t="shared" si="10"/>
        <v>#REF!</v>
      </c>
      <c r="Q30" s="56" t="e">
        <f t="shared" si="11"/>
        <v>#REF!</v>
      </c>
      <c r="R30" s="56"/>
      <c r="S30" s="70" t="e">
        <f t="shared" si="12"/>
        <v>#REF!</v>
      </c>
      <c r="T30" s="70" t="e">
        <f t="shared" si="13"/>
        <v>#REF!</v>
      </c>
      <c r="U30" s="56" t="e">
        <f t="shared" si="14"/>
        <v>#REF!</v>
      </c>
      <c r="V30" s="56"/>
      <c r="W30" s="88" t="e">
        <f t="shared" si="15"/>
        <v>#REF!</v>
      </c>
      <c r="X30" s="70" t="e">
        <f t="shared" si="16"/>
        <v>#REF!</v>
      </c>
      <c r="Y30" s="56" t="e">
        <f t="shared" si="17"/>
        <v>#REF!</v>
      </c>
    </row>
    <row r="31" spans="1:25" ht="16.5" customHeight="1">
      <c r="A31" s="60" t="s">
        <v>73</v>
      </c>
      <c r="B31" s="76" t="s">
        <v>74</v>
      </c>
      <c r="C31" s="70" t="e">
        <f t="shared" si="0"/>
        <v>#REF!</v>
      </c>
      <c r="D31" s="70" t="e">
        <f t="shared" si="1"/>
        <v>#REF!</v>
      </c>
      <c r="E31" s="56" t="e">
        <f t="shared" si="2"/>
        <v>#REF!</v>
      </c>
      <c r="F31" s="70"/>
      <c r="G31" s="70" t="e">
        <f t="shared" si="3"/>
        <v>#REF!</v>
      </c>
      <c r="H31" s="70" t="e">
        <f t="shared" si="4"/>
        <v>#REF!</v>
      </c>
      <c r="I31" s="56" t="e">
        <f t="shared" si="5"/>
        <v>#REF!</v>
      </c>
      <c r="J31" s="70"/>
      <c r="K31" s="70" t="e">
        <f t="shared" si="6"/>
        <v>#REF!</v>
      </c>
      <c r="L31" s="70" t="e">
        <f t="shared" si="7"/>
        <v>#REF!</v>
      </c>
      <c r="M31" s="56" t="e">
        <f t="shared" si="8"/>
        <v>#REF!</v>
      </c>
      <c r="N31" s="56"/>
      <c r="O31" s="70" t="e">
        <f t="shared" si="9"/>
        <v>#REF!</v>
      </c>
      <c r="P31" s="70" t="e">
        <f t="shared" si="10"/>
        <v>#REF!</v>
      </c>
      <c r="Q31" s="56" t="e">
        <f t="shared" si="11"/>
        <v>#REF!</v>
      </c>
      <c r="R31" s="56"/>
      <c r="S31" s="70" t="e">
        <f t="shared" si="12"/>
        <v>#REF!</v>
      </c>
      <c r="T31" s="70" t="e">
        <f t="shared" si="13"/>
        <v>#REF!</v>
      </c>
      <c r="U31" s="56" t="e">
        <f t="shared" si="14"/>
        <v>#REF!</v>
      </c>
      <c r="V31" s="56"/>
      <c r="W31" s="88" t="e">
        <f t="shared" si="15"/>
        <v>#REF!</v>
      </c>
      <c r="X31" s="70" t="e">
        <f t="shared" si="16"/>
        <v>#REF!</v>
      </c>
      <c r="Y31" s="56" t="e">
        <f t="shared" si="17"/>
        <v>#REF!</v>
      </c>
    </row>
    <row r="32" spans="1:25" ht="16.5" customHeight="1">
      <c r="A32" s="60" t="s">
        <v>75</v>
      </c>
      <c r="B32" s="61" t="s">
        <v>369</v>
      </c>
      <c r="C32" s="70" t="e">
        <f t="shared" si="0"/>
        <v>#REF!</v>
      </c>
      <c r="D32" s="70" t="e">
        <f t="shared" si="1"/>
        <v>#REF!</v>
      </c>
      <c r="E32" s="56" t="e">
        <f t="shared" si="2"/>
        <v>#REF!</v>
      </c>
      <c r="F32" s="70"/>
      <c r="G32" s="70" t="e">
        <f t="shared" si="3"/>
        <v>#REF!</v>
      </c>
      <c r="H32" s="70" t="e">
        <f t="shared" si="4"/>
        <v>#REF!</v>
      </c>
      <c r="I32" s="56" t="e">
        <f t="shared" si="5"/>
        <v>#REF!</v>
      </c>
      <c r="J32" s="70"/>
      <c r="K32" s="70" t="e">
        <f t="shared" si="6"/>
        <v>#REF!</v>
      </c>
      <c r="L32" s="70" t="e">
        <f t="shared" si="7"/>
        <v>#REF!</v>
      </c>
      <c r="M32" s="56" t="e">
        <f t="shared" si="8"/>
        <v>#REF!</v>
      </c>
      <c r="N32" s="56"/>
      <c r="O32" s="70" t="e">
        <f t="shared" si="9"/>
        <v>#REF!</v>
      </c>
      <c r="P32" s="70" t="e">
        <f t="shared" si="10"/>
        <v>#REF!</v>
      </c>
      <c r="Q32" s="56" t="e">
        <f t="shared" si="11"/>
        <v>#REF!</v>
      </c>
      <c r="R32" s="56"/>
      <c r="S32" s="70" t="e">
        <f t="shared" si="12"/>
        <v>#REF!</v>
      </c>
      <c r="T32" s="70" t="e">
        <f t="shared" si="13"/>
        <v>#REF!</v>
      </c>
      <c r="U32" s="56" t="e">
        <f t="shared" si="14"/>
        <v>#REF!</v>
      </c>
      <c r="V32" s="56"/>
      <c r="W32" s="88" t="e">
        <f t="shared" si="15"/>
        <v>#REF!</v>
      </c>
      <c r="X32" s="70" t="e">
        <f t="shared" si="16"/>
        <v>#REF!</v>
      </c>
      <c r="Y32" s="56" t="e">
        <f t="shared" si="17"/>
        <v>#REF!</v>
      </c>
    </row>
    <row r="33" spans="1:25" ht="16.5" customHeight="1">
      <c r="A33" s="60" t="s">
        <v>77</v>
      </c>
      <c r="B33" s="61" t="s">
        <v>78</v>
      </c>
      <c r="C33" s="70" t="e">
        <f t="shared" si="0"/>
        <v>#REF!</v>
      </c>
      <c r="D33" s="70" t="e">
        <f t="shared" si="1"/>
        <v>#REF!</v>
      </c>
      <c r="E33" s="56" t="e">
        <f t="shared" si="2"/>
        <v>#REF!</v>
      </c>
      <c r="F33" s="70"/>
      <c r="G33" s="70" t="e">
        <f t="shared" si="3"/>
        <v>#REF!</v>
      </c>
      <c r="H33" s="70" t="e">
        <f t="shared" si="4"/>
        <v>#REF!</v>
      </c>
      <c r="I33" s="56" t="e">
        <f t="shared" si="5"/>
        <v>#REF!</v>
      </c>
      <c r="J33" s="70"/>
      <c r="K33" s="70" t="e">
        <f t="shared" si="6"/>
        <v>#REF!</v>
      </c>
      <c r="L33" s="70" t="e">
        <f t="shared" si="7"/>
        <v>#REF!</v>
      </c>
      <c r="M33" s="56" t="e">
        <f t="shared" si="8"/>
        <v>#REF!</v>
      </c>
      <c r="N33" s="56"/>
      <c r="O33" s="70" t="e">
        <f t="shared" si="9"/>
        <v>#REF!</v>
      </c>
      <c r="P33" s="70" t="e">
        <f t="shared" si="10"/>
        <v>#REF!</v>
      </c>
      <c r="Q33" s="56" t="e">
        <f t="shared" si="11"/>
        <v>#REF!</v>
      </c>
      <c r="R33" s="56"/>
      <c r="S33" s="70" t="e">
        <f t="shared" si="12"/>
        <v>#REF!</v>
      </c>
      <c r="T33" s="70" t="e">
        <f t="shared" si="13"/>
        <v>#REF!</v>
      </c>
      <c r="U33" s="56" t="e">
        <f t="shared" si="14"/>
        <v>#REF!</v>
      </c>
      <c r="V33" s="56"/>
      <c r="W33" s="88" t="e">
        <f t="shared" si="15"/>
        <v>#REF!</v>
      </c>
      <c r="X33" s="70" t="e">
        <f t="shared" si="16"/>
        <v>#REF!</v>
      </c>
      <c r="Y33" s="56" t="e">
        <f t="shared" si="17"/>
        <v>#REF!</v>
      </c>
    </row>
    <row r="34" spans="1:25" ht="16.5" customHeight="1">
      <c r="A34" s="60" t="s">
        <v>79</v>
      </c>
      <c r="B34" s="76" t="s">
        <v>80</v>
      </c>
      <c r="C34" s="70" t="e">
        <f t="shared" si="0"/>
        <v>#REF!</v>
      </c>
      <c r="D34" s="70" t="e">
        <f t="shared" si="1"/>
        <v>#REF!</v>
      </c>
      <c r="E34" s="56" t="e">
        <f t="shared" si="2"/>
        <v>#REF!</v>
      </c>
      <c r="F34" s="70"/>
      <c r="G34" s="70" t="e">
        <f t="shared" si="3"/>
        <v>#REF!</v>
      </c>
      <c r="H34" s="70" t="e">
        <f t="shared" si="4"/>
        <v>#REF!</v>
      </c>
      <c r="I34" s="56" t="e">
        <f t="shared" si="5"/>
        <v>#REF!</v>
      </c>
      <c r="J34" s="70"/>
      <c r="K34" s="70" t="e">
        <f t="shared" si="6"/>
        <v>#REF!</v>
      </c>
      <c r="L34" s="70" t="e">
        <f t="shared" si="7"/>
        <v>#REF!</v>
      </c>
      <c r="M34" s="56" t="e">
        <f t="shared" si="8"/>
        <v>#REF!</v>
      </c>
      <c r="N34" s="56"/>
      <c r="O34" s="70" t="e">
        <f t="shared" si="9"/>
        <v>#REF!</v>
      </c>
      <c r="P34" s="70" t="e">
        <f t="shared" si="10"/>
        <v>#REF!</v>
      </c>
      <c r="Q34" s="56" t="e">
        <f t="shared" si="11"/>
        <v>#REF!</v>
      </c>
      <c r="R34" s="56"/>
      <c r="S34" s="70" t="e">
        <f t="shared" si="12"/>
        <v>#REF!</v>
      </c>
      <c r="T34" s="70" t="e">
        <f t="shared" si="13"/>
        <v>#REF!</v>
      </c>
      <c r="U34" s="56" t="e">
        <f t="shared" si="14"/>
        <v>#REF!</v>
      </c>
      <c r="V34" s="56"/>
      <c r="W34" s="88" t="e">
        <f t="shared" si="15"/>
        <v>#REF!</v>
      </c>
      <c r="X34" s="70" t="e">
        <f t="shared" si="16"/>
        <v>#REF!</v>
      </c>
      <c r="Y34" s="56" t="e">
        <f t="shared" si="17"/>
        <v>#REF!</v>
      </c>
    </row>
    <row r="35" spans="1:25" ht="16.5" customHeight="1">
      <c r="A35" s="60" t="s">
        <v>81</v>
      </c>
      <c r="B35" s="61" t="s">
        <v>82</v>
      </c>
      <c r="C35" s="70" t="e">
        <f t="shared" si="0"/>
        <v>#REF!</v>
      </c>
      <c r="D35" s="70" t="e">
        <f t="shared" si="1"/>
        <v>#REF!</v>
      </c>
      <c r="E35" s="56" t="e">
        <f t="shared" si="2"/>
        <v>#REF!</v>
      </c>
      <c r="F35" s="70"/>
      <c r="G35" s="70" t="e">
        <f t="shared" si="3"/>
        <v>#REF!</v>
      </c>
      <c r="H35" s="70" t="e">
        <f t="shared" si="4"/>
        <v>#REF!</v>
      </c>
      <c r="I35" s="56" t="e">
        <f t="shared" si="5"/>
        <v>#REF!</v>
      </c>
      <c r="J35" s="70"/>
      <c r="K35" s="70" t="e">
        <f t="shared" si="6"/>
        <v>#REF!</v>
      </c>
      <c r="L35" s="70" t="e">
        <f t="shared" si="7"/>
        <v>#REF!</v>
      </c>
      <c r="M35" s="56" t="e">
        <f t="shared" si="8"/>
        <v>#REF!</v>
      </c>
      <c r="N35" s="56"/>
      <c r="O35" s="70" t="e">
        <f t="shared" si="9"/>
        <v>#REF!</v>
      </c>
      <c r="P35" s="70" t="e">
        <f t="shared" si="10"/>
        <v>#REF!</v>
      </c>
      <c r="Q35" s="56" t="e">
        <f t="shared" si="11"/>
        <v>#REF!</v>
      </c>
      <c r="R35" s="56"/>
      <c r="S35" s="70" t="e">
        <f t="shared" si="12"/>
        <v>#REF!</v>
      </c>
      <c r="T35" s="70" t="e">
        <f t="shared" si="13"/>
        <v>#REF!</v>
      </c>
      <c r="U35" s="56" t="e">
        <f t="shared" si="14"/>
        <v>#REF!</v>
      </c>
      <c r="V35" s="56"/>
      <c r="W35" s="88" t="e">
        <f t="shared" si="15"/>
        <v>#REF!</v>
      </c>
      <c r="X35" s="70" t="e">
        <f t="shared" si="16"/>
        <v>#REF!</v>
      </c>
      <c r="Y35" s="56" t="e">
        <f t="shared" si="17"/>
        <v>#REF!</v>
      </c>
    </row>
    <row r="36" spans="1:25" ht="16.5" customHeight="1">
      <c r="A36" s="60" t="s">
        <v>85</v>
      </c>
      <c r="B36" s="76" t="s">
        <v>387</v>
      </c>
      <c r="C36" s="70" t="e">
        <f t="shared" ref="C36:C67" si="18">VLOOKUP(A36,MedicaidR,7,FALSE)</f>
        <v>#REF!</v>
      </c>
      <c r="D36" s="70" t="e">
        <f t="shared" ref="D36:D67" si="19">VLOOKUP(A36,Pop,14,FALSE)</f>
        <v>#REF!</v>
      </c>
      <c r="E36" s="56" t="e">
        <f t="shared" ref="E36:E67" si="20">+C36/D36</f>
        <v>#REF!</v>
      </c>
      <c r="F36" s="70"/>
      <c r="G36" s="70" t="e">
        <f t="shared" ref="G36:G67" si="21">VLOOKUP(A36,MedicaidR,8,FALSE)</f>
        <v>#REF!</v>
      </c>
      <c r="H36" s="70" t="e">
        <f t="shared" ref="H36:H67" si="22">VLOOKUP(A36,Pop,15,FALSE)</f>
        <v>#REF!</v>
      </c>
      <c r="I36" s="56" t="e">
        <f t="shared" ref="I36:I67" si="23">+G36/H36</f>
        <v>#REF!</v>
      </c>
      <c r="J36" s="70"/>
      <c r="K36" s="70" t="e">
        <f t="shared" ref="K36:K67" si="24">VLOOKUP(A36,MedicaidR,9,FALSE)</f>
        <v>#REF!</v>
      </c>
      <c r="L36" s="70" t="e">
        <f t="shared" ref="L36:L67" si="25">VLOOKUP(A36,Pop,16,FALSE)</f>
        <v>#REF!</v>
      </c>
      <c r="M36" s="56" t="e">
        <f t="shared" ref="M36:M67" si="26">+K36/L36</f>
        <v>#REF!</v>
      </c>
      <c r="N36" s="56"/>
      <c r="O36" s="70" t="e">
        <f t="shared" ref="O36:O67" si="27">VLOOKUP(A36,MedicaidR,3,FALSE)</f>
        <v>#REF!</v>
      </c>
      <c r="P36" s="70" t="e">
        <f t="shared" ref="P36:P67" si="28">VLOOKUP(A36,Pop,8,FALSE)</f>
        <v>#REF!</v>
      </c>
      <c r="Q36" s="56" t="e">
        <f t="shared" ref="Q36:Q67" si="29">+O36/P36</f>
        <v>#REF!</v>
      </c>
      <c r="R36" s="56"/>
      <c r="S36" s="70" t="e">
        <f t="shared" ref="S36:S67" si="30">VLOOKUP(A36,MedicaidR,4,FALSE)</f>
        <v>#REF!</v>
      </c>
      <c r="T36" s="70" t="e">
        <f t="shared" ref="T36:T67" si="31">VLOOKUP(A36,Pop,9,FALSE)</f>
        <v>#REF!</v>
      </c>
      <c r="U36" s="56" t="e">
        <f t="shared" ref="U36:U67" si="32">+S36/T36</f>
        <v>#REF!</v>
      </c>
      <c r="V36" s="56"/>
      <c r="W36" s="88" t="e">
        <f t="shared" ref="W36:W67" si="33">VLOOKUP(A36,MedicaidR,5,FALSE)</f>
        <v>#REF!</v>
      </c>
      <c r="X36" s="70" t="e">
        <f t="shared" ref="X36:X67" si="34">VLOOKUP(A36,Pop,10,FALSE)</f>
        <v>#REF!</v>
      </c>
      <c r="Y36" s="56" t="e">
        <f t="shared" ref="Y36:Y67" si="35">+W36/X36</f>
        <v>#REF!</v>
      </c>
    </row>
    <row r="37" spans="1:25" ht="16.5" customHeight="1">
      <c r="A37" s="60" t="s">
        <v>87</v>
      </c>
      <c r="B37" s="61" t="s">
        <v>88</v>
      </c>
      <c r="C37" s="70" t="e">
        <f t="shared" si="18"/>
        <v>#REF!</v>
      </c>
      <c r="D37" s="70" t="e">
        <f t="shared" si="19"/>
        <v>#REF!</v>
      </c>
      <c r="E37" s="56" t="e">
        <f t="shared" si="20"/>
        <v>#REF!</v>
      </c>
      <c r="F37" s="70"/>
      <c r="G37" s="70" t="e">
        <f t="shared" si="21"/>
        <v>#REF!</v>
      </c>
      <c r="H37" s="70" t="e">
        <f t="shared" si="22"/>
        <v>#REF!</v>
      </c>
      <c r="I37" s="56" t="e">
        <f t="shared" si="23"/>
        <v>#REF!</v>
      </c>
      <c r="J37" s="70"/>
      <c r="K37" s="70" t="e">
        <f t="shared" si="24"/>
        <v>#REF!</v>
      </c>
      <c r="L37" s="70" t="e">
        <f t="shared" si="25"/>
        <v>#REF!</v>
      </c>
      <c r="M37" s="56" t="e">
        <f t="shared" si="26"/>
        <v>#REF!</v>
      </c>
      <c r="N37" s="56"/>
      <c r="O37" s="70" t="e">
        <f t="shared" si="27"/>
        <v>#REF!</v>
      </c>
      <c r="P37" s="70" t="e">
        <f t="shared" si="28"/>
        <v>#REF!</v>
      </c>
      <c r="Q37" s="56" t="e">
        <f t="shared" si="29"/>
        <v>#REF!</v>
      </c>
      <c r="R37" s="56"/>
      <c r="S37" s="70" t="e">
        <f t="shared" si="30"/>
        <v>#REF!</v>
      </c>
      <c r="T37" s="70" t="e">
        <f t="shared" si="31"/>
        <v>#REF!</v>
      </c>
      <c r="U37" s="56" t="e">
        <f t="shared" si="32"/>
        <v>#REF!</v>
      </c>
      <c r="V37" s="56"/>
      <c r="W37" s="88" t="e">
        <f t="shared" si="33"/>
        <v>#REF!</v>
      </c>
      <c r="X37" s="70" t="e">
        <f t="shared" si="34"/>
        <v>#REF!</v>
      </c>
      <c r="Y37" s="56" t="e">
        <f t="shared" si="35"/>
        <v>#REF!</v>
      </c>
    </row>
    <row r="38" spans="1:25" ht="16.5" customHeight="1">
      <c r="A38" s="60" t="s">
        <v>93</v>
      </c>
      <c r="B38" s="61" t="s">
        <v>94</v>
      </c>
      <c r="C38" s="70" t="e">
        <f t="shared" si="18"/>
        <v>#REF!</v>
      </c>
      <c r="D38" s="70" t="e">
        <f t="shared" si="19"/>
        <v>#REF!</v>
      </c>
      <c r="E38" s="56" t="e">
        <f t="shared" si="20"/>
        <v>#REF!</v>
      </c>
      <c r="F38" s="70"/>
      <c r="G38" s="70" t="e">
        <f t="shared" si="21"/>
        <v>#REF!</v>
      </c>
      <c r="H38" s="70" t="e">
        <f t="shared" si="22"/>
        <v>#REF!</v>
      </c>
      <c r="I38" s="56" t="e">
        <f t="shared" si="23"/>
        <v>#REF!</v>
      </c>
      <c r="J38" s="70"/>
      <c r="K38" s="70" t="e">
        <f t="shared" si="24"/>
        <v>#REF!</v>
      </c>
      <c r="L38" s="70" t="e">
        <f t="shared" si="25"/>
        <v>#REF!</v>
      </c>
      <c r="M38" s="56" t="e">
        <f t="shared" si="26"/>
        <v>#REF!</v>
      </c>
      <c r="N38" s="56"/>
      <c r="O38" s="70" t="e">
        <f t="shared" si="27"/>
        <v>#REF!</v>
      </c>
      <c r="P38" s="70" t="e">
        <f t="shared" si="28"/>
        <v>#REF!</v>
      </c>
      <c r="Q38" s="56" t="e">
        <f t="shared" si="29"/>
        <v>#REF!</v>
      </c>
      <c r="R38" s="56"/>
      <c r="S38" s="70" t="e">
        <f t="shared" si="30"/>
        <v>#REF!</v>
      </c>
      <c r="T38" s="70" t="e">
        <f t="shared" si="31"/>
        <v>#REF!</v>
      </c>
      <c r="U38" s="56" t="e">
        <f t="shared" si="32"/>
        <v>#REF!</v>
      </c>
      <c r="V38" s="56"/>
      <c r="W38" s="88" t="e">
        <f t="shared" si="33"/>
        <v>#REF!</v>
      </c>
      <c r="X38" s="70" t="e">
        <f t="shared" si="34"/>
        <v>#REF!</v>
      </c>
      <c r="Y38" s="56" t="e">
        <f t="shared" si="35"/>
        <v>#REF!</v>
      </c>
    </row>
    <row r="39" spans="1:25" ht="16.5" customHeight="1">
      <c r="A39" s="60" t="s">
        <v>95</v>
      </c>
      <c r="B39" s="61" t="s">
        <v>96</v>
      </c>
      <c r="C39" s="70" t="e">
        <f t="shared" si="18"/>
        <v>#REF!</v>
      </c>
      <c r="D39" s="70" t="e">
        <f t="shared" si="19"/>
        <v>#REF!</v>
      </c>
      <c r="E39" s="56" t="e">
        <f t="shared" si="20"/>
        <v>#REF!</v>
      </c>
      <c r="F39" s="70"/>
      <c r="G39" s="70" t="e">
        <f t="shared" si="21"/>
        <v>#REF!</v>
      </c>
      <c r="H39" s="70" t="e">
        <f t="shared" si="22"/>
        <v>#REF!</v>
      </c>
      <c r="I39" s="56" t="e">
        <f t="shared" si="23"/>
        <v>#REF!</v>
      </c>
      <c r="J39" s="70"/>
      <c r="K39" s="70" t="e">
        <f t="shared" si="24"/>
        <v>#REF!</v>
      </c>
      <c r="L39" s="70" t="e">
        <f t="shared" si="25"/>
        <v>#REF!</v>
      </c>
      <c r="M39" s="56" t="e">
        <f t="shared" si="26"/>
        <v>#REF!</v>
      </c>
      <c r="N39" s="56"/>
      <c r="O39" s="70" t="e">
        <f t="shared" si="27"/>
        <v>#REF!</v>
      </c>
      <c r="P39" s="70" t="e">
        <f t="shared" si="28"/>
        <v>#REF!</v>
      </c>
      <c r="Q39" s="56" t="e">
        <f t="shared" si="29"/>
        <v>#REF!</v>
      </c>
      <c r="R39" s="56"/>
      <c r="S39" s="70" t="e">
        <f t="shared" si="30"/>
        <v>#REF!</v>
      </c>
      <c r="T39" s="70" t="e">
        <f t="shared" si="31"/>
        <v>#REF!</v>
      </c>
      <c r="U39" s="56" t="e">
        <f t="shared" si="32"/>
        <v>#REF!</v>
      </c>
      <c r="V39" s="56"/>
      <c r="W39" s="88" t="e">
        <f t="shared" si="33"/>
        <v>#REF!</v>
      </c>
      <c r="X39" s="70" t="e">
        <f t="shared" si="34"/>
        <v>#REF!</v>
      </c>
      <c r="Y39" s="56" t="e">
        <f t="shared" si="35"/>
        <v>#REF!</v>
      </c>
    </row>
    <row r="40" spans="1:25" ht="16.5" customHeight="1">
      <c r="A40" s="60" t="s">
        <v>97</v>
      </c>
      <c r="B40" s="61" t="s">
        <v>98</v>
      </c>
      <c r="C40" s="70" t="e">
        <f t="shared" si="18"/>
        <v>#REF!</v>
      </c>
      <c r="D40" s="70" t="e">
        <f t="shared" si="19"/>
        <v>#REF!</v>
      </c>
      <c r="E40" s="56" t="e">
        <f t="shared" si="20"/>
        <v>#REF!</v>
      </c>
      <c r="F40" s="70"/>
      <c r="G40" s="70" t="e">
        <f t="shared" si="21"/>
        <v>#REF!</v>
      </c>
      <c r="H40" s="70" t="e">
        <f t="shared" si="22"/>
        <v>#REF!</v>
      </c>
      <c r="I40" s="56" t="e">
        <f t="shared" si="23"/>
        <v>#REF!</v>
      </c>
      <c r="J40" s="70"/>
      <c r="K40" s="70" t="e">
        <f t="shared" si="24"/>
        <v>#REF!</v>
      </c>
      <c r="L40" s="70" t="e">
        <f t="shared" si="25"/>
        <v>#REF!</v>
      </c>
      <c r="M40" s="56" t="e">
        <f t="shared" si="26"/>
        <v>#REF!</v>
      </c>
      <c r="N40" s="56"/>
      <c r="O40" s="70" t="e">
        <f t="shared" si="27"/>
        <v>#REF!</v>
      </c>
      <c r="P40" s="70" t="e">
        <f t="shared" si="28"/>
        <v>#REF!</v>
      </c>
      <c r="Q40" s="56" t="e">
        <f t="shared" si="29"/>
        <v>#REF!</v>
      </c>
      <c r="R40" s="56"/>
      <c r="S40" s="70" t="e">
        <f t="shared" si="30"/>
        <v>#REF!</v>
      </c>
      <c r="T40" s="70" t="e">
        <f t="shared" si="31"/>
        <v>#REF!</v>
      </c>
      <c r="U40" s="56" t="e">
        <f t="shared" si="32"/>
        <v>#REF!</v>
      </c>
      <c r="V40" s="56"/>
      <c r="W40" s="88" t="e">
        <f t="shared" si="33"/>
        <v>#REF!</v>
      </c>
      <c r="X40" s="70" t="e">
        <f t="shared" si="34"/>
        <v>#REF!</v>
      </c>
      <c r="Y40" s="56" t="e">
        <f t="shared" si="35"/>
        <v>#REF!</v>
      </c>
    </row>
    <row r="41" spans="1:25" ht="16.5" customHeight="1">
      <c r="A41" s="60" t="s">
        <v>99</v>
      </c>
      <c r="B41" s="76" t="s">
        <v>100</v>
      </c>
      <c r="C41" s="70" t="e">
        <f t="shared" si="18"/>
        <v>#REF!</v>
      </c>
      <c r="D41" s="70" t="e">
        <f t="shared" si="19"/>
        <v>#REF!</v>
      </c>
      <c r="E41" s="56" t="e">
        <f t="shared" si="20"/>
        <v>#REF!</v>
      </c>
      <c r="F41" s="70"/>
      <c r="G41" s="70" t="e">
        <f t="shared" si="21"/>
        <v>#REF!</v>
      </c>
      <c r="H41" s="70" t="e">
        <f t="shared" si="22"/>
        <v>#REF!</v>
      </c>
      <c r="I41" s="56" t="e">
        <f t="shared" si="23"/>
        <v>#REF!</v>
      </c>
      <c r="J41" s="70"/>
      <c r="K41" s="70" t="e">
        <f t="shared" si="24"/>
        <v>#REF!</v>
      </c>
      <c r="L41" s="70" t="e">
        <f t="shared" si="25"/>
        <v>#REF!</v>
      </c>
      <c r="M41" s="56" t="e">
        <f t="shared" si="26"/>
        <v>#REF!</v>
      </c>
      <c r="N41" s="56"/>
      <c r="O41" s="70" t="e">
        <f t="shared" si="27"/>
        <v>#REF!</v>
      </c>
      <c r="P41" s="70" t="e">
        <f t="shared" si="28"/>
        <v>#REF!</v>
      </c>
      <c r="Q41" s="56" t="e">
        <f t="shared" si="29"/>
        <v>#REF!</v>
      </c>
      <c r="R41" s="56"/>
      <c r="S41" s="70" t="e">
        <f t="shared" si="30"/>
        <v>#REF!</v>
      </c>
      <c r="T41" s="70" t="e">
        <f t="shared" si="31"/>
        <v>#REF!</v>
      </c>
      <c r="U41" s="56" t="e">
        <f t="shared" si="32"/>
        <v>#REF!</v>
      </c>
      <c r="V41" s="56"/>
      <c r="W41" s="88" t="e">
        <f t="shared" si="33"/>
        <v>#REF!</v>
      </c>
      <c r="X41" s="70" t="e">
        <f t="shared" si="34"/>
        <v>#REF!</v>
      </c>
      <c r="Y41" s="56" t="e">
        <f t="shared" si="35"/>
        <v>#REF!</v>
      </c>
    </row>
    <row r="42" spans="1:25" ht="16.5" customHeight="1">
      <c r="A42" s="60" t="s">
        <v>101</v>
      </c>
      <c r="B42" s="76" t="s">
        <v>102</v>
      </c>
      <c r="C42" s="70" t="e">
        <f t="shared" si="18"/>
        <v>#REF!</v>
      </c>
      <c r="D42" s="70" t="e">
        <f t="shared" si="19"/>
        <v>#REF!</v>
      </c>
      <c r="E42" s="56" t="e">
        <f t="shared" si="20"/>
        <v>#REF!</v>
      </c>
      <c r="F42" s="70"/>
      <c r="G42" s="70" t="e">
        <f t="shared" si="21"/>
        <v>#REF!</v>
      </c>
      <c r="H42" s="70" t="e">
        <f t="shared" si="22"/>
        <v>#REF!</v>
      </c>
      <c r="I42" s="56" t="e">
        <f t="shared" si="23"/>
        <v>#REF!</v>
      </c>
      <c r="J42" s="70"/>
      <c r="K42" s="70" t="e">
        <f t="shared" si="24"/>
        <v>#REF!</v>
      </c>
      <c r="L42" s="70" t="e">
        <f t="shared" si="25"/>
        <v>#REF!</v>
      </c>
      <c r="M42" s="56" t="e">
        <f t="shared" si="26"/>
        <v>#REF!</v>
      </c>
      <c r="N42" s="56"/>
      <c r="O42" s="70" t="e">
        <f t="shared" si="27"/>
        <v>#REF!</v>
      </c>
      <c r="P42" s="70" t="e">
        <f t="shared" si="28"/>
        <v>#REF!</v>
      </c>
      <c r="Q42" s="56" t="e">
        <f t="shared" si="29"/>
        <v>#REF!</v>
      </c>
      <c r="R42" s="56"/>
      <c r="S42" s="70" t="e">
        <f t="shared" si="30"/>
        <v>#REF!</v>
      </c>
      <c r="T42" s="70" t="e">
        <f t="shared" si="31"/>
        <v>#REF!</v>
      </c>
      <c r="U42" s="56" t="e">
        <f t="shared" si="32"/>
        <v>#REF!</v>
      </c>
      <c r="V42" s="56"/>
      <c r="W42" s="88" t="e">
        <f t="shared" si="33"/>
        <v>#REF!</v>
      </c>
      <c r="X42" s="70" t="e">
        <f t="shared" si="34"/>
        <v>#REF!</v>
      </c>
      <c r="Y42" s="56" t="e">
        <f t="shared" si="35"/>
        <v>#REF!</v>
      </c>
    </row>
    <row r="43" spans="1:25" ht="16.5" customHeight="1">
      <c r="A43" s="60" t="s">
        <v>103</v>
      </c>
      <c r="B43" s="76" t="s">
        <v>104</v>
      </c>
      <c r="C43" s="70" t="e">
        <f t="shared" si="18"/>
        <v>#REF!</v>
      </c>
      <c r="D43" s="70" t="e">
        <f t="shared" si="19"/>
        <v>#REF!</v>
      </c>
      <c r="E43" s="56" t="e">
        <f t="shared" si="20"/>
        <v>#REF!</v>
      </c>
      <c r="F43" s="70"/>
      <c r="G43" s="70" t="e">
        <f t="shared" si="21"/>
        <v>#REF!</v>
      </c>
      <c r="H43" s="70" t="e">
        <f t="shared" si="22"/>
        <v>#REF!</v>
      </c>
      <c r="I43" s="56" t="e">
        <f t="shared" si="23"/>
        <v>#REF!</v>
      </c>
      <c r="J43" s="70"/>
      <c r="K43" s="70" t="e">
        <f t="shared" si="24"/>
        <v>#REF!</v>
      </c>
      <c r="L43" s="70" t="e">
        <f t="shared" si="25"/>
        <v>#REF!</v>
      </c>
      <c r="M43" s="56" t="e">
        <f t="shared" si="26"/>
        <v>#REF!</v>
      </c>
      <c r="N43" s="56"/>
      <c r="O43" s="70" t="e">
        <f t="shared" si="27"/>
        <v>#REF!</v>
      </c>
      <c r="P43" s="70" t="e">
        <f t="shared" si="28"/>
        <v>#REF!</v>
      </c>
      <c r="Q43" s="56" t="e">
        <f t="shared" si="29"/>
        <v>#REF!</v>
      </c>
      <c r="R43" s="56"/>
      <c r="S43" s="70" t="e">
        <f t="shared" si="30"/>
        <v>#REF!</v>
      </c>
      <c r="T43" s="70" t="e">
        <f t="shared" si="31"/>
        <v>#REF!</v>
      </c>
      <c r="U43" s="56" t="e">
        <f t="shared" si="32"/>
        <v>#REF!</v>
      </c>
      <c r="V43" s="56"/>
      <c r="W43" s="88" t="e">
        <f t="shared" si="33"/>
        <v>#REF!</v>
      </c>
      <c r="X43" s="70" t="e">
        <f t="shared" si="34"/>
        <v>#REF!</v>
      </c>
      <c r="Y43" s="56" t="e">
        <f t="shared" si="35"/>
        <v>#REF!</v>
      </c>
    </row>
    <row r="44" spans="1:25" ht="16.5" customHeight="1">
      <c r="A44" s="60" t="s">
        <v>105</v>
      </c>
      <c r="B44" s="61" t="s">
        <v>388</v>
      </c>
      <c r="C44" s="70" t="e">
        <f t="shared" si="18"/>
        <v>#REF!</v>
      </c>
      <c r="D44" s="70" t="e">
        <f t="shared" si="19"/>
        <v>#REF!</v>
      </c>
      <c r="E44" s="56" t="e">
        <f t="shared" si="20"/>
        <v>#REF!</v>
      </c>
      <c r="F44" s="70"/>
      <c r="G44" s="70" t="e">
        <f t="shared" si="21"/>
        <v>#REF!</v>
      </c>
      <c r="H44" s="70" t="e">
        <f t="shared" si="22"/>
        <v>#REF!</v>
      </c>
      <c r="I44" s="56" t="e">
        <f t="shared" si="23"/>
        <v>#REF!</v>
      </c>
      <c r="J44" s="70"/>
      <c r="K44" s="70" t="e">
        <f t="shared" si="24"/>
        <v>#REF!</v>
      </c>
      <c r="L44" s="70" t="e">
        <f t="shared" si="25"/>
        <v>#REF!</v>
      </c>
      <c r="M44" s="56" t="e">
        <f t="shared" si="26"/>
        <v>#REF!</v>
      </c>
      <c r="N44" s="56"/>
      <c r="O44" s="70" t="e">
        <f t="shared" si="27"/>
        <v>#REF!</v>
      </c>
      <c r="P44" s="70" t="e">
        <f t="shared" si="28"/>
        <v>#REF!</v>
      </c>
      <c r="Q44" s="56" t="e">
        <f t="shared" si="29"/>
        <v>#REF!</v>
      </c>
      <c r="R44" s="56"/>
      <c r="S44" s="70" t="e">
        <f t="shared" si="30"/>
        <v>#REF!</v>
      </c>
      <c r="T44" s="70" t="e">
        <f t="shared" si="31"/>
        <v>#REF!</v>
      </c>
      <c r="U44" s="56" t="e">
        <f t="shared" si="32"/>
        <v>#REF!</v>
      </c>
      <c r="V44" s="56"/>
      <c r="W44" s="88" t="e">
        <f t="shared" si="33"/>
        <v>#REF!</v>
      </c>
      <c r="X44" s="70" t="e">
        <f t="shared" si="34"/>
        <v>#REF!</v>
      </c>
      <c r="Y44" s="56" t="e">
        <f t="shared" si="35"/>
        <v>#REF!</v>
      </c>
    </row>
    <row r="45" spans="1:25" ht="16.5" customHeight="1">
      <c r="A45" s="60" t="s">
        <v>109</v>
      </c>
      <c r="B45" s="61" t="s">
        <v>110</v>
      </c>
      <c r="C45" s="70" t="e">
        <f t="shared" si="18"/>
        <v>#REF!</v>
      </c>
      <c r="D45" s="70" t="e">
        <f t="shared" si="19"/>
        <v>#REF!</v>
      </c>
      <c r="E45" s="56" t="e">
        <f t="shared" si="20"/>
        <v>#REF!</v>
      </c>
      <c r="F45" s="70"/>
      <c r="G45" s="70" t="e">
        <f t="shared" si="21"/>
        <v>#REF!</v>
      </c>
      <c r="H45" s="70" t="e">
        <f t="shared" si="22"/>
        <v>#REF!</v>
      </c>
      <c r="I45" s="56" t="e">
        <f t="shared" si="23"/>
        <v>#REF!</v>
      </c>
      <c r="J45" s="70"/>
      <c r="K45" s="70" t="e">
        <f t="shared" si="24"/>
        <v>#REF!</v>
      </c>
      <c r="L45" s="70" t="e">
        <f t="shared" si="25"/>
        <v>#REF!</v>
      </c>
      <c r="M45" s="56" t="e">
        <f t="shared" si="26"/>
        <v>#REF!</v>
      </c>
      <c r="N45" s="56"/>
      <c r="O45" s="70" t="e">
        <f t="shared" si="27"/>
        <v>#REF!</v>
      </c>
      <c r="P45" s="70" t="e">
        <f t="shared" si="28"/>
        <v>#REF!</v>
      </c>
      <c r="Q45" s="56" t="e">
        <f t="shared" si="29"/>
        <v>#REF!</v>
      </c>
      <c r="R45" s="56"/>
      <c r="S45" s="70" t="e">
        <f t="shared" si="30"/>
        <v>#REF!</v>
      </c>
      <c r="T45" s="70" t="e">
        <f t="shared" si="31"/>
        <v>#REF!</v>
      </c>
      <c r="U45" s="56" t="e">
        <f t="shared" si="32"/>
        <v>#REF!</v>
      </c>
      <c r="V45" s="56"/>
      <c r="W45" s="88" t="e">
        <f t="shared" si="33"/>
        <v>#REF!</v>
      </c>
      <c r="X45" s="70" t="e">
        <f t="shared" si="34"/>
        <v>#REF!</v>
      </c>
      <c r="Y45" s="56" t="e">
        <f t="shared" si="35"/>
        <v>#REF!</v>
      </c>
    </row>
    <row r="46" spans="1:25" ht="16.5" customHeight="1">
      <c r="A46" s="60" t="s">
        <v>111</v>
      </c>
      <c r="B46" s="61" t="s">
        <v>112</v>
      </c>
      <c r="C46" s="70" t="e">
        <f t="shared" si="18"/>
        <v>#REF!</v>
      </c>
      <c r="D46" s="70" t="e">
        <f t="shared" si="19"/>
        <v>#REF!</v>
      </c>
      <c r="E46" s="56" t="e">
        <f t="shared" si="20"/>
        <v>#REF!</v>
      </c>
      <c r="F46" s="70"/>
      <c r="G46" s="70" t="e">
        <f t="shared" si="21"/>
        <v>#REF!</v>
      </c>
      <c r="H46" s="70" t="e">
        <f t="shared" si="22"/>
        <v>#REF!</v>
      </c>
      <c r="I46" s="56" t="e">
        <f t="shared" si="23"/>
        <v>#REF!</v>
      </c>
      <c r="J46" s="70"/>
      <c r="K46" s="70" t="e">
        <f t="shared" si="24"/>
        <v>#REF!</v>
      </c>
      <c r="L46" s="70" t="e">
        <f t="shared" si="25"/>
        <v>#REF!</v>
      </c>
      <c r="M46" s="56" t="e">
        <f t="shared" si="26"/>
        <v>#REF!</v>
      </c>
      <c r="N46" s="56"/>
      <c r="O46" s="70" t="e">
        <f t="shared" si="27"/>
        <v>#REF!</v>
      </c>
      <c r="P46" s="70" t="e">
        <f t="shared" si="28"/>
        <v>#REF!</v>
      </c>
      <c r="Q46" s="56" t="e">
        <f t="shared" si="29"/>
        <v>#REF!</v>
      </c>
      <c r="R46" s="56"/>
      <c r="S46" s="70" t="e">
        <f t="shared" si="30"/>
        <v>#REF!</v>
      </c>
      <c r="T46" s="70" t="e">
        <f t="shared" si="31"/>
        <v>#REF!</v>
      </c>
      <c r="U46" s="56" t="e">
        <f t="shared" si="32"/>
        <v>#REF!</v>
      </c>
      <c r="V46" s="56"/>
      <c r="W46" s="88" t="e">
        <f t="shared" si="33"/>
        <v>#REF!</v>
      </c>
      <c r="X46" s="70" t="e">
        <f t="shared" si="34"/>
        <v>#REF!</v>
      </c>
      <c r="Y46" s="56" t="e">
        <f t="shared" si="35"/>
        <v>#REF!</v>
      </c>
    </row>
    <row r="47" spans="1:25" ht="16.5" customHeight="1">
      <c r="A47" s="60" t="s">
        <v>113</v>
      </c>
      <c r="B47" s="76" t="s">
        <v>367</v>
      </c>
      <c r="C47" s="70" t="e">
        <f t="shared" si="18"/>
        <v>#REF!</v>
      </c>
      <c r="D47" s="70" t="e">
        <f t="shared" si="19"/>
        <v>#REF!</v>
      </c>
      <c r="E47" s="56" t="e">
        <f t="shared" si="20"/>
        <v>#REF!</v>
      </c>
      <c r="F47" s="70"/>
      <c r="G47" s="70" t="e">
        <f t="shared" si="21"/>
        <v>#REF!</v>
      </c>
      <c r="H47" s="70" t="e">
        <f t="shared" si="22"/>
        <v>#REF!</v>
      </c>
      <c r="I47" s="56" t="e">
        <f t="shared" si="23"/>
        <v>#REF!</v>
      </c>
      <c r="J47" s="70"/>
      <c r="K47" s="70" t="e">
        <f t="shared" si="24"/>
        <v>#REF!</v>
      </c>
      <c r="L47" s="70" t="e">
        <f t="shared" si="25"/>
        <v>#REF!</v>
      </c>
      <c r="M47" s="56" t="e">
        <f t="shared" si="26"/>
        <v>#REF!</v>
      </c>
      <c r="N47" s="56"/>
      <c r="O47" s="70" t="e">
        <f t="shared" si="27"/>
        <v>#REF!</v>
      </c>
      <c r="P47" s="70" t="e">
        <f t="shared" si="28"/>
        <v>#REF!</v>
      </c>
      <c r="Q47" s="56" t="e">
        <f t="shared" si="29"/>
        <v>#REF!</v>
      </c>
      <c r="R47" s="56"/>
      <c r="S47" s="70" t="e">
        <f t="shared" si="30"/>
        <v>#REF!</v>
      </c>
      <c r="T47" s="70" t="e">
        <f t="shared" si="31"/>
        <v>#REF!</v>
      </c>
      <c r="U47" s="56" t="e">
        <f t="shared" si="32"/>
        <v>#REF!</v>
      </c>
      <c r="V47" s="56"/>
      <c r="W47" s="88" t="e">
        <f t="shared" si="33"/>
        <v>#REF!</v>
      </c>
      <c r="X47" s="70" t="e">
        <f t="shared" si="34"/>
        <v>#REF!</v>
      </c>
      <c r="Y47" s="56" t="e">
        <f t="shared" si="35"/>
        <v>#REF!</v>
      </c>
    </row>
    <row r="48" spans="1:25" ht="16.5" customHeight="1">
      <c r="A48" s="60" t="s">
        <v>115</v>
      </c>
      <c r="B48" s="76" t="s">
        <v>116</v>
      </c>
      <c r="C48" s="70" t="e">
        <f t="shared" si="18"/>
        <v>#REF!</v>
      </c>
      <c r="D48" s="70" t="e">
        <f t="shared" si="19"/>
        <v>#REF!</v>
      </c>
      <c r="E48" s="56" t="e">
        <f t="shared" si="20"/>
        <v>#REF!</v>
      </c>
      <c r="F48" s="70"/>
      <c r="G48" s="70" t="e">
        <f t="shared" si="21"/>
        <v>#REF!</v>
      </c>
      <c r="H48" s="70" t="e">
        <f t="shared" si="22"/>
        <v>#REF!</v>
      </c>
      <c r="I48" s="56" t="e">
        <f t="shared" si="23"/>
        <v>#REF!</v>
      </c>
      <c r="J48" s="70"/>
      <c r="K48" s="70" t="e">
        <f t="shared" si="24"/>
        <v>#REF!</v>
      </c>
      <c r="L48" s="70" t="e">
        <f t="shared" si="25"/>
        <v>#REF!</v>
      </c>
      <c r="M48" s="56" t="e">
        <f t="shared" si="26"/>
        <v>#REF!</v>
      </c>
      <c r="N48" s="56"/>
      <c r="O48" s="70" t="e">
        <f t="shared" si="27"/>
        <v>#REF!</v>
      </c>
      <c r="P48" s="70" t="e">
        <f t="shared" si="28"/>
        <v>#REF!</v>
      </c>
      <c r="Q48" s="56" t="e">
        <f t="shared" si="29"/>
        <v>#REF!</v>
      </c>
      <c r="R48" s="56"/>
      <c r="S48" s="70" t="e">
        <f t="shared" si="30"/>
        <v>#REF!</v>
      </c>
      <c r="T48" s="70" t="e">
        <f t="shared" si="31"/>
        <v>#REF!</v>
      </c>
      <c r="U48" s="56" t="e">
        <f t="shared" si="32"/>
        <v>#REF!</v>
      </c>
      <c r="V48" s="56"/>
      <c r="W48" s="88" t="e">
        <f t="shared" si="33"/>
        <v>#REF!</v>
      </c>
      <c r="X48" s="70" t="e">
        <f t="shared" si="34"/>
        <v>#REF!</v>
      </c>
      <c r="Y48" s="56" t="e">
        <f t="shared" si="35"/>
        <v>#REF!</v>
      </c>
    </row>
    <row r="49" spans="1:25" ht="16.5" customHeight="1">
      <c r="A49" s="60" t="s">
        <v>119</v>
      </c>
      <c r="B49" s="61" t="s">
        <v>120</v>
      </c>
      <c r="C49" s="70" t="e">
        <f t="shared" si="18"/>
        <v>#REF!</v>
      </c>
      <c r="D49" s="70" t="e">
        <f t="shared" si="19"/>
        <v>#REF!</v>
      </c>
      <c r="E49" s="56" t="e">
        <f t="shared" si="20"/>
        <v>#REF!</v>
      </c>
      <c r="F49" s="70"/>
      <c r="G49" s="70" t="e">
        <f t="shared" si="21"/>
        <v>#REF!</v>
      </c>
      <c r="H49" s="70" t="e">
        <f t="shared" si="22"/>
        <v>#REF!</v>
      </c>
      <c r="I49" s="56" t="e">
        <f t="shared" si="23"/>
        <v>#REF!</v>
      </c>
      <c r="J49" s="70"/>
      <c r="K49" s="70" t="e">
        <f t="shared" si="24"/>
        <v>#REF!</v>
      </c>
      <c r="L49" s="70" t="e">
        <f t="shared" si="25"/>
        <v>#REF!</v>
      </c>
      <c r="M49" s="56" t="e">
        <f t="shared" si="26"/>
        <v>#REF!</v>
      </c>
      <c r="N49" s="56"/>
      <c r="O49" s="70" t="e">
        <f t="shared" si="27"/>
        <v>#REF!</v>
      </c>
      <c r="P49" s="70" t="e">
        <f t="shared" si="28"/>
        <v>#REF!</v>
      </c>
      <c r="Q49" s="56" t="e">
        <f t="shared" si="29"/>
        <v>#REF!</v>
      </c>
      <c r="R49" s="56"/>
      <c r="S49" s="70" t="e">
        <f t="shared" si="30"/>
        <v>#REF!</v>
      </c>
      <c r="T49" s="70" t="e">
        <f t="shared" si="31"/>
        <v>#REF!</v>
      </c>
      <c r="U49" s="56" t="e">
        <f t="shared" si="32"/>
        <v>#REF!</v>
      </c>
      <c r="V49" s="56"/>
      <c r="W49" s="88" t="e">
        <f t="shared" si="33"/>
        <v>#REF!</v>
      </c>
      <c r="X49" s="70" t="e">
        <f t="shared" si="34"/>
        <v>#REF!</v>
      </c>
      <c r="Y49" s="56" t="e">
        <f t="shared" si="35"/>
        <v>#REF!</v>
      </c>
    </row>
    <row r="50" spans="1:25" ht="16.5" customHeight="1">
      <c r="A50" s="60" t="s">
        <v>121</v>
      </c>
      <c r="B50" s="61" t="s">
        <v>122</v>
      </c>
      <c r="C50" s="70" t="e">
        <f t="shared" si="18"/>
        <v>#REF!</v>
      </c>
      <c r="D50" s="70" t="e">
        <f t="shared" si="19"/>
        <v>#REF!</v>
      </c>
      <c r="E50" s="56" t="e">
        <f t="shared" si="20"/>
        <v>#REF!</v>
      </c>
      <c r="F50" s="70"/>
      <c r="G50" s="70" t="e">
        <f t="shared" si="21"/>
        <v>#REF!</v>
      </c>
      <c r="H50" s="70" t="e">
        <f t="shared" si="22"/>
        <v>#REF!</v>
      </c>
      <c r="I50" s="56" t="e">
        <f t="shared" si="23"/>
        <v>#REF!</v>
      </c>
      <c r="J50" s="70"/>
      <c r="K50" s="70" t="e">
        <f t="shared" si="24"/>
        <v>#REF!</v>
      </c>
      <c r="L50" s="70" t="e">
        <f t="shared" si="25"/>
        <v>#REF!</v>
      </c>
      <c r="M50" s="56" t="e">
        <f t="shared" si="26"/>
        <v>#REF!</v>
      </c>
      <c r="N50" s="56"/>
      <c r="O50" s="70" t="e">
        <f t="shared" si="27"/>
        <v>#REF!</v>
      </c>
      <c r="P50" s="70" t="e">
        <f t="shared" si="28"/>
        <v>#REF!</v>
      </c>
      <c r="Q50" s="56" t="e">
        <f t="shared" si="29"/>
        <v>#REF!</v>
      </c>
      <c r="R50" s="56"/>
      <c r="S50" s="70" t="e">
        <f t="shared" si="30"/>
        <v>#REF!</v>
      </c>
      <c r="T50" s="70" t="e">
        <f t="shared" si="31"/>
        <v>#REF!</v>
      </c>
      <c r="U50" s="56" t="e">
        <f t="shared" si="32"/>
        <v>#REF!</v>
      </c>
      <c r="V50" s="56"/>
      <c r="W50" s="88" t="e">
        <f t="shared" si="33"/>
        <v>#REF!</v>
      </c>
      <c r="X50" s="70" t="e">
        <f t="shared" si="34"/>
        <v>#REF!</v>
      </c>
      <c r="Y50" s="56" t="e">
        <f t="shared" si="35"/>
        <v>#REF!</v>
      </c>
    </row>
    <row r="51" spans="1:25" ht="16.5" customHeight="1">
      <c r="A51" s="60" t="s">
        <v>123</v>
      </c>
      <c r="B51" s="76" t="s">
        <v>284</v>
      </c>
      <c r="C51" s="70" t="e">
        <f t="shared" si="18"/>
        <v>#REF!</v>
      </c>
      <c r="D51" s="70" t="e">
        <f t="shared" si="19"/>
        <v>#REF!</v>
      </c>
      <c r="E51" s="56" t="e">
        <f t="shared" si="20"/>
        <v>#REF!</v>
      </c>
      <c r="F51" s="70"/>
      <c r="G51" s="70" t="e">
        <f t="shared" si="21"/>
        <v>#REF!</v>
      </c>
      <c r="H51" s="70" t="e">
        <f t="shared" si="22"/>
        <v>#REF!</v>
      </c>
      <c r="I51" s="56" t="e">
        <f t="shared" si="23"/>
        <v>#REF!</v>
      </c>
      <c r="J51" s="70"/>
      <c r="K51" s="70" t="e">
        <f t="shared" si="24"/>
        <v>#REF!</v>
      </c>
      <c r="L51" s="70" t="e">
        <f t="shared" si="25"/>
        <v>#REF!</v>
      </c>
      <c r="M51" s="56" t="e">
        <f t="shared" si="26"/>
        <v>#REF!</v>
      </c>
      <c r="N51" s="56"/>
      <c r="O51" s="70" t="e">
        <f t="shared" si="27"/>
        <v>#REF!</v>
      </c>
      <c r="P51" s="70" t="e">
        <f t="shared" si="28"/>
        <v>#REF!</v>
      </c>
      <c r="Q51" s="56" t="e">
        <f t="shared" si="29"/>
        <v>#REF!</v>
      </c>
      <c r="R51" s="56"/>
      <c r="S51" s="70" t="e">
        <f t="shared" si="30"/>
        <v>#REF!</v>
      </c>
      <c r="T51" s="70" t="e">
        <f t="shared" si="31"/>
        <v>#REF!</v>
      </c>
      <c r="U51" s="56" t="e">
        <f t="shared" si="32"/>
        <v>#REF!</v>
      </c>
      <c r="V51" s="56"/>
      <c r="W51" s="88" t="e">
        <f t="shared" si="33"/>
        <v>#REF!</v>
      </c>
      <c r="X51" s="70" t="e">
        <f t="shared" si="34"/>
        <v>#REF!</v>
      </c>
      <c r="Y51" s="56" t="e">
        <f t="shared" si="35"/>
        <v>#REF!</v>
      </c>
    </row>
    <row r="52" spans="1:25" ht="16.5" customHeight="1">
      <c r="A52" s="60" t="s">
        <v>125</v>
      </c>
      <c r="B52" s="61" t="s">
        <v>126</v>
      </c>
      <c r="C52" s="70" t="e">
        <f t="shared" si="18"/>
        <v>#REF!</v>
      </c>
      <c r="D52" s="70" t="e">
        <f t="shared" si="19"/>
        <v>#REF!</v>
      </c>
      <c r="E52" s="56" t="e">
        <f t="shared" si="20"/>
        <v>#REF!</v>
      </c>
      <c r="F52" s="70"/>
      <c r="G52" s="70" t="e">
        <f t="shared" si="21"/>
        <v>#REF!</v>
      </c>
      <c r="H52" s="70" t="e">
        <f t="shared" si="22"/>
        <v>#REF!</v>
      </c>
      <c r="I52" s="56" t="e">
        <f t="shared" si="23"/>
        <v>#REF!</v>
      </c>
      <c r="J52" s="70"/>
      <c r="K52" s="70" t="e">
        <f t="shared" si="24"/>
        <v>#REF!</v>
      </c>
      <c r="L52" s="70" t="e">
        <f t="shared" si="25"/>
        <v>#REF!</v>
      </c>
      <c r="M52" s="56" t="e">
        <f t="shared" si="26"/>
        <v>#REF!</v>
      </c>
      <c r="N52" s="56"/>
      <c r="O52" s="70" t="e">
        <f t="shared" si="27"/>
        <v>#REF!</v>
      </c>
      <c r="P52" s="70" t="e">
        <f t="shared" si="28"/>
        <v>#REF!</v>
      </c>
      <c r="Q52" s="56" t="e">
        <f t="shared" si="29"/>
        <v>#REF!</v>
      </c>
      <c r="R52" s="56"/>
      <c r="S52" s="70" t="e">
        <f t="shared" si="30"/>
        <v>#REF!</v>
      </c>
      <c r="T52" s="70" t="e">
        <f t="shared" si="31"/>
        <v>#REF!</v>
      </c>
      <c r="U52" s="56" t="e">
        <f t="shared" si="32"/>
        <v>#REF!</v>
      </c>
      <c r="V52" s="56"/>
      <c r="W52" s="88" t="e">
        <f t="shared" si="33"/>
        <v>#REF!</v>
      </c>
      <c r="X52" s="70" t="e">
        <f t="shared" si="34"/>
        <v>#REF!</v>
      </c>
      <c r="Y52" s="56" t="e">
        <f t="shared" si="35"/>
        <v>#REF!</v>
      </c>
    </row>
    <row r="53" spans="1:25" ht="16.5" customHeight="1">
      <c r="A53" s="60" t="s">
        <v>127</v>
      </c>
      <c r="B53" s="61" t="s">
        <v>128</v>
      </c>
      <c r="C53" s="70" t="e">
        <f t="shared" si="18"/>
        <v>#REF!</v>
      </c>
      <c r="D53" s="70" t="e">
        <f t="shared" si="19"/>
        <v>#REF!</v>
      </c>
      <c r="E53" s="56" t="e">
        <f t="shared" si="20"/>
        <v>#REF!</v>
      </c>
      <c r="F53" s="70"/>
      <c r="G53" s="70" t="e">
        <f t="shared" si="21"/>
        <v>#REF!</v>
      </c>
      <c r="H53" s="70" t="e">
        <f t="shared" si="22"/>
        <v>#REF!</v>
      </c>
      <c r="I53" s="56" t="e">
        <f t="shared" si="23"/>
        <v>#REF!</v>
      </c>
      <c r="J53" s="70"/>
      <c r="K53" s="70" t="e">
        <f t="shared" si="24"/>
        <v>#REF!</v>
      </c>
      <c r="L53" s="70" t="e">
        <f t="shared" si="25"/>
        <v>#REF!</v>
      </c>
      <c r="M53" s="56" t="e">
        <f t="shared" si="26"/>
        <v>#REF!</v>
      </c>
      <c r="N53" s="56"/>
      <c r="O53" s="70" t="e">
        <f t="shared" si="27"/>
        <v>#REF!</v>
      </c>
      <c r="P53" s="70" t="e">
        <f t="shared" si="28"/>
        <v>#REF!</v>
      </c>
      <c r="Q53" s="56" t="e">
        <f t="shared" si="29"/>
        <v>#REF!</v>
      </c>
      <c r="R53" s="56"/>
      <c r="S53" s="70" t="e">
        <f t="shared" si="30"/>
        <v>#REF!</v>
      </c>
      <c r="T53" s="70" t="e">
        <f t="shared" si="31"/>
        <v>#REF!</v>
      </c>
      <c r="U53" s="56" t="e">
        <f t="shared" si="32"/>
        <v>#REF!</v>
      </c>
      <c r="V53" s="56"/>
      <c r="W53" s="88" t="e">
        <f t="shared" si="33"/>
        <v>#REF!</v>
      </c>
      <c r="X53" s="70" t="e">
        <f t="shared" si="34"/>
        <v>#REF!</v>
      </c>
      <c r="Y53" s="56" t="e">
        <f t="shared" si="35"/>
        <v>#REF!</v>
      </c>
    </row>
    <row r="54" spans="1:25" ht="16.5" customHeight="1">
      <c r="A54" s="60" t="s">
        <v>129</v>
      </c>
      <c r="B54" s="76" t="s">
        <v>130</v>
      </c>
      <c r="C54" s="70" t="e">
        <f t="shared" si="18"/>
        <v>#REF!</v>
      </c>
      <c r="D54" s="70" t="e">
        <f t="shared" si="19"/>
        <v>#REF!</v>
      </c>
      <c r="E54" s="56" t="e">
        <f t="shared" si="20"/>
        <v>#REF!</v>
      </c>
      <c r="F54" s="70"/>
      <c r="G54" s="70" t="e">
        <f t="shared" si="21"/>
        <v>#REF!</v>
      </c>
      <c r="H54" s="70" t="e">
        <f t="shared" si="22"/>
        <v>#REF!</v>
      </c>
      <c r="I54" s="56" t="e">
        <f t="shared" si="23"/>
        <v>#REF!</v>
      </c>
      <c r="J54" s="70"/>
      <c r="K54" s="70" t="e">
        <f t="shared" si="24"/>
        <v>#REF!</v>
      </c>
      <c r="L54" s="70" t="e">
        <f t="shared" si="25"/>
        <v>#REF!</v>
      </c>
      <c r="M54" s="56" t="e">
        <f t="shared" si="26"/>
        <v>#REF!</v>
      </c>
      <c r="N54" s="56"/>
      <c r="O54" s="70" t="e">
        <f t="shared" si="27"/>
        <v>#REF!</v>
      </c>
      <c r="P54" s="70" t="e">
        <f t="shared" si="28"/>
        <v>#REF!</v>
      </c>
      <c r="Q54" s="56" t="e">
        <f t="shared" si="29"/>
        <v>#REF!</v>
      </c>
      <c r="R54" s="56"/>
      <c r="S54" s="70" t="e">
        <f t="shared" si="30"/>
        <v>#REF!</v>
      </c>
      <c r="T54" s="70" t="e">
        <f t="shared" si="31"/>
        <v>#REF!</v>
      </c>
      <c r="U54" s="56" t="e">
        <f t="shared" si="32"/>
        <v>#REF!</v>
      </c>
      <c r="V54" s="56"/>
      <c r="W54" s="88" t="e">
        <f t="shared" si="33"/>
        <v>#REF!</v>
      </c>
      <c r="X54" s="70" t="e">
        <f t="shared" si="34"/>
        <v>#REF!</v>
      </c>
      <c r="Y54" s="56" t="e">
        <f t="shared" si="35"/>
        <v>#REF!</v>
      </c>
    </row>
    <row r="55" spans="1:25" ht="16.5" customHeight="1">
      <c r="A55" s="60" t="s">
        <v>131</v>
      </c>
      <c r="B55" s="76" t="s">
        <v>132</v>
      </c>
      <c r="C55" s="70" t="e">
        <f t="shared" si="18"/>
        <v>#REF!</v>
      </c>
      <c r="D55" s="70" t="e">
        <f t="shared" si="19"/>
        <v>#REF!</v>
      </c>
      <c r="E55" s="56" t="e">
        <f t="shared" si="20"/>
        <v>#REF!</v>
      </c>
      <c r="F55" s="70"/>
      <c r="G55" s="70" t="e">
        <f t="shared" si="21"/>
        <v>#REF!</v>
      </c>
      <c r="H55" s="70" t="e">
        <f t="shared" si="22"/>
        <v>#REF!</v>
      </c>
      <c r="I55" s="56" t="e">
        <f t="shared" si="23"/>
        <v>#REF!</v>
      </c>
      <c r="J55" s="70"/>
      <c r="K55" s="70" t="e">
        <f t="shared" si="24"/>
        <v>#REF!</v>
      </c>
      <c r="L55" s="70" t="e">
        <f t="shared" si="25"/>
        <v>#REF!</v>
      </c>
      <c r="M55" s="56" t="e">
        <f t="shared" si="26"/>
        <v>#REF!</v>
      </c>
      <c r="N55" s="56"/>
      <c r="O55" s="70" t="e">
        <f t="shared" si="27"/>
        <v>#REF!</v>
      </c>
      <c r="P55" s="70" t="e">
        <f t="shared" si="28"/>
        <v>#REF!</v>
      </c>
      <c r="Q55" s="56" t="e">
        <f t="shared" si="29"/>
        <v>#REF!</v>
      </c>
      <c r="R55" s="56"/>
      <c r="S55" s="70" t="e">
        <f t="shared" si="30"/>
        <v>#REF!</v>
      </c>
      <c r="T55" s="70" t="e">
        <f t="shared" si="31"/>
        <v>#REF!</v>
      </c>
      <c r="U55" s="56" t="e">
        <f t="shared" si="32"/>
        <v>#REF!</v>
      </c>
      <c r="V55" s="56"/>
      <c r="W55" s="88" t="e">
        <f t="shared" si="33"/>
        <v>#REF!</v>
      </c>
      <c r="X55" s="70" t="e">
        <f t="shared" si="34"/>
        <v>#REF!</v>
      </c>
      <c r="Y55" s="56" t="e">
        <f t="shared" si="35"/>
        <v>#REF!</v>
      </c>
    </row>
    <row r="56" spans="1:25" ht="16.5" customHeight="1">
      <c r="A56" s="60" t="s">
        <v>133</v>
      </c>
      <c r="B56" s="61" t="s">
        <v>134</v>
      </c>
      <c r="C56" s="70" t="e">
        <f t="shared" si="18"/>
        <v>#REF!</v>
      </c>
      <c r="D56" s="70" t="e">
        <f t="shared" si="19"/>
        <v>#REF!</v>
      </c>
      <c r="E56" s="56" t="e">
        <f t="shared" si="20"/>
        <v>#REF!</v>
      </c>
      <c r="F56" s="70"/>
      <c r="G56" s="70" t="e">
        <f t="shared" si="21"/>
        <v>#REF!</v>
      </c>
      <c r="H56" s="70" t="e">
        <f t="shared" si="22"/>
        <v>#REF!</v>
      </c>
      <c r="I56" s="56" t="e">
        <f t="shared" si="23"/>
        <v>#REF!</v>
      </c>
      <c r="J56" s="70"/>
      <c r="K56" s="70" t="e">
        <f t="shared" si="24"/>
        <v>#REF!</v>
      </c>
      <c r="L56" s="70" t="e">
        <f t="shared" si="25"/>
        <v>#REF!</v>
      </c>
      <c r="M56" s="56" t="e">
        <f t="shared" si="26"/>
        <v>#REF!</v>
      </c>
      <c r="N56" s="56"/>
      <c r="O56" s="70" t="e">
        <f t="shared" si="27"/>
        <v>#REF!</v>
      </c>
      <c r="P56" s="70" t="e">
        <f t="shared" si="28"/>
        <v>#REF!</v>
      </c>
      <c r="Q56" s="56" t="e">
        <f t="shared" si="29"/>
        <v>#REF!</v>
      </c>
      <c r="R56" s="56"/>
      <c r="S56" s="70" t="e">
        <f t="shared" si="30"/>
        <v>#REF!</v>
      </c>
      <c r="T56" s="70" t="e">
        <f t="shared" si="31"/>
        <v>#REF!</v>
      </c>
      <c r="U56" s="56" t="e">
        <f t="shared" si="32"/>
        <v>#REF!</v>
      </c>
      <c r="V56" s="56"/>
      <c r="W56" s="88" t="e">
        <f t="shared" si="33"/>
        <v>#REF!</v>
      </c>
      <c r="X56" s="70" t="e">
        <f t="shared" si="34"/>
        <v>#REF!</v>
      </c>
      <c r="Y56" s="56" t="e">
        <f t="shared" si="35"/>
        <v>#REF!</v>
      </c>
    </row>
    <row r="57" spans="1:25" ht="16.5" customHeight="1">
      <c r="A57" s="60" t="s">
        <v>135</v>
      </c>
      <c r="B57" s="76" t="s">
        <v>136</v>
      </c>
      <c r="C57" s="70" t="e">
        <f t="shared" si="18"/>
        <v>#REF!</v>
      </c>
      <c r="D57" s="70" t="e">
        <f t="shared" si="19"/>
        <v>#REF!</v>
      </c>
      <c r="E57" s="56" t="e">
        <f t="shared" si="20"/>
        <v>#REF!</v>
      </c>
      <c r="F57" s="70"/>
      <c r="G57" s="70" t="e">
        <f t="shared" si="21"/>
        <v>#REF!</v>
      </c>
      <c r="H57" s="70" t="e">
        <f t="shared" si="22"/>
        <v>#REF!</v>
      </c>
      <c r="I57" s="56" t="e">
        <f t="shared" si="23"/>
        <v>#REF!</v>
      </c>
      <c r="J57" s="70"/>
      <c r="K57" s="70" t="e">
        <f t="shared" si="24"/>
        <v>#REF!</v>
      </c>
      <c r="L57" s="70" t="e">
        <f t="shared" si="25"/>
        <v>#REF!</v>
      </c>
      <c r="M57" s="56" t="e">
        <f t="shared" si="26"/>
        <v>#REF!</v>
      </c>
      <c r="N57" s="56"/>
      <c r="O57" s="70" t="e">
        <f t="shared" si="27"/>
        <v>#REF!</v>
      </c>
      <c r="P57" s="70" t="e">
        <f t="shared" si="28"/>
        <v>#REF!</v>
      </c>
      <c r="Q57" s="56" t="e">
        <f t="shared" si="29"/>
        <v>#REF!</v>
      </c>
      <c r="R57" s="56"/>
      <c r="S57" s="70" t="e">
        <f t="shared" si="30"/>
        <v>#REF!</v>
      </c>
      <c r="T57" s="70" t="e">
        <f t="shared" si="31"/>
        <v>#REF!</v>
      </c>
      <c r="U57" s="56" t="e">
        <f t="shared" si="32"/>
        <v>#REF!</v>
      </c>
      <c r="V57" s="56"/>
      <c r="W57" s="88" t="e">
        <f t="shared" si="33"/>
        <v>#REF!</v>
      </c>
      <c r="X57" s="70" t="e">
        <f t="shared" si="34"/>
        <v>#REF!</v>
      </c>
      <c r="Y57" s="56" t="e">
        <f t="shared" si="35"/>
        <v>#REF!</v>
      </c>
    </row>
    <row r="58" spans="1:25" ht="16.5" customHeight="1">
      <c r="A58" s="60" t="s">
        <v>137</v>
      </c>
      <c r="B58" s="61" t="s">
        <v>138</v>
      </c>
      <c r="C58" s="70" t="e">
        <f t="shared" si="18"/>
        <v>#REF!</v>
      </c>
      <c r="D58" s="70" t="e">
        <f t="shared" si="19"/>
        <v>#REF!</v>
      </c>
      <c r="E58" s="56" t="e">
        <f t="shared" si="20"/>
        <v>#REF!</v>
      </c>
      <c r="F58" s="70"/>
      <c r="G58" s="70" t="e">
        <f t="shared" si="21"/>
        <v>#REF!</v>
      </c>
      <c r="H58" s="70" t="e">
        <f t="shared" si="22"/>
        <v>#REF!</v>
      </c>
      <c r="I58" s="56" t="e">
        <f t="shared" si="23"/>
        <v>#REF!</v>
      </c>
      <c r="J58" s="70"/>
      <c r="K58" s="70" t="e">
        <f t="shared" si="24"/>
        <v>#REF!</v>
      </c>
      <c r="L58" s="70" t="e">
        <f t="shared" si="25"/>
        <v>#REF!</v>
      </c>
      <c r="M58" s="56" t="e">
        <f t="shared" si="26"/>
        <v>#REF!</v>
      </c>
      <c r="N58" s="56"/>
      <c r="O58" s="70" t="e">
        <f t="shared" si="27"/>
        <v>#REF!</v>
      </c>
      <c r="P58" s="70" t="e">
        <f t="shared" si="28"/>
        <v>#REF!</v>
      </c>
      <c r="Q58" s="56" t="e">
        <f t="shared" si="29"/>
        <v>#REF!</v>
      </c>
      <c r="R58" s="56"/>
      <c r="S58" s="70" t="e">
        <f t="shared" si="30"/>
        <v>#REF!</v>
      </c>
      <c r="T58" s="70" t="e">
        <f t="shared" si="31"/>
        <v>#REF!</v>
      </c>
      <c r="U58" s="56" t="e">
        <f t="shared" si="32"/>
        <v>#REF!</v>
      </c>
      <c r="V58" s="56"/>
      <c r="W58" s="88" t="e">
        <f t="shared" si="33"/>
        <v>#REF!</v>
      </c>
      <c r="X58" s="70" t="e">
        <f t="shared" si="34"/>
        <v>#REF!</v>
      </c>
      <c r="Y58" s="56" t="e">
        <f t="shared" si="35"/>
        <v>#REF!</v>
      </c>
    </row>
    <row r="59" spans="1:25" ht="16.5" customHeight="1">
      <c r="A59" s="60" t="s">
        <v>141</v>
      </c>
      <c r="B59" s="61" t="s">
        <v>142</v>
      </c>
      <c r="C59" s="70" t="e">
        <f t="shared" si="18"/>
        <v>#REF!</v>
      </c>
      <c r="D59" s="70" t="e">
        <f t="shared" si="19"/>
        <v>#REF!</v>
      </c>
      <c r="E59" s="56" t="e">
        <f t="shared" si="20"/>
        <v>#REF!</v>
      </c>
      <c r="F59" s="70"/>
      <c r="G59" s="70" t="e">
        <f t="shared" si="21"/>
        <v>#REF!</v>
      </c>
      <c r="H59" s="70" t="e">
        <f t="shared" si="22"/>
        <v>#REF!</v>
      </c>
      <c r="I59" s="56" t="e">
        <f t="shared" si="23"/>
        <v>#REF!</v>
      </c>
      <c r="J59" s="70"/>
      <c r="K59" s="70" t="e">
        <f t="shared" si="24"/>
        <v>#REF!</v>
      </c>
      <c r="L59" s="70" t="e">
        <f t="shared" si="25"/>
        <v>#REF!</v>
      </c>
      <c r="M59" s="56" t="e">
        <f t="shared" si="26"/>
        <v>#REF!</v>
      </c>
      <c r="N59" s="56"/>
      <c r="O59" s="70" t="e">
        <f t="shared" si="27"/>
        <v>#REF!</v>
      </c>
      <c r="P59" s="70" t="e">
        <f t="shared" si="28"/>
        <v>#REF!</v>
      </c>
      <c r="Q59" s="56" t="e">
        <f t="shared" si="29"/>
        <v>#REF!</v>
      </c>
      <c r="R59" s="56"/>
      <c r="S59" s="70" t="e">
        <f t="shared" si="30"/>
        <v>#REF!</v>
      </c>
      <c r="T59" s="70" t="e">
        <f t="shared" si="31"/>
        <v>#REF!</v>
      </c>
      <c r="U59" s="56" t="e">
        <f t="shared" si="32"/>
        <v>#REF!</v>
      </c>
      <c r="V59" s="56"/>
      <c r="W59" s="88" t="e">
        <f t="shared" si="33"/>
        <v>#REF!</v>
      </c>
      <c r="X59" s="70" t="e">
        <f t="shared" si="34"/>
        <v>#REF!</v>
      </c>
      <c r="Y59" s="56" t="e">
        <f t="shared" si="35"/>
        <v>#REF!</v>
      </c>
    </row>
    <row r="60" spans="1:25" ht="16.5" customHeight="1">
      <c r="A60" s="60" t="s">
        <v>147</v>
      </c>
      <c r="B60" s="61" t="s">
        <v>148</v>
      </c>
      <c r="C60" s="70" t="e">
        <f t="shared" si="18"/>
        <v>#REF!</v>
      </c>
      <c r="D60" s="70" t="e">
        <f t="shared" si="19"/>
        <v>#REF!</v>
      </c>
      <c r="E60" s="56" t="e">
        <f t="shared" si="20"/>
        <v>#REF!</v>
      </c>
      <c r="F60" s="70"/>
      <c r="G60" s="70" t="e">
        <f t="shared" si="21"/>
        <v>#REF!</v>
      </c>
      <c r="H60" s="70" t="e">
        <f t="shared" si="22"/>
        <v>#REF!</v>
      </c>
      <c r="I60" s="56" t="e">
        <f t="shared" si="23"/>
        <v>#REF!</v>
      </c>
      <c r="J60" s="70"/>
      <c r="K60" s="70" t="e">
        <f t="shared" si="24"/>
        <v>#REF!</v>
      </c>
      <c r="L60" s="70" t="e">
        <f t="shared" si="25"/>
        <v>#REF!</v>
      </c>
      <c r="M60" s="56" t="e">
        <f t="shared" si="26"/>
        <v>#REF!</v>
      </c>
      <c r="N60" s="56"/>
      <c r="O60" s="70" t="e">
        <f t="shared" si="27"/>
        <v>#REF!</v>
      </c>
      <c r="P60" s="70" t="e">
        <f t="shared" si="28"/>
        <v>#REF!</v>
      </c>
      <c r="Q60" s="56" t="e">
        <f t="shared" si="29"/>
        <v>#REF!</v>
      </c>
      <c r="R60" s="56"/>
      <c r="S60" s="70" t="e">
        <f t="shared" si="30"/>
        <v>#REF!</v>
      </c>
      <c r="T60" s="70" t="e">
        <f t="shared" si="31"/>
        <v>#REF!</v>
      </c>
      <c r="U60" s="56" t="e">
        <f t="shared" si="32"/>
        <v>#REF!</v>
      </c>
      <c r="V60" s="56"/>
      <c r="W60" s="88" t="e">
        <f t="shared" si="33"/>
        <v>#REF!</v>
      </c>
      <c r="X60" s="70" t="e">
        <f t="shared" si="34"/>
        <v>#REF!</v>
      </c>
      <c r="Y60" s="56" t="e">
        <f t="shared" si="35"/>
        <v>#REF!</v>
      </c>
    </row>
    <row r="61" spans="1:25" ht="16.5" customHeight="1">
      <c r="A61" s="60" t="s">
        <v>149</v>
      </c>
      <c r="B61" s="76" t="s">
        <v>150</v>
      </c>
      <c r="C61" s="70" t="e">
        <f t="shared" si="18"/>
        <v>#REF!</v>
      </c>
      <c r="D61" s="70" t="e">
        <f t="shared" si="19"/>
        <v>#REF!</v>
      </c>
      <c r="E61" s="56" t="e">
        <f t="shared" si="20"/>
        <v>#REF!</v>
      </c>
      <c r="F61" s="70"/>
      <c r="G61" s="70" t="e">
        <f t="shared" si="21"/>
        <v>#REF!</v>
      </c>
      <c r="H61" s="70" t="e">
        <f t="shared" si="22"/>
        <v>#REF!</v>
      </c>
      <c r="I61" s="56" t="e">
        <f t="shared" si="23"/>
        <v>#REF!</v>
      </c>
      <c r="J61" s="70"/>
      <c r="K61" s="70" t="e">
        <f t="shared" si="24"/>
        <v>#REF!</v>
      </c>
      <c r="L61" s="70" t="e">
        <f t="shared" si="25"/>
        <v>#REF!</v>
      </c>
      <c r="M61" s="56" t="e">
        <f t="shared" si="26"/>
        <v>#REF!</v>
      </c>
      <c r="N61" s="56"/>
      <c r="O61" s="70" t="e">
        <f t="shared" si="27"/>
        <v>#REF!</v>
      </c>
      <c r="P61" s="70" t="e">
        <f t="shared" si="28"/>
        <v>#REF!</v>
      </c>
      <c r="Q61" s="56" t="e">
        <f t="shared" si="29"/>
        <v>#REF!</v>
      </c>
      <c r="R61" s="56"/>
      <c r="S61" s="70" t="e">
        <f t="shared" si="30"/>
        <v>#REF!</v>
      </c>
      <c r="T61" s="70" t="e">
        <f t="shared" si="31"/>
        <v>#REF!</v>
      </c>
      <c r="U61" s="56" t="e">
        <f t="shared" si="32"/>
        <v>#REF!</v>
      </c>
      <c r="V61" s="56"/>
      <c r="W61" s="88" t="e">
        <f t="shared" si="33"/>
        <v>#REF!</v>
      </c>
      <c r="X61" s="70" t="e">
        <f t="shared" si="34"/>
        <v>#REF!</v>
      </c>
      <c r="Y61" s="56" t="e">
        <f t="shared" si="35"/>
        <v>#REF!</v>
      </c>
    </row>
    <row r="62" spans="1:25" ht="16.5" customHeight="1">
      <c r="A62" s="60" t="s">
        <v>151</v>
      </c>
      <c r="B62" s="76" t="s">
        <v>152</v>
      </c>
      <c r="C62" s="70" t="e">
        <f t="shared" si="18"/>
        <v>#REF!</v>
      </c>
      <c r="D62" s="70" t="e">
        <f t="shared" si="19"/>
        <v>#REF!</v>
      </c>
      <c r="E62" s="56" t="e">
        <f t="shared" si="20"/>
        <v>#REF!</v>
      </c>
      <c r="F62" s="70"/>
      <c r="G62" s="70" t="e">
        <f t="shared" si="21"/>
        <v>#REF!</v>
      </c>
      <c r="H62" s="70" t="e">
        <f t="shared" si="22"/>
        <v>#REF!</v>
      </c>
      <c r="I62" s="56" t="e">
        <f t="shared" si="23"/>
        <v>#REF!</v>
      </c>
      <c r="J62" s="70"/>
      <c r="K62" s="70" t="e">
        <f t="shared" si="24"/>
        <v>#REF!</v>
      </c>
      <c r="L62" s="70" t="e">
        <f t="shared" si="25"/>
        <v>#REF!</v>
      </c>
      <c r="M62" s="56" t="e">
        <f t="shared" si="26"/>
        <v>#REF!</v>
      </c>
      <c r="N62" s="56"/>
      <c r="O62" s="70" t="e">
        <f t="shared" si="27"/>
        <v>#REF!</v>
      </c>
      <c r="P62" s="70" t="e">
        <f t="shared" si="28"/>
        <v>#REF!</v>
      </c>
      <c r="Q62" s="56" t="e">
        <f t="shared" si="29"/>
        <v>#REF!</v>
      </c>
      <c r="R62" s="56"/>
      <c r="S62" s="70" t="e">
        <f t="shared" si="30"/>
        <v>#REF!</v>
      </c>
      <c r="T62" s="70" t="e">
        <f t="shared" si="31"/>
        <v>#REF!</v>
      </c>
      <c r="U62" s="56" t="e">
        <f t="shared" si="32"/>
        <v>#REF!</v>
      </c>
      <c r="V62" s="56"/>
      <c r="W62" s="88" t="e">
        <f t="shared" si="33"/>
        <v>#REF!</v>
      </c>
      <c r="X62" s="70" t="e">
        <f t="shared" si="34"/>
        <v>#REF!</v>
      </c>
      <c r="Y62" s="56" t="e">
        <f t="shared" si="35"/>
        <v>#REF!</v>
      </c>
    </row>
    <row r="63" spans="1:25" ht="16.5" customHeight="1">
      <c r="A63" s="60" t="s">
        <v>153</v>
      </c>
      <c r="B63" s="61" t="s">
        <v>154</v>
      </c>
      <c r="C63" s="70" t="e">
        <f t="shared" si="18"/>
        <v>#REF!</v>
      </c>
      <c r="D63" s="70" t="e">
        <f t="shared" si="19"/>
        <v>#REF!</v>
      </c>
      <c r="E63" s="56" t="e">
        <f t="shared" si="20"/>
        <v>#REF!</v>
      </c>
      <c r="F63" s="70"/>
      <c r="G63" s="70" t="e">
        <f t="shared" si="21"/>
        <v>#REF!</v>
      </c>
      <c r="H63" s="70" t="e">
        <f t="shared" si="22"/>
        <v>#REF!</v>
      </c>
      <c r="I63" s="56" t="e">
        <f t="shared" si="23"/>
        <v>#REF!</v>
      </c>
      <c r="J63" s="70"/>
      <c r="K63" s="70" t="e">
        <f t="shared" si="24"/>
        <v>#REF!</v>
      </c>
      <c r="L63" s="70" t="e">
        <f t="shared" si="25"/>
        <v>#REF!</v>
      </c>
      <c r="M63" s="56" t="e">
        <f t="shared" si="26"/>
        <v>#REF!</v>
      </c>
      <c r="N63" s="56"/>
      <c r="O63" s="70" t="e">
        <f t="shared" si="27"/>
        <v>#REF!</v>
      </c>
      <c r="P63" s="70" t="e">
        <f t="shared" si="28"/>
        <v>#REF!</v>
      </c>
      <c r="Q63" s="56" t="e">
        <f t="shared" si="29"/>
        <v>#REF!</v>
      </c>
      <c r="R63" s="56"/>
      <c r="S63" s="70" t="e">
        <f t="shared" si="30"/>
        <v>#REF!</v>
      </c>
      <c r="T63" s="70" t="e">
        <f t="shared" si="31"/>
        <v>#REF!</v>
      </c>
      <c r="U63" s="56" t="e">
        <f t="shared" si="32"/>
        <v>#REF!</v>
      </c>
      <c r="V63" s="56"/>
      <c r="W63" s="88" t="e">
        <f t="shared" si="33"/>
        <v>#REF!</v>
      </c>
      <c r="X63" s="70" t="e">
        <f t="shared" si="34"/>
        <v>#REF!</v>
      </c>
      <c r="Y63" s="56" t="e">
        <f t="shared" si="35"/>
        <v>#REF!</v>
      </c>
    </row>
    <row r="64" spans="1:25" ht="16.5" customHeight="1">
      <c r="A64" s="60" t="s">
        <v>155</v>
      </c>
      <c r="B64" s="76" t="s">
        <v>156</v>
      </c>
      <c r="C64" s="70" t="e">
        <f t="shared" si="18"/>
        <v>#REF!</v>
      </c>
      <c r="D64" s="70" t="e">
        <f t="shared" si="19"/>
        <v>#REF!</v>
      </c>
      <c r="E64" s="56" t="e">
        <f t="shared" si="20"/>
        <v>#REF!</v>
      </c>
      <c r="F64" s="70"/>
      <c r="G64" s="70" t="e">
        <f t="shared" si="21"/>
        <v>#REF!</v>
      </c>
      <c r="H64" s="70" t="e">
        <f t="shared" si="22"/>
        <v>#REF!</v>
      </c>
      <c r="I64" s="56" t="e">
        <f t="shared" si="23"/>
        <v>#REF!</v>
      </c>
      <c r="J64" s="70"/>
      <c r="K64" s="70" t="e">
        <f t="shared" si="24"/>
        <v>#REF!</v>
      </c>
      <c r="L64" s="70" t="e">
        <f t="shared" si="25"/>
        <v>#REF!</v>
      </c>
      <c r="M64" s="56" t="e">
        <f t="shared" si="26"/>
        <v>#REF!</v>
      </c>
      <c r="N64" s="56"/>
      <c r="O64" s="70" t="e">
        <f t="shared" si="27"/>
        <v>#REF!</v>
      </c>
      <c r="P64" s="70" t="e">
        <f t="shared" si="28"/>
        <v>#REF!</v>
      </c>
      <c r="Q64" s="56" t="e">
        <f t="shared" si="29"/>
        <v>#REF!</v>
      </c>
      <c r="R64" s="56"/>
      <c r="S64" s="70" t="e">
        <f t="shared" si="30"/>
        <v>#REF!</v>
      </c>
      <c r="T64" s="70" t="e">
        <f t="shared" si="31"/>
        <v>#REF!</v>
      </c>
      <c r="U64" s="56" t="e">
        <f t="shared" si="32"/>
        <v>#REF!</v>
      </c>
      <c r="V64" s="56"/>
      <c r="W64" s="88" t="e">
        <f t="shared" si="33"/>
        <v>#REF!</v>
      </c>
      <c r="X64" s="70" t="e">
        <f t="shared" si="34"/>
        <v>#REF!</v>
      </c>
      <c r="Y64" s="56" t="e">
        <f t="shared" si="35"/>
        <v>#REF!</v>
      </c>
    </row>
    <row r="65" spans="1:25" ht="16.5" customHeight="1">
      <c r="A65" s="60" t="s">
        <v>157</v>
      </c>
      <c r="B65" s="61" t="s">
        <v>158</v>
      </c>
      <c r="C65" s="70" t="e">
        <f t="shared" si="18"/>
        <v>#REF!</v>
      </c>
      <c r="D65" s="70" t="e">
        <f t="shared" si="19"/>
        <v>#REF!</v>
      </c>
      <c r="E65" s="56" t="e">
        <f t="shared" si="20"/>
        <v>#REF!</v>
      </c>
      <c r="F65" s="70"/>
      <c r="G65" s="70" t="e">
        <f t="shared" si="21"/>
        <v>#REF!</v>
      </c>
      <c r="H65" s="70" t="e">
        <f t="shared" si="22"/>
        <v>#REF!</v>
      </c>
      <c r="I65" s="56" t="e">
        <f t="shared" si="23"/>
        <v>#REF!</v>
      </c>
      <c r="J65" s="70"/>
      <c r="K65" s="70" t="e">
        <f t="shared" si="24"/>
        <v>#REF!</v>
      </c>
      <c r="L65" s="70" t="e">
        <f t="shared" si="25"/>
        <v>#REF!</v>
      </c>
      <c r="M65" s="56" t="e">
        <f t="shared" si="26"/>
        <v>#REF!</v>
      </c>
      <c r="N65" s="56"/>
      <c r="O65" s="70" t="e">
        <f t="shared" si="27"/>
        <v>#REF!</v>
      </c>
      <c r="P65" s="70" t="e">
        <f t="shared" si="28"/>
        <v>#REF!</v>
      </c>
      <c r="Q65" s="56" t="e">
        <f t="shared" si="29"/>
        <v>#REF!</v>
      </c>
      <c r="R65" s="56"/>
      <c r="S65" s="70" t="e">
        <f t="shared" si="30"/>
        <v>#REF!</v>
      </c>
      <c r="T65" s="70" t="e">
        <f t="shared" si="31"/>
        <v>#REF!</v>
      </c>
      <c r="U65" s="56" t="e">
        <f t="shared" si="32"/>
        <v>#REF!</v>
      </c>
      <c r="V65" s="56"/>
      <c r="W65" s="88" t="e">
        <f t="shared" si="33"/>
        <v>#REF!</v>
      </c>
      <c r="X65" s="70" t="e">
        <f t="shared" si="34"/>
        <v>#REF!</v>
      </c>
      <c r="Y65" s="56" t="e">
        <f t="shared" si="35"/>
        <v>#REF!</v>
      </c>
    </row>
    <row r="66" spans="1:25" ht="16.5" customHeight="1">
      <c r="A66" s="60" t="s">
        <v>163</v>
      </c>
      <c r="B66" s="76" t="s">
        <v>164</v>
      </c>
      <c r="C66" s="70" t="e">
        <f t="shared" si="18"/>
        <v>#REF!</v>
      </c>
      <c r="D66" s="70" t="e">
        <f t="shared" si="19"/>
        <v>#REF!</v>
      </c>
      <c r="E66" s="56" t="e">
        <f t="shared" si="20"/>
        <v>#REF!</v>
      </c>
      <c r="F66" s="70"/>
      <c r="G66" s="70" t="e">
        <f t="shared" si="21"/>
        <v>#REF!</v>
      </c>
      <c r="H66" s="70" t="e">
        <f t="shared" si="22"/>
        <v>#REF!</v>
      </c>
      <c r="I66" s="56" t="e">
        <f t="shared" si="23"/>
        <v>#REF!</v>
      </c>
      <c r="J66" s="70"/>
      <c r="K66" s="70" t="e">
        <f t="shared" si="24"/>
        <v>#REF!</v>
      </c>
      <c r="L66" s="70" t="e">
        <f t="shared" si="25"/>
        <v>#REF!</v>
      </c>
      <c r="M66" s="56" t="e">
        <f t="shared" si="26"/>
        <v>#REF!</v>
      </c>
      <c r="N66" s="56"/>
      <c r="O66" s="70" t="e">
        <f t="shared" si="27"/>
        <v>#REF!</v>
      </c>
      <c r="P66" s="70" t="e">
        <f t="shared" si="28"/>
        <v>#REF!</v>
      </c>
      <c r="Q66" s="56" t="e">
        <f t="shared" si="29"/>
        <v>#REF!</v>
      </c>
      <c r="R66" s="56"/>
      <c r="S66" s="70" t="e">
        <f t="shared" si="30"/>
        <v>#REF!</v>
      </c>
      <c r="T66" s="70" t="e">
        <f t="shared" si="31"/>
        <v>#REF!</v>
      </c>
      <c r="U66" s="56" t="e">
        <f t="shared" si="32"/>
        <v>#REF!</v>
      </c>
      <c r="V66" s="56"/>
      <c r="W66" s="88" t="e">
        <f t="shared" si="33"/>
        <v>#REF!</v>
      </c>
      <c r="X66" s="70" t="e">
        <f t="shared" si="34"/>
        <v>#REF!</v>
      </c>
      <c r="Y66" s="56" t="e">
        <f t="shared" si="35"/>
        <v>#REF!</v>
      </c>
    </row>
    <row r="67" spans="1:25" ht="16.5" customHeight="1">
      <c r="A67" s="60" t="s">
        <v>165</v>
      </c>
      <c r="B67" s="76" t="s">
        <v>166</v>
      </c>
      <c r="C67" s="70" t="e">
        <f t="shared" si="18"/>
        <v>#REF!</v>
      </c>
      <c r="D67" s="70" t="e">
        <f t="shared" si="19"/>
        <v>#REF!</v>
      </c>
      <c r="E67" s="56" t="e">
        <f t="shared" si="20"/>
        <v>#REF!</v>
      </c>
      <c r="F67" s="70"/>
      <c r="G67" s="70" t="e">
        <f t="shared" si="21"/>
        <v>#REF!</v>
      </c>
      <c r="H67" s="70" t="e">
        <f t="shared" si="22"/>
        <v>#REF!</v>
      </c>
      <c r="I67" s="56" t="e">
        <f t="shared" si="23"/>
        <v>#REF!</v>
      </c>
      <c r="J67" s="70"/>
      <c r="K67" s="70" t="e">
        <f t="shared" si="24"/>
        <v>#REF!</v>
      </c>
      <c r="L67" s="70" t="e">
        <f t="shared" si="25"/>
        <v>#REF!</v>
      </c>
      <c r="M67" s="56" t="e">
        <f t="shared" si="26"/>
        <v>#REF!</v>
      </c>
      <c r="N67" s="56"/>
      <c r="O67" s="70" t="e">
        <f t="shared" si="27"/>
        <v>#REF!</v>
      </c>
      <c r="P67" s="70" t="e">
        <f t="shared" si="28"/>
        <v>#REF!</v>
      </c>
      <c r="Q67" s="56" t="e">
        <f t="shared" si="29"/>
        <v>#REF!</v>
      </c>
      <c r="R67" s="56"/>
      <c r="S67" s="70" t="e">
        <f t="shared" si="30"/>
        <v>#REF!</v>
      </c>
      <c r="T67" s="70" t="e">
        <f t="shared" si="31"/>
        <v>#REF!</v>
      </c>
      <c r="U67" s="56" t="e">
        <f t="shared" si="32"/>
        <v>#REF!</v>
      </c>
      <c r="V67" s="56"/>
      <c r="W67" s="88" t="e">
        <f t="shared" si="33"/>
        <v>#REF!</v>
      </c>
      <c r="X67" s="70" t="e">
        <f t="shared" si="34"/>
        <v>#REF!</v>
      </c>
      <c r="Y67" s="56" t="e">
        <f t="shared" si="35"/>
        <v>#REF!</v>
      </c>
    </row>
    <row r="68" spans="1:25" ht="16.5" customHeight="1">
      <c r="A68" s="60" t="s">
        <v>169</v>
      </c>
      <c r="B68" s="76" t="s">
        <v>170</v>
      </c>
      <c r="C68" s="70" t="e">
        <f t="shared" ref="C68:C99" si="36">VLOOKUP(A68,MedicaidR,7,FALSE)</f>
        <v>#REF!</v>
      </c>
      <c r="D68" s="70" t="e">
        <f t="shared" ref="D68:D99" si="37">VLOOKUP(A68,Pop,14,FALSE)</f>
        <v>#REF!</v>
      </c>
      <c r="E68" s="56" t="e">
        <f t="shared" ref="E68:E99" si="38">+C68/D68</f>
        <v>#REF!</v>
      </c>
      <c r="F68" s="70"/>
      <c r="G68" s="70" t="e">
        <f t="shared" ref="G68:G99" si="39">VLOOKUP(A68,MedicaidR,8,FALSE)</f>
        <v>#REF!</v>
      </c>
      <c r="H68" s="70" t="e">
        <f t="shared" ref="H68:H99" si="40">VLOOKUP(A68,Pop,15,FALSE)</f>
        <v>#REF!</v>
      </c>
      <c r="I68" s="56" t="e">
        <f t="shared" ref="I68:I99" si="41">+G68/H68</f>
        <v>#REF!</v>
      </c>
      <c r="J68" s="70"/>
      <c r="K68" s="70" t="e">
        <f t="shared" ref="K68:K99" si="42">VLOOKUP(A68,MedicaidR,9,FALSE)</f>
        <v>#REF!</v>
      </c>
      <c r="L68" s="70" t="e">
        <f t="shared" ref="L68:L99" si="43">VLOOKUP(A68,Pop,16,FALSE)</f>
        <v>#REF!</v>
      </c>
      <c r="M68" s="56" t="e">
        <f t="shared" ref="M68:M99" si="44">+K68/L68</f>
        <v>#REF!</v>
      </c>
      <c r="N68" s="56"/>
      <c r="O68" s="70" t="e">
        <f t="shared" ref="O68:O99" si="45">VLOOKUP(A68,MedicaidR,3,FALSE)</f>
        <v>#REF!</v>
      </c>
      <c r="P68" s="70" t="e">
        <f t="shared" ref="P68:P99" si="46">VLOOKUP(A68,Pop,8,FALSE)</f>
        <v>#REF!</v>
      </c>
      <c r="Q68" s="56" t="e">
        <f t="shared" ref="Q68:Q99" si="47">+O68/P68</f>
        <v>#REF!</v>
      </c>
      <c r="R68" s="56"/>
      <c r="S68" s="70" t="e">
        <f t="shared" ref="S68:S99" si="48">VLOOKUP(A68,MedicaidR,4,FALSE)</f>
        <v>#REF!</v>
      </c>
      <c r="T68" s="70" t="e">
        <f t="shared" ref="T68:T99" si="49">VLOOKUP(A68,Pop,9,FALSE)</f>
        <v>#REF!</v>
      </c>
      <c r="U68" s="56" t="e">
        <f t="shared" ref="U68:U99" si="50">+S68/T68</f>
        <v>#REF!</v>
      </c>
      <c r="V68" s="56"/>
      <c r="W68" s="88" t="e">
        <f t="shared" ref="W68:W99" si="51">VLOOKUP(A68,MedicaidR,5,FALSE)</f>
        <v>#REF!</v>
      </c>
      <c r="X68" s="70" t="e">
        <f t="shared" ref="X68:X99" si="52">VLOOKUP(A68,Pop,10,FALSE)</f>
        <v>#REF!</v>
      </c>
      <c r="Y68" s="56" t="e">
        <f t="shared" ref="Y68:Y99" si="53">+W68/X68</f>
        <v>#REF!</v>
      </c>
    </row>
    <row r="69" spans="1:25" ht="16.5" customHeight="1">
      <c r="A69" s="60" t="s">
        <v>171</v>
      </c>
      <c r="B69" s="76" t="s">
        <v>172</v>
      </c>
      <c r="C69" s="70" t="e">
        <f t="shared" si="36"/>
        <v>#REF!</v>
      </c>
      <c r="D69" s="70" t="e">
        <f t="shared" si="37"/>
        <v>#REF!</v>
      </c>
      <c r="E69" s="56" t="e">
        <f t="shared" si="38"/>
        <v>#REF!</v>
      </c>
      <c r="F69" s="70"/>
      <c r="G69" s="70" t="e">
        <f t="shared" si="39"/>
        <v>#REF!</v>
      </c>
      <c r="H69" s="70" t="e">
        <f t="shared" si="40"/>
        <v>#REF!</v>
      </c>
      <c r="I69" s="56" t="e">
        <f t="shared" si="41"/>
        <v>#REF!</v>
      </c>
      <c r="J69" s="70"/>
      <c r="K69" s="70" t="e">
        <f t="shared" si="42"/>
        <v>#REF!</v>
      </c>
      <c r="L69" s="70" t="e">
        <f t="shared" si="43"/>
        <v>#REF!</v>
      </c>
      <c r="M69" s="56" t="e">
        <f t="shared" si="44"/>
        <v>#REF!</v>
      </c>
      <c r="N69" s="56"/>
      <c r="O69" s="70" t="e">
        <f t="shared" si="45"/>
        <v>#REF!</v>
      </c>
      <c r="P69" s="70" t="e">
        <f t="shared" si="46"/>
        <v>#REF!</v>
      </c>
      <c r="Q69" s="56" t="e">
        <f t="shared" si="47"/>
        <v>#REF!</v>
      </c>
      <c r="R69" s="56"/>
      <c r="S69" s="70" t="e">
        <f t="shared" si="48"/>
        <v>#REF!</v>
      </c>
      <c r="T69" s="70" t="e">
        <f t="shared" si="49"/>
        <v>#REF!</v>
      </c>
      <c r="U69" s="56" t="e">
        <f t="shared" si="50"/>
        <v>#REF!</v>
      </c>
      <c r="V69" s="56"/>
      <c r="W69" s="88" t="e">
        <f t="shared" si="51"/>
        <v>#REF!</v>
      </c>
      <c r="X69" s="70" t="e">
        <f t="shared" si="52"/>
        <v>#REF!</v>
      </c>
      <c r="Y69" s="56" t="e">
        <f t="shared" si="53"/>
        <v>#REF!</v>
      </c>
    </row>
    <row r="70" spans="1:25" ht="16.5" customHeight="1">
      <c r="A70" s="60" t="s">
        <v>173</v>
      </c>
      <c r="B70" s="76" t="s">
        <v>174</v>
      </c>
      <c r="C70" s="70" t="e">
        <f t="shared" si="36"/>
        <v>#REF!</v>
      </c>
      <c r="D70" s="70" t="e">
        <f t="shared" si="37"/>
        <v>#REF!</v>
      </c>
      <c r="E70" s="56" t="e">
        <f t="shared" si="38"/>
        <v>#REF!</v>
      </c>
      <c r="F70" s="70"/>
      <c r="G70" s="70" t="e">
        <f t="shared" si="39"/>
        <v>#REF!</v>
      </c>
      <c r="H70" s="70" t="e">
        <f t="shared" si="40"/>
        <v>#REF!</v>
      </c>
      <c r="I70" s="56" t="e">
        <f t="shared" si="41"/>
        <v>#REF!</v>
      </c>
      <c r="J70" s="70"/>
      <c r="K70" s="70" t="e">
        <f t="shared" si="42"/>
        <v>#REF!</v>
      </c>
      <c r="L70" s="70" t="e">
        <f t="shared" si="43"/>
        <v>#REF!</v>
      </c>
      <c r="M70" s="56" t="e">
        <f t="shared" si="44"/>
        <v>#REF!</v>
      </c>
      <c r="N70" s="56"/>
      <c r="O70" s="70" t="e">
        <f t="shared" si="45"/>
        <v>#REF!</v>
      </c>
      <c r="P70" s="70" t="e">
        <f t="shared" si="46"/>
        <v>#REF!</v>
      </c>
      <c r="Q70" s="56" t="e">
        <f t="shared" si="47"/>
        <v>#REF!</v>
      </c>
      <c r="R70" s="56"/>
      <c r="S70" s="70" t="e">
        <f t="shared" si="48"/>
        <v>#REF!</v>
      </c>
      <c r="T70" s="70" t="e">
        <f t="shared" si="49"/>
        <v>#REF!</v>
      </c>
      <c r="U70" s="56" t="e">
        <f t="shared" si="50"/>
        <v>#REF!</v>
      </c>
      <c r="V70" s="56"/>
      <c r="W70" s="88" t="e">
        <f t="shared" si="51"/>
        <v>#REF!</v>
      </c>
      <c r="X70" s="70" t="e">
        <f t="shared" si="52"/>
        <v>#REF!</v>
      </c>
      <c r="Y70" s="56" t="e">
        <f t="shared" si="53"/>
        <v>#REF!</v>
      </c>
    </row>
    <row r="71" spans="1:25" ht="16.5" customHeight="1">
      <c r="A71" s="60" t="s">
        <v>175</v>
      </c>
      <c r="B71" s="61" t="s">
        <v>176</v>
      </c>
      <c r="C71" s="70" t="e">
        <f t="shared" si="36"/>
        <v>#REF!</v>
      </c>
      <c r="D71" s="70" t="e">
        <f t="shared" si="37"/>
        <v>#REF!</v>
      </c>
      <c r="E71" s="56" t="e">
        <f t="shared" si="38"/>
        <v>#REF!</v>
      </c>
      <c r="F71" s="70"/>
      <c r="G71" s="70" t="e">
        <f t="shared" si="39"/>
        <v>#REF!</v>
      </c>
      <c r="H71" s="70" t="e">
        <f t="shared" si="40"/>
        <v>#REF!</v>
      </c>
      <c r="I71" s="56" t="e">
        <f t="shared" si="41"/>
        <v>#REF!</v>
      </c>
      <c r="J71" s="70"/>
      <c r="K71" s="70" t="e">
        <f t="shared" si="42"/>
        <v>#REF!</v>
      </c>
      <c r="L71" s="70" t="e">
        <f t="shared" si="43"/>
        <v>#REF!</v>
      </c>
      <c r="M71" s="56" t="e">
        <f t="shared" si="44"/>
        <v>#REF!</v>
      </c>
      <c r="N71" s="56"/>
      <c r="O71" s="70" t="e">
        <f t="shared" si="45"/>
        <v>#REF!</v>
      </c>
      <c r="P71" s="70" t="e">
        <f t="shared" si="46"/>
        <v>#REF!</v>
      </c>
      <c r="Q71" s="56" t="e">
        <f t="shared" si="47"/>
        <v>#REF!</v>
      </c>
      <c r="R71" s="56"/>
      <c r="S71" s="70" t="e">
        <f t="shared" si="48"/>
        <v>#REF!</v>
      </c>
      <c r="T71" s="70" t="e">
        <f t="shared" si="49"/>
        <v>#REF!</v>
      </c>
      <c r="U71" s="56" t="e">
        <f t="shared" si="50"/>
        <v>#REF!</v>
      </c>
      <c r="V71" s="56"/>
      <c r="W71" s="88" t="e">
        <f t="shared" si="51"/>
        <v>#REF!</v>
      </c>
      <c r="X71" s="70" t="e">
        <f t="shared" si="52"/>
        <v>#REF!</v>
      </c>
      <c r="Y71" s="56" t="e">
        <f t="shared" si="53"/>
        <v>#REF!</v>
      </c>
    </row>
    <row r="72" spans="1:25" ht="16.5" customHeight="1">
      <c r="A72" s="60" t="s">
        <v>179</v>
      </c>
      <c r="B72" s="76" t="s">
        <v>180</v>
      </c>
      <c r="C72" s="70" t="e">
        <f t="shared" si="36"/>
        <v>#REF!</v>
      </c>
      <c r="D72" s="70" t="e">
        <f t="shared" si="37"/>
        <v>#REF!</v>
      </c>
      <c r="E72" s="56" t="e">
        <f t="shared" si="38"/>
        <v>#REF!</v>
      </c>
      <c r="F72" s="70"/>
      <c r="G72" s="70" t="e">
        <f t="shared" si="39"/>
        <v>#REF!</v>
      </c>
      <c r="H72" s="70" t="e">
        <f t="shared" si="40"/>
        <v>#REF!</v>
      </c>
      <c r="I72" s="56" t="e">
        <f t="shared" si="41"/>
        <v>#REF!</v>
      </c>
      <c r="J72" s="70"/>
      <c r="K72" s="70" t="e">
        <f t="shared" si="42"/>
        <v>#REF!</v>
      </c>
      <c r="L72" s="70" t="e">
        <f t="shared" si="43"/>
        <v>#REF!</v>
      </c>
      <c r="M72" s="56" t="e">
        <f t="shared" si="44"/>
        <v>#REF!</v>
      </c>
      <c r="N72" s="56"/>
      <c r="O72" s="70" t="e">
        <f t="shared" si="45"/>
        <v>#REF!</v>
      </c>
      <c r="P72" s="70" t="e">
        <f t="shared" si="46"/>
        <v>#REF!</v>
      </c>
      <c r="Q72" s="56" t="e">
        <f t="shared" si="47"/>
        <v>#REF!</v>
      </c>
      <c r="R72" s="56"/>
      <c r="S72" s="70" t="e">
        <f t="shared" si="48"/>
        <v>#REF!</v>
      </c>
      <c r="T72" s="70" t="e">
        <f t="shared" si="49"/>
        <v>#REF!</v>
      </c>
      <c r="U72" s="56" t="e">
        <f t="shared" si="50"/>
        <v>#REF!</v>
      </c>
      <c r="V72" s="56"/>
      <c r="W72" s="88" t="e">
        <f t="shared" si="51"/>
        <v>#REF!</v>
      </c>
      <c r="X72" s="70" t="e">
        <f t="shared" si="52"/>
        <v>#REF!</v>
      </c>
      <c r="Y72" s="56" t="e">
        <f t="shared" si="53"/>
        <v>#REF!</v>
      </c>
    </row>
    <row r="73" spans="1:25" ht="16.5" customHeight="1">
      <c r="A73" s="60" t="s">
        <v>183</v>
      </c>
      <c r="B73" s="76" t="s">
        <v>184</v>
      </c>
      <c r="C73" s="70" t="e">
        <f t="shared" si="36"/>
        <v>#REF!</v>
      </c>
      <c r="D73" s="70" t="e">
        <f t="shared" si="37"/>
        <v>#REF!</v>
      </c>
      <c r="E73" s="56" t="e">
        <f t="shared" si="38"/>
        <v>#REF!</v>
      </c>
      <c r="F73" s="70"/>
      <c r="G73" s="70" t="e">
        <f t="shared" si="39"/>
        <v>#REF!</v>
      </c>
      <c r="H73" s="70" t="e">
        <f t="shared" si="40"/>
        <v>#REF!</v>
      </c>
      <c r="I73" s="56" t="e">
        <f t="shared" si="41"/>
        <v>#REF!</v>
      </c>
      <c r="J73" s="70"/>
      <c r="K73" s="70" t="e">
        <f t="shared" si="42"/>
        <v>#REF!</v>
      </c>
      <c r="L73" s="70" t="e">
        <f t="shared" si="43"/>
        <v>#REF!</v>
      </c>
      <c r="M73" s="56" t="e">
        <f t="shared" si="44"/>
        <v>#REF!</v>
      </c>
      <c r="N73" s="56"/>
      <c r="O73" s="70" t="e">
        <f t="shared" si="45"/>
        <v>#REF!</v>
      </c>
      <c r="P73" s="70" t="e">
        <f t="shared" si="46"/>
        <v>#REF!</v>
      </c>
      <c r="Q73" s="56" t="e">
        <f t="shared" si="47"/>
        <v>#REF!</v>
      </c>
      <c r="R73" s="56"/>
      <c r="S73" s="70" t="e">
        <f t="shared" si="48"/>
        <v>#REF!</v>
      </c>
      <c r="T73" s="70" t="e">
        <f t="shared" si="49"/>
        <v>#REF!</v>
      </c>
      <c r="U73" s="56" t="e">
        <f t="shared" si="50"/>
        <v>#REF!</v>
      </c>
      <c r="V73" s="56"/>
      <c r="W73" s="88" t="e">
        <f t="shared" si="51"/>
        <v>#REF!</v>
      </c>
      <c r="X73" s="70" t="e">
        <f t="shared" si="52"/>
        <v>#REF!</v>
      </c>
      <c r="Y73" s="56" t="e">
        <f t="shared" si="53"/>
        <v>#REF!</v>
      </c>
    </row>
    <row r="74" spans="1:25" ht="16.5" customHeight="1">
      <c r="A74" s="60" t="s">
        <v>185</v>
      </c>
      <c r="B74" s="76" t="s">
        <v>186</v>
      </c>
      <c r="C74" s="70" t="e">
        <f t="shared" si="36"/>
        <v>#REF!</v>
      </c>
      <c r="D74" s="70" t="e">
        <f t="shared" si="37"/>
        <v>#REF!</v>
      </c>
      <c r="E74" s="56" t="e">
        <f t="shared" si="38"/>
        <v>#REF!</v>
      </c>
      <c r="F74" s="70"/>
      <c r="G74" s="70" t="e">
        <f t="shared" si="39"/>
        <v>#REF!</v>
      </c>
      <c r="H74" s="70" t="e">
        <f t="shared" si="40"/>
        <v>#REF!</v>
      </c>
      <c r="I74" s="56" t="e">
        <f t="shared" si="41"/>
        <v>#REF!</v>
      </c>
      <c r="J74" s="70"/>
      <c r="K74" s="70" t="e">
        <f t="shared" si="42"/>
        <v>#REF!</v>
      </c>
      <c r="L74" s="70" t="e">
        <f t="shared" si="43"/>
        <v>#REF!</v>
      </c>
      <c r="M74" s="56" t="e">
        <f t="shared" si="44"/>
        <v>#REF!</v>
      </c>
      <c r="N74" s="56"/>
      <c r="O74" s="70" t="e">
        <f t="shared" si="45"/>
        <v>#REF!</v>
      </c>
      <c r="P74" s="70" t="e">
        <f t="shared" si="46"/>
        <v>#REF!</v>
      </c>
      <c r="Q74" s="56" t="e">
        <f t="shared" si="47"/>
        <v>#REF!</v>
      </c>
      <c r="R74" s="56"/>
      <c r="S74" s="70" t="e">
        <f t="shared" si="48"/>
        <v>#REF!</v>
      </c>
      <c r="T74" s="70" t="e">
        <f t="shared" si="49"/>
        <v>#REF!</v>
      </c>
      <c r="U74" s="56" t="e">
        <f t="shared" si="50"/>
        <v>#REF!</v>
      </c>
      <c r="V74" s="56"/>
      <c r="W74" s="88" t="e">
        <f t="shared" si="51"/>
        <v>#REF!</v>
      </c>
      <c r="X74" s="70" t="e">
        <f t="shared" si="52"/>
        <v>#REF!</v>
      </c>
      <c r="Y74" s="56" t="e">
        <f t="shared" si="53"/>
        <v>#REF!</v>
      </c>
    </row>
    <row r="75" spans="1:25" ht="16.5" customHeight="1">
      <c r="A75" s="60" t="s">
        <v>187</v>
      </c>
      <c r="B75" s="61" t="s">
        <v>188</v>
      </c>
      <c r="C75" s="70" t="e">
        <f t="shared" si="36"/>
        <v>#REF!</v>
      </c>
      <c r="D75" s="70" t="e">
        <f t="shared" si="37"/>
        <v>#REF!</v>
      </c>
      <c r="E75" s="56" t="e">
        <f t="shared" si="38"/>
        <v>#REF!</v>
      </c>
      <c r="F75" s="70"/>
      <c r="G75" s="70" t="e">
        <f t="shared" si="39"/>
        <v>#REF!</v>
      </c>
      <c r="H75" s="70" t="e">
        <f t="shared" si="40"/>
        <v>#REF!</v>
      </c>
      <c r="I75" s="56" t="e">
        <f t="shared" si="41"/>
        <v>#REF!</v>
      </c>
      <c r="J75" s="70"/>
      <c r="K75" s="70" t="e">
        <f t="shared" si="42"/>
        <v>#REF!</v>
      </c>
      <c r="L75" s="70" t="e">
        <f t="shared" si="43"/>
        <v>#REF!</v>
      </c>
      <c r="M75" s="56" t="e">
        <f t="shared" si="44"/>
        <v>#REF!</v>
      </c>
      <c r="N75" s="56"/>
      <c r="O75" s="70" t="e">
        <f t="shared" si="45"/>
        <v>#REF!</v>
      </c>
      <c r="P75" s="70" t="e">
        <f t="shared" si="46"/>
        <v>#REF!</v>
      </c>
      <c r="Q75" s="56" t="e">
        <f t="shared" si="47"/>
        <v>#REF!</v>
      </c>
      <c r="R75" s="56"/>
      <c r="S75" s="70" t="e">
        <f t="shared" si="48"/>
        <v>#REF!</v>
      </c>
      <c r="T75" s="70" t="e">
        <f t="shared" si="49"/>
        <v>#REF!</v>
      </c>
      <c r="U75" s="56" t="e">
        <f t="shared" si="50"/>
        <v>#REF!</v>
      </c>
      <c r="V75" s="56"/>
      <c r="W75" s="88" t="e">
        <f t="shared" si="51"/>
        <v>#REF!</v>
      </c>
      <c r="X75" s="70" t="e">
        <f t="shared" si="52"/>
        <v>#REF!</v>
      </c>
      <c r="Y75" s="56" t="e">
        <f t="shared" si="53"/>
        <v>#REF!</v>
      </c>
    </row>
    <row r="76" spans="1:25" ht="16.5" customHeight="1">
      <c r="A76" s="60" t="s">
        <v>189</v>
      </c>
      <c r="B76" s="61" t="s">
        <v>190</v>
      </c>
      <c r="C76" s="70" t="e">
        <f t="shared" si="36"/>
        <v>#REF!</v>
      </c>
      <c r="D76" s="70" t="e">
        <f t="shared" si="37"/>
        <v>#REF!</v>
      </c>
      <c r="E76" s="56" t="e">
        <f t="shared" si="38"/>
        <v>#REF!</v>
      </c>
      <c r="F76" s="70"/>
      <c r="G76" s="70" t="e">
        <f t="shared" si="39"/>
        <v>#REF!</v>
      </c>
      <c r="H76" s="70" t="e">
        <f t="shared" si="40"/>
        <v>#REF!</v>
      </c>
      <c r="I76" s="56" t="e">
        <f t="shared" si="41"/>
        <v>#REF!</v>
      </c>
      <c r="J76" s="70"/>
      <c r="K76" s="70" t="e">
        <f t="shared" si="42"/>
        <v>#REF!</v>
      </c>
      <c r="L76" s="70" t="e">
        <f t="shared" si="43"/>
        <v>#REF!</v>
      </c>
      <c r="M76" s="56" t="e">
        <f t="shared" si="44"/>
        <v>#REF!</v>
      </c>
      <c r="N76" s="56"/>
      <c r="O76" s="70" t="e">
        <f t="shared" si="45"/>
        <v>#REF!</v>
      </c>
      <c r="P76" s="70" t="e">
        <f t="shared" si="46"/>
        <v>#REF!</v>
      </c>
      <c r="Q76" s="56" t="e">
        <f t="shared" si="47"/>
        <v>#REF!</v>
      </c>
      <c r="R76" s="56"/>
      <c r="S76" s="70" t="e">
        <f t="shared" si="48"/>
        <v>#REF!</v>
      </c>
      <c r="T76" s="70" t="e">
        <f t="shared" si="49"/>
        <v>#REF!</v>
      </c>
      <c r="U76" s="56" t="e">
        <f t="shared" si="50"/>
        <v>#REF!</v>
      </c>
      <c r="V76" s="56"/>
      <c r="W76" s="88" t="e">
        <f t="shared" si="51"/>
        <v>#REF!</v>
      </c>
      <c r="X76" s="70" t="e">
        <f t="shared" si="52"/>
        <v>#REF!</v>
      </c>
      <c r="Y76" s="56" t="e">
        <f t="shared" si="53"/>
        <v>#REF!</v>
      </c>
    </row>
    <row r="77" spans="1:25" ht="16.5" customHeight="1">
      <c r="A77" s="60" t="s">
        <v>191</v>
      </c>
      <c r="B77" s="76" t="s">
        <v>192</v>
      </c>
      <c r="C77" s="70" t="e">
        <f t="shared" si="36"/>
        <v>#REF!</v>
      </c>
      <c r="D77" s="70" t="e">
        <f t="shared" si="37"/>
        <v>#REF!</v>
      </c>
      <c r="E77" s="56" t="e">
        <f t="shared" si="38"/>
        <v>#REF!</v>
      </c>
      <c r="F77" s="70"/>
      <c r="G77" s="70" t="e">
        <f t="shared" si="39"/>
        <v>#REF!</v>
      </c>
      <c r="H77" s="70" t="e">
        <f t="shared" si="40"/>
        <v>#REF!</v>
      </c>
      <c r="I77" s="56" t="e">
        <f t="shared" si="41"/>
        <v>#REF!</v>
      </c>
      <c r="J77" s="70"/>
      <c r="K77" s="70" t="e">
        <f t="shared" si="42"/>
        <v>#REF!</v>
      </c>
      <c r="L77" s="70" t="e">
        <f t="shared" si="43"/>
        <v>#REF!</v>
      </c>
      <c r="M77" s="56" t="e">
        <f t="shared" si="44"/>
        <v>#REF!</v>
      </c>
      <c r="N77" s="56"/>
      <c r="O77" s="70" t="e">
        <f t="shared" si="45"/>
        <v>#REF!</v>
      </c>
      <c r="P77" s="70" t="e">
        <f t="shared" si="46"/>
        <v>#REF!</v>
      </c>
      <c r="Q77" s="56" t="e">
        <f t="shared" si="47"/>
        <v>#REF!</v>
      </c>
      <c r="R77" s="56"/>
      <c r="S77" s="70" t="e">
        <f t="shared" si="48"/>
        <v>#REF!</v>
      </c>
      <c r="T77" s="70" t="e">
        <f t="shared" si="49"/>
        <v>#REF!</v>
      </c>
      <c r="U77" s="56" t="e">
        <f t="shared" si="50"/>
        <v>#REF!</v>
      </c>
      <c r="V77" s="56"/>
      <c r="W77" s="88" t="e">
        <f t="shared" si="51"/>
        <v>#REF!</v>
      </c>
      <c r="X77" s="70" t="e">
        <f t="shared" si="52"/>
        <v>#REF!</v>
      </c>
      <c r="Y77" s="56" t="e">
        <f t="shared" si="53"/>
        <v>#REF!</v>
      </c>
    </row>
    <row r="78" spans="1:25" ht="16.5" customHeight="1">
      <c r="A78" s="60" t="s">
        <v>195</v>
      </c>
      <c r="B78" s="61" t="s">
        <v>196</v>
      </c>
      <c r="C78" s="70" t="e">
        <f t="shared" si="36"/>
        <v>#REF!</v>
      </c>
      <c r="D78" s="70" t="e">
        <f t="shared" si="37"/>
        <v>#REF!</v>
      </c>
      <c r="E78" s="56" t="e">
        <f t="shared" si="38"/>
        <v>#REF!</v>
      </c>
      <c r="F78" s="70"/>
      <c r="G78" s="70" t="e">
        <f t="shared" si="39"/>
        <v>#REF!</v>
      </c>
      <c r="H78" s="70" t="e">
        <f t="shared" si="40"/>
        <v>#REF!</v>
      </c>
      <c r="I78" s="56" t="e">
        <f t="shared" si="41"/>
        <v>#REF!</v>
      </c>
      <c r="J78" s="70"/>
      <c r="K78" s="70" t="e">
        <f t="shared" si="42"/>
        <v>#REF!</v>
      </c>
      <c r="L78" s="70" t="e">
        <f t="shared" si="43"/>
        <v>#REF!</v>
      </c>
      <c r="M78" s="56" t="e">
        <f t="shared" si="44"/>
        <v>#REF!</v>
      </c>
      <c r="N78" s="56"/>
      <c r="O78" s="70" t="e">
        <f t="shared" si="45"/>
        <v>#REF!</v>
      </c>
      <c r="P78" s="70" t="e">
        <f t="shared" si="46"/>
        <v>#REF!</v>
      </c>
      <c r="Q78" s="56" t="e">
        <f t="shared" si="47"/>
        <v>#REF!</v>
      </c>
      <c r="R78" s="56"/>
      <c r="S78" s="70" t="e">
        <f t="shared" si="48"/>
        <v>#REF!</v>
      </c>
      <c r="T78" s="70" t="e">
        <f t="shared" si="49"/>
        <v>#REF!</v>
      </c>
      <c r="U78" s="56" t="e">
        <f t="shared" si="50"/>
        <v>#REF!</v>
      </c>
      <c r="V78" s="56"/>
      <c r="W78" s="88" t="e">
        <f t="shared" si="51"/>
        <v>#REF!</v>
      </c>
      <c r="X78" s="70" t="e">
        <f t="shared" si="52"/>
        <v>#REF!</v>
      </c>
      <c r="Y78" s="56" t="e">
        <f t="shared" si="53"/>
        <v>#REF!</v>
      </c>
    </row>
    <row r="79" spans="1:25" ht="16.5" customHeight="1">
      <c r="A79" s="60" t="s">
        <v>199</v>
      </c>
      <c r="B79" s="76" t="s">
        <v>200</v>
      </c>
      <c r="C79" s="70" t="e">
        <f t="shared" si="36"/>
        <v>#REF!</v>
      </c>
      <c r="D79" s="70" t="e">
        <f t="shared" si="37"/>
        <v>#REF!</v>
      </c>
      <c r="E79" s="56" t="e">
        <f t="shared" si="38"/>
        <v>#REF!</v>
      </c>
      <c r="F79" s="70"/>
      <c r="G79" s="70" t="e">
        <f t="shared" si="39"/>
        <v>#REF!</v>
      </c>
      <c r="H79" s="70" t="e">
        <f t="shared" si="40"/>
        <v>#REF!</v>
      </c>
      <c r="I79" s="56" t="e">
        <f t="shared" si="41"/>
        <v>#REF!</v>
      </c>
      <c r="J79" s="70"/>
      <c r="K79" s="70" t="e">
        <f t="shared" si="42"/>
        <v>#REF!</v>
      </c>
      <c r="L79" s="70" t="e">
        <f t="shared" si="43"/>
        <v>#REF!</v>
      </c>
      <c r="M79" s="56" t="e">
        <f t="shared" si="44"/>
        <v>#REF!</v>
      </c>
      <c r="N79" s="56"/>
      <c r="O79" s="70" t="e">
        <f t="shared" si="45"/>
        <v>#REF!</v>
      </c>
      <c r="P79" s="70" t="e">
        <f t="shared" si="46"/>
        <v>#REF!</v>
      </c>
      <c r="Q79" s="56" t="e">
        <f t="shared" si="47"/>
        <v>#REF!</v>
      </c>
      <c r="R79" s="56"/>
      <c r="S79" s="70" t="e">
        <f t="shared" si="48"/>
        <v>#REF!</v>
      </c>
      <c r="T79" s="70" t="e">
        <f t="shared" si="49"/>
        <v>#REF!</v>
      </c>
      <c r="U79" s="56" t="e">
        <f t="shared" si="50"/>
        <v>#REF!</v>
      </c>
      <c r="V79" s="56"/>
      <c r="W79" s="88" t="e">
        <f t="shared" si="51"/>
        <v>#REF!</v>
      </c>
      <c r="X79" s="70" t="e">
        <f t="shared" si="52"/>
        <v>#REF!</v>
      </c>
      <c r="Y79" s="56" t="e">
        <f t="shared" si="53"/>
        <v>#REF!</v>
      </c>
    </row>
    <row r="80" spans="1:25" ht="16.5" customHeight="1">
      <c r="A80" s="60" t="s">
        <v>203</v>
      </c>
      <c r="B80" s="61" t="s">
        <v>204</v>
      </c>
      <c r="C80" s="70" t="e">
        <f t="shared" si="36"/>
        <v>#REF!</v>
      </c>
      <c r="D80" s="70" t="e">
        <f t="shared" si="37"/>
        <v>#REF!</v>
      </c>
      <c r="E80" s="56" t="e">
        <f t="shared" si="38"/>
        <v>#REF!</v>
      </c>
      <c r="F80" s="70"/>
      <c r="G80" s="70" t="e">
        <f t="shared" si="39"/>
        <v>#REF!</v>
      </c>
      <c r="H80" s="70" t="e">
        <f t="shared" si="40"/>
        <v>#REF!</v>
      </c>
      <c r="I80" s="56" t="e">
        <f t="shared" si="41"/>
        <v>#REF!</v>
      </c>
      <c r="J80" s="70"/>
      <c r="K80" s="70" t="e">
        <f t="shared" si="42"/>
        <v>#REF!</v>
      </c>
      <c r="L80" s="70" t="e">
        <f t="shared" si="43"/>
        <v>#REF!</v>
      </c>
      <c r="M80" s="56" t="e">
        <f t="shared" si="44"/>
        <v>#REF!</v>
      </c>
      <c r="N80" s="56"/>
      <c r="O80" s="70" t="e">
        <f t="shared" si="45"/>
        <v>#REF!</v>
      </c>
      <c r="P80" s="70" t="e">
        <f t="shared" si="46"/>
        <v>#REF!</v>
      </c>
      <c r="Q80" s="56" t="e">
        <f t="shared" si="47"/>
        <v>#REF!</v>
      </c>
      <c r="R80" s="56"/>
      <c r="S80" s="70" t="e">
        <f t="shared" si="48"/>
        <v>#REF!</v>
      </c>
      <c r="T80" s="70" t="e">
        <f t="shared" si="49"/>
        <v>#REF!</v>
      </c>
      <c r="U80" s="56" t="e">
        <f t="shared" si="50"/>
        <v>#REF!</v>
      </c>
      <c r="V80" s="56"/>
      <c r="W80" s="88" t="e">
        <f t="shared" si="51"/>
        <v>#REF!</v>
      </c>
      <c r="X80" s="70" t="e">
        <f t="shared" si="52"/>
        <v>#REF!</v>
      </c>
      <c r="Y80" s="56" t="e">
        <f t="shared" si="53"/>
        <v>#REF!</v>
      </c>
    </row>
    <row r="81" spans="1:25" ht="16.5" customHeight="1">
      <c r="A81" s="60" t="s">
        <v>205</v>
      </c>
      <c r="B81" s="61" t="s">
        <v>206</v>
      </c>
      <c r="C81" s="70" t="e">
        <f t="shared" si="36"/>
        <v>#REF!</v>
      </c>
      <c r="D81" s="70" t="e">
        <f t="shared" si="37"/>
        <v>#REF!</v>
      </c>
      <c r="E81" s="56" t="e">
        <f t="shared" si="38"/>
        <v>#REF!</v>
      </c>
      <c r="F81" s="70"/>
      <c r="G81" s="70" t="e">
        <f t="shared" si="39"/>
        <v>#REF!</v>
      </c>
      <c r="H81" s="70" t="e">
        <f t="shared" si="40"/>
        <v>#REF!</v>
      </c>
      <c r="I81" s="56" t="e">
        <f t="shared" si="41"/>
        <v>#REF!</v>
      </c>
      <c r="J81" s="70"/>
      <c r="K81" s="70" t="e">
        <f t="shared" si="42"/>
        <v>#REF!</v>
      </c>
      <c r="L81" s="70" t="e">
        <f t="shared" si="43"/>
        <v>#REF!</v>
      </c>
      <c r="M81" s="56" t="e">
        <f t="shared" si="44"/>
        <v>#REF!</v>
      </c>
      <c r="N81" s="56"/>
      <c r="O81" s="70" t="e">
        <f t="shared" si="45"/>
        <v>#REF!</v>
      </c>
      <c r="P81" s="70" t="e">
        <f t="shared" si="46"/>
        <v>#REF!</v>
      </c>
      <c r="Q81" s="56" t="e">
        <f t="shared" si="47"/>
        <v>#REF!</v>
      </c>
      <c r="R81" s="56"/>
      <c r="S81" s="70" t="e">
        <f t="shared" si="48"/>
        <v>#REF!</v>
      </c>
      <c r="T81" s="70" t="e">
        <f t="shared" si="49"/>
        <v>#REF!</v>
      </c>
      <c r="U81" s="56" t="e">
        <f t="shared" si="50"/>
        <v>#REF!</v>
      </c>
      <c r="V81" s="56"/>
      <c r="W81" s="88" t="e">
        <f t="shared" si="51"/>
        <v>#REF!</v>
      </c>
      <c r="X81" s="70" t="e">
        <f t="shared" si="52"/>
        <v>#REF!</v>
      </c>
      <c r="Y81" s="56" t="e">
        <f t="shared" si="53"/>
        <v>#REF!</v>
      </c>
    </row>
    <row r="82" spans="1:25" ht="16.5" customHeight="1">
      <c r="A82" s="60" t="s">
        <v>207</v>
      </c>
      <c r="B82" s="61" t="s">
        <v>208</v>
      </c>
      <c r="C82" s="70" t="e">
        <f t="shared" si="36"/>
        <v>#REF!</v>
      </c>
      <c r="D82" s="70" t="e">
        <f t="shared" si="37"/>
        <v>#REF!</v>
      </c>
      <c r="E82" s="56" t="e">
        <f t="shared" si="38"/>
        <v>#REF!</v>
      </c>
      <c r="F82" s="70"/>
      <c r="G82" s="70" t="e">
        <f t="shared" si="39"/>
        <v>#REF!</v>
      </c>
      <c r="H82" s="70" t="e">
        <f t="shared" si="40"/>
        <v>#REF!</v>
      </c>
      <c r="I82" s="56" t="e">
        <f t="shared" si="41"/>
        <v>#REF!</v>
      </c>
      <c r="J82" s="70"/>
      <c r="K82" s="70" t="e">
        <f t="shared" si="42"/>
        <v>#REF!</v>
      </c>
      <c r="L82" s="70" t="e">
        <f t="shared" si="43"/>
        <v>#REF!</v>
      </c>
      <c r="M82" s="56" t="e">
        <f t="shared" si="44"/>
        <v>#REF!</v>
      </c>
      <c r="N82" s="56"/>
      <c r="O82" s="70" t="e">
        <f t="shared" si="45"/>
        <v>#REF!</v>
      </c>
      <c r="P82" s="70" t="e">
        <f t="shared" si="46"/>
        <v>#REF!</v>
      </c>
      <c r="Q82" s="56" t="e">
        <f t="shared" si="47"/>
        <v>#REF!</v>
      </c>
      <c r="R82" s="56"/>
      <c r="S82" s="70" t="e">
        <f t="shared" si="48"/>
        <v>#REF!</v>
      </c>
      <c r="T82" s="70" t="e">
        <f t="shared" si="49"/>
        <v>#REF!</v>
      </c>
      <c r="U82" s="56" t="e">
        <f t="shared" si="50"/>
        <v>#REF!</v>
      </c>
      <c r="V82" s="56"/>
      <c r="W82" s="88" t="e">
        <f t="shared" si="51"/>
        <v>#REF!</v>
      </c>
      <c r="X82" s="70" t="e">
        <f t="shared" si="52"/>
        <v>#REF!</v>
      </c>
      <c r="Y82" s="56" t="e">
        <f t="shared" si="53"/>
        <v>#REF!</v>
      </c>
    </row>
    <row r="83" spans="1:25" ht="16.5" customHeight="1">
      <c r="A83" s="60" t="s">
        <v>209</v>
      </c>
      <c r="B83" s="76" t="s">
        <v>210</v>
      </c>
      <c r="C83" s="70" t="e">
        <f t="shared" si="36"/>
        <v>#REF!</v>
      </c>
      <c r="D83" s="70" t="e">
        <f t="shared" si="37"/>
        <v>#REF!</v>
      </c>
      <c r="E83" s="56" t="e">
        <f t="shared" si="38"/>
        <v>#REF!</v>
      </c>
      <c r="F83" s="70"/>
      <c r="G83" s="70" t="e">
        <f t="shared" si="39"/>
        <v>#REF!</v>
      </c>
      <c r="H83" s="70" t="e">
        <f t="shared" si="40"/>
        <v>#REF!</v>
      </c>
      <c r="I83" s="56" t="e">
        <f t="shared" si="41"/>
        <v>#REF!</v>
      </c>
      <c r="J83" s="70"/>
      <c r="K83" s="70" t="e">
        <f t="shared" si="42"/>
        <v>#REF!</v>
      </c>
      <c r="L83" s="70" t="e">
        <f t="shared" si="43"/>
        <v>#REF!</v>
      </c>
      <c r="M83" s="56" t="e">
        <f t="shared" si="44"/>
        <v>#REF!</v>
      </c>
      <c r="N83" s="56"/>
      <c r="O83" s="70" t="e">
        <f t="shared" si="45"/>
        <v>#REF!</v>
      </c>
      <c r="P83" s="70" t="e">
        <f t="shared" si="46"/>
        <v>#REF!</v>
      </c>
      <c r="Q83" s="56" t="e">
        <f t="shared" si="47"/>
        <v>#REF!</v>
      </c>
      <c r="R83" s="56"/>
      <c r="S83" s="70" t="e">
        <f t="shared" si="48"/>
        <v>#REF!</v>
      </c>
      <c r="T83" s="70" t="e">
        <f t="shared" si="49"/>
        <v>#REF!</v>
      </c>
      <c r="U83" s="56" t="e">
        <f t="shared" si="50"/>
        <v>#REF!</v>
      </c>
      <c r="V83" s="56"/>
      <c r="W83" s="88" t="e">
        <f t="shared" si="51"/>
        <v>#REF!</v>
      </c>
      <c r="X83" s="70" t="e">
        <f t="shared" si="52"/>
        <v>#REF!</v>
      </c>
      <c r="Y83" s="56" t="e">
        <f t="shared" si="53"/>
        <v>#REF!</v>
      </c>
    </row>
    <row r="84" spans="1:25" ht="16.5" customHeight="1">
      <c r="A84" s="60" t="s">
        <v>211</v>
      </c>
      <c r="B84" s="76" t="s">
        <v>212</v>
      </c>
      <c r="C84" s="70" t="e">
        <f t="shared" si="36"/>
        <v>#REF!</v>
      </c>
      <c r="D84" s="70" t="e">
        <f t="shared" si="37"/>
        <v>#REF!</v>
      </c>
      <c r="E84" s="56" t="e">
        <f t="shared" si="38"/>
        <v>#REF!</v>
      </c>
      <c r="F84" s="70"/>
      <c r="G84" s="70" t="e">
        <f t="shared" si="39"/>
        <v>#REF!</v>
      </c>
      <c r="H84" s="70" t="e">
        <f t="shared" si="40"/>
        <v>#REF!</v>
      </c>
      <c r="I84" s="56" t="e">
        <f t="shared" si="41"/>
        <v>#REF!</v>
      </c>
      <c r="J84" s="70"/>
      <c r="K84" s="70" t="e">
        <f t="shared" si="42"/>
        <v>#REF!</v>
      </c>
      <c r="L84" s="70" t="e">
        <f t="shared" si="43"/>
        <v>#REF!</v>
      </c>
      <c r="M84" s="56" t="e">
        <f t="shared" si="44"/>
        <v>#REF!</v>
      </c>
      <c r="N84" s="56"/>
      <c r="O84" s="70" t="e">
        <f t="shared" si="45"/>
        <v>#REF!</v>
      </c>
      <c r="P84" s="70" t="e">
        <f t="shared" si="46"/>
        <v>#REF!</v>
      </c>
      <c r="Q84" s="56" t="e">
        <f t="shared" si="47"/>
        <v>#REF!</v>
      </c>
      <c r="R84" s="56"/>
      <c r="S84" s="70" t="e">
        <f t="shared" si="48"/>
        <v>#REF!</v>
      </c>
      <c r="T84" s="70" t="e">
        <f t="shared" si="49"/>
        <v>#REF!</v>
      </c>
      <c r="U84" s="56" t="e">
        <f t="shared" si="50"/>
        <v>#REF!</v>
      </c>
      <c r="V84" s="56"/>
      <c r="W84" s="88" t="e">
        <f t="shared" si="51"/>
        <v>#REF!</v>
      </c>
      <c r="X84" s="70" t="e">
        <f t="shared" si="52"/>
        <v>#REF!</v>
      </c>
      <c r="Y84" s="56" t="e">
        <f t="shared" si="53"/>
        <v>#REF!</v>
      </c>
    </row>
    <row r="85" spans="1:25" ht="16.5" customHeight="1">
      <c r="A85" s="60" t="s">
        <v>213</v>
      </c>
      <c r="B85" s="61" t="s">
        <v>214</v>
      </c>
      <c r="C85" s="70" t="e">
        <f t="shared" si="36"/>
        <v>#REF!</v>
      </c>
      <c r="D85" s="70" t="e">
        <f t="shared" si="37"/>
        <v>#REF!</v>
      </c>
      <c r="E85" s="56" t="e">
        <f t="shared" si="38"/>
        <v>#REF!</v>
      </c>
      <c r="F85" s="70"/>
      <c r="G85" s="70" t="e">
        <f t="shared" si="39"/>
        <v>#REF!</v>
      </c>
      <c r="H85" s="70" t="e">
        <f t="shared" si="40"/>
        <v>#REF!</v>
      </c>
      <c r="I85" s="56" t="e">
        <f t="shared" si="41"/>
        <v>#REF!</v>
      </c>
      <c r="J85" s="70"/>
      <c r="K85" s="70" t="e">
        <f t="shared" si="42"/>
        <v>#REF!</v>
      </c>
      <c r="L85" s="70" t="e">
        <f t="shared" si="43"/>
        <v>#REF!</v>
      </c>
      <c r="M85" s="56" t="e">
        <f t="shared" si="44"/>
        <v>#REF!</v>
      </c>
      <c r="N85" s="56"/>
      <c r="O85" s="70" t="e">
        <f t="shared" si="45"/>
        <v>#REF!</v>
      </c>
      <c r="P85" s="70" t="e">
        <f t="shared" si="46"/>
        <v>#REF!</v>
      </c>
      <c r="Q85" s="56" t="e">
        <f t="shared" si="47"/>
        <v>#REF!</v>
      </c>
      <c r="R85" s="56"/>
      <c r="S85" s="70" t="e">
        <f t="shared" si="48"/>
        <v>#REF!</v>
      </c>
      <c r="T85" s="70" t="e">
        <f t="shared" si="49"/>
        <v>#REF!</v>
      </c>
      <c r="U85" s="56" t="e">
        <f t="shared" si="50"/>
        <v>#REF!</v>
      </c>
      <c r="V85" s="56"/>
      <c r="W85" s="88" t="e">
        <f t="shared" si="51"/>
        <v>#REF!</v>
      </c>
      <c r="X85" s="70" t="e">
        <f t="shared" si="52"/>
        <v>#REF!</v>
      </c>
      <c r="Y85" s="56" t="e">
        <f t="shared" si="53"/>
        <v>#REF!</v>
      </c>
    </row>
    <row r="86" spans="1:25" ht="16.5" customHeight="1">
      <c r="A86" s="60" t="s">
        <v>215</v>
      </c>
      <c r="B86" s="76" t="s">
        <v>216</v>
      </c>
      <c r="C86" s="70" t="e">
        <f t="shared" si="36"/>
        <v>#REF!</v>
      </c>
      <c r="D86" s="70" t="e">
        <f t="shared" si="37"/>
        <v>#REF!</v>
      </c>
      <c r="E86" s="56" t="e">
        <f t="shared" si="38"/>
        <v>#REF!</v>
      </c>
      <c r="F86" s="70"/>
      <c r="G86" s="70" t="e">
        <f t="shared" si="39"/>
        <v>#REF!</v>
      </c>
      <c r="H86" s="70" t="e">
        <f t="shared" si="40"/>
        <v>#REF!</v>
      </c>
      <c r="I86" s="56" t="e">
        <f t="shared" si="41"/>
        <v>#REF!</v>
      </c>
      <c r="J86" s="70"/>
      <c r="K86" s="70" t="e">
        <f t="shared" si="42"/>
        <v>#REF!</v>
      </c>
      <c r="L86" s="70" t="e">
        <f t="shared" si="43"/>
        <v>#REF!</v>
      </c>
      <c r="M86" s="56" t="e">
        <f t="shared" si="44"/>
        <v>#REF!</v>
      </c>
      <c r="N86" s="56"/>
      <c r="O86" s="70" t="e">
        <f t="shared" si="45"/>
        <v>#REF!</v>
      </c>
      <c r="P86" s="70" t="e">
        <f t="shared" si="46"/>
        <v>#REF!</v>
      </c>
      <c r="Q86" s="56" t="e">
        <f t="shared" si="47"/>
        <v>#REF!</v>
      </c>
      <c r="R86" s="56"/>
      <c r="S86" s="70" t="e">
        <f t="shared" si="48"/>
        <v>#REF!</v>
      </c>
      <c r="T86" s="70" t="e">
        <f t="shared" si="49"/>
        <v>#REF!</v>
      </c>
      <c r="U86" s="56" t="e">
        <f t="shared" si="50"/>
        <v>#REF!</v>
      </c>
      <c r="V86" s="56"/>
      <c r="W86" s="88" t="e">
        <f t="shared" si="51"/>
        <v>#REF!</v>
      </c>
      <c r="X86" s="70" t="e">
        <f t="shared" si="52"/>
        <v>#REF!</v>
      </c>
      <c r="Y86" s="56" t="e">
        <f t="shared" si="53"/>
        <v>#REF!</v>
      </c>
    </row>
    <row r="87" spans="1:25" ht="16.5" customHeight="1">
      <c r="A87" s="60" t="s">
        <v>217</v>
      </c>
      <c r="B87" s="76" t="s">
        <v>218</v>
      </c>
      <c r="C87" s="70" t="e">
        <f t="shared" si="36"/>
        <v>#REF!</v>
      </c>
      <c r="D87" s="70" t="e">
        <f t="shared" si="37"/>
        <v>#REF!</v>
      </c>
      <c r="E87" s="56" t="e">
        <f t="shared" si="38"/>
        <v>#REF!</v>
      </c>
      <c r="F87" s="70"/>
      <c r="G87" s="70" t="e">
        <f t="shared" si="39"/>
        <v>#REF!</v>
      </c>
      <c r="H87" s="70" t="e">
        <f t="shared" si="40"/>
        <v>#REF!</v>
      </c>
      <c r="I87" s="56" t="e">
        <f t="shared" si="41"/>
        <v>#REF!</v>
      </c>
      <c r="J87" s="70"/>
      <c r="K87" s="70" t="e">
        <f t="shared" si="42"/>
        <v>#REF!</v>
      </c>
      <c r="L87" s="70" t="e">
        <f t="shared" si="43"/>
        <v>#REF!</v>
      </c>
      <c r="M87" s="56" t="e">
        <f t="shared" si="44"/>
        <v>#REF!</v>
      </c>
      <c r="N87" s="56"/>
      <c r="O87" s="70" t="e">
        <f t="shared" si="45"/>
        <v>#REF!</v>
      </c>
      <c r="P87" s="70" t="e">
        <f t="shared" si="46"/>
        <v>#REF!</v>
      </c>
      <c r="Q87" s="56" t="e">
        <f t="shared" si="47"/>
        <v>#REF!</v>
      </c>
      <c r="R87" s="56"/>
      <c r="S87" s="70" t="e">
        <f t="shared" si="48"/>
        <v>#REF!</v>
      </c>
      <c r="T87" s="70" t="e">
        <f t="shared" si="49"/>
        <v>#REF!</v>
      </c>
      <c r="U87" s="56" t="e">
        <f t="shared" si="50"/>
        <v>#REF!</v>
      </c>
      <c r="V87" s="56"/>
      <c r="W87" s="88" t="e">
        <f t="shared" si="51"/>
        <v>#REF!</v>
      </c>
      <c r="X87" s="70" t="e">
        <f t="shared" si="52"/>
        <v>#REF!</v>
      </c>
      <c r="Y87" s="56" t="e">
        <f t="shared" si="53"/>
        <v>#REF!</v>
      </c>
    </row>
    <row r="88" spans="1:25" ht="16.5" customHeight="1">
      <c r="A88" s="60" t="s">
        <v>219</v>
      </c>
      <c r="B88" s="61" t="s">
        <v>220</v>
      </c>
      <c r="C88" s="70" t="e">
        <f t="shared" si="36"/>
        <v>#REF!</v>
      </c>
      <c r="D88" s="70" t="e">
        <f t="shared" si="37"/>
        <v>#REF!</v>
      </c>
      <c r="E88" s="56" t="e">
        <f t="shared" si="38"/>
        <v>#REF!</v>
      </c>
      <c r="F88" s="70"/>
      <c r="G88" s="70" t="e">
        <f t="shared" si="39"/>
        <v>#REF!</v>
      </c>
      <c r="H88" s="70" t="e">
        <f t="shared" si="40"/>
        <v>#REF!</v>
      </c>
      <c r="I88" s="56" t="e">
        <f t="shared" si="41"/>
        <v>#REF!</v>
      </c>
      <c r="J88" s="70"/>
      <c r="K88" s="70" t="e">
        <f t="shared" si="42"/>
        <v>#REF!</v>
      </c>
      <c r="L88" s="70" t="e">
        <f t="shared" si="43"/>
        <v>#REF!</v>
      </c>
      <c r="M88" s="56" t="e">
        <f t="shared" si="44"/>
        <v>#REF!</v>
      </c>
      <c r="N88" s="56"/>
      <c r="O88" s="70" t="e">
        <f t="shared" si="45"/>
        <v>#REF!</v>
      </c>
      <c r="P88" s="70" t="e">
        <f t="shared" si="46"/>
        <v>#REF!</v>
      </c>
      <c r="Q88" s="56" t="e">
        <f t="shared" si="47"/>
        <v>#REF!</v>
      </c>
      <c r="R88" s="56"/>
      <c r="S88" s="70" t="e">
        <f t="shared" si="48"/>
        <v>#REF!</v>
      </c>
      <c r="T88" s="70" t="e">
        <f t="shared" si="49"/>
        <v>#REF!</v>
      </c>
      <c r="U88" s="56" t="e">
        <f t="shared" si="50"/>
        <v>#REF!</v>
      </c>
      <c r="V88" s="56"/>
      <c r="W88" s="88" t="e">
        <f t="shared" si="51"/>
        <v>#REF!</v>
      </c>
      <c r="X88" s="70" t="e">
        <f t="shared" si="52"/>
        <v>#REF!</v>
      </c>
      <c r="Y88" s="56" t="e">
        <f t="shared" si="53"/>
        <v>#REF!</v>
      </c>
    </row>
    <row r="89" spans="1:25" ht="16.5" customHeight="1">
      <c r="A89" s="60" t="s">
        <v>221</v>
      </c>
      <c r="B89" s="61" t="s">
        <v>222</v>
      </c>
      <c r="C89" s="70" t="e">
        <f t="shared" si="36"/>
        <v>#REF!</v>
      </c>
      <c r="D89" s="70" t="e">
        <f t="shared" si="37"/>
        <v>#REF!</v>
      </c>
      <c r="E89" s="56" t="e">
        <f t="shared" si="38"/>
        <v>#REF!</v>
      </c>
      <c r="F89" s="70"/>
      <c r="G89" s="70" t="e">
        <f t="shared" si="39"/>
        <v>#REF!</v>
      </c>
      <c r="H89" s="70" t="e">
        <f t="shared" si="40"/>
        <v>#REF!</v>
      </c>
      <c r="I89" s="56" t="e">
        <f t="shared" si="41"/>
        <v>#REF!</v>
      </c>
      <c r="J89" s="70"/>
      <c r="K89" s="70" t="e">
        <f t="shared" si="42"/>
        <v>#REF!</v>
      </c>
      <c r="L89" s="70" t="e">
        <f t="shared" si="43"/>
        <v>#REF!</v>
      </c>
      <c r="M89" s="56" t="e">
        <f t="shared" si="44"/>
        <v>#REF!</v>
      </c>
      <c r="N89" s="56"/>
      <c r="O89" s="70" t="e">
        <f t="shared" si="45"/>
        <v>#REF!</v>
      </c>
      <c r="P89" s="70" t="e">
        <f t="shared" si="46"/>
        <v>#REF!</v>
      </c>
      <c r="Q89" s="56" t="e">
        <f t="shared" si="47"/>
        <v>#REF!</v>
      </c>
      <c r="R89" s="56"/>
      <c r="S89" s="70" t="e">
        <f t="shared" si="48"/>
        <v>#REF!</v>
      </c>
      <c r="T89" s="70" t="e">
        <f t="shared" si="49"/>
        <v>#REF!</v>
      </c>
      <c r="U89" s="56" t="e">
        <f t="shared" si="50"/>
        <v>#REF!</v>
      </c>
      <c r="V89" s="56"/>
      <c r="W89" s="88" t="e">
        <f t="shared" si="51"/>
        <v>#REF!</v>
      </c>
      <c r="X89" s="70" t="e">
        <f t="shared" si="52"/>
        <v>#REF!</v>
      </c>
      <c r="Y89" s="56" t="e">
        <f t="shared" si="53"/>
        <v>#REF!</v>
      </c>
    </row>
    <row r="90" spans="1:25" ht="16.5" customHeight="1">
      <c r="A90" s="60" t="s">
        <v>225</v>
      </c>
      <c r="B90" s="61" t="s">
        <v>226</v>
      </c>
      <c r="C90" s="70" t="e">
        <f t="shared" si="36"/>
        <v>#REF!</v>
      </c>
      <c r="D90" s="70" t="e">
        <f t="shared" si="37"/>
        <v>#REF!</v>
      </c>
      <c r="E90" s="56" t="e">
        <f t="shared" si="38"/>
        <v>#REF!</v>
      </c>
      <c r="F90" s="70"/>
      <c r="G90" s="70" t="e">
        <f t="shared" si="39"/>
        <v>#REF!</v>
      </c>
      <c r="H90" s="70" t="e">
        <f t="shared" si="40"/>
        <v>#REF!</v>
      </c>
      <c r="I90" s="56" t="e">
        <f t="shared" si="41"/>
        <v>#REF!</v>
      </c>
      <c r="J90" s="70"/>
      <c r="K90" s="70" t="e">
        <f t="shared" si="42"/>
        <v>#REF!</v>
      </c>
      <c r="L90" s="70" t="e">
        <f t="shared" si="43"/>
        <v>#REF!</v>
      </c>
      <c r="M90" s="56" t="e">
        <f t="shared" si="44"/>
        <v>#REF!</v>
      </c>
      <c r="N90" s="56"/>
      <c r="O90" s="70" t="e">
        <f t="shared" si="45"/>
        <v>#REF!</v>
      </c>
      <c r="P90" s="70" t="e">
        <f t="shared" si="46"/>
        <v>#REF!</v>
      </c>
      <c r="Q90" s="56" t="e">
        <f t="shared" si="47"/>
        <v>#REF!</v>
      </c>
      <c r="R90" s="56"/>
      <c r="S90" s="70" t="e">
        <f t="shared" si="48"/>
        <v>#REF!</v>
      </c>
      <c r="T90" s="70" t="e">
        <f t="shared" si="49"/>
        <v>#REF!</v>
      </c>
      <c r="U90" s="56" t="e">
        <f t="shared" si="50"/>
        <v>#REF!</v>
      </c>
      <c r="V90" s="56"/>
      <c r="W90" s="88" t="e">
        <f t="shared" si="51"/>
        <v>#REF!</v>
      </c>
      <c r="X90" s="70" t="e">
        <f t="shared" si="52"/>
        <v>#REF!</v>
      </c>
      <c r="Y90" s="56" t="e">
        <f t="shared" si="53"/>
        <v>#REF!</v>
      </c>
    </row>
    <row r="91" spans="1:25" ht="16.5" customHeight="1">
      <c r="A91" s="60" t="s">
        <v>227</v>
      </c>
      <c r="B91" s="76" t="s">
        <v>228</v>
      </c>
      <c r="C91" s="70" t="e">
        <f t="shared" si="36"/>
        <v>#REF!</v>
      </c>
      <c r="D91" s="70" t="e">
        <f t="shared" si="37"/>
        <v>#REF!</v>
      </c>
      <c r="E91" s="56" t="e">
        <f t="shared" si="38"/>
        <v>#REF!</v>
      </c>
      <c r="F91" s="70"/>
      <c r="G91" s="70" t="e">
        <f t="shared" si="39"/>
        <v>#REF!</v>
      </c>
      <c r="H91" s="70" t="e">
        <f t="shared" si="40"/>
        <v>#REF!</v>
      </c>
      <c r="I91" s="56" t="e">
        <f t="shared" si="41"/>
        <v>#REF!</v>
      </c>
      <c r="J91" s="70"/>
      <c r="K91" s="70" t="e">
        <f t="shared" si="42"/>
        <v>#REF!</v>
      </c>
      <c r="L91" s="70" t="e">
        <f t="shared" si="43"/>
        <v>#REF!</v>
      </c>
      <c r="M91" s="56" t="e">
        <f t="shared" si="44"/>
        <v>#REF!</v>
      </c>
      <c r="N91" s="56"/>
      <c r="O91" s="70" t="e">
        <f t="shared" si="45"/>
        <v>#REF!</v>
      </c>
      <c r="P91" s="70" t="e">
        <f t="shared" si="46"/>
        <v>#REF!</v>
      </c>
      <c r="Q91" s="56" t="e">
        <f t="shared" si="47"/>
        <v>#REF!</v>
      </c>
      <c r="R91" s="56"/>
      <c r="S91" s="70" t="e">
        <f t="shared" si="48"/>
        <v>#REF!</v>
      </c>
      <c r="T91" s="70" t="e">
        <f t="shared" si="49"/>
        <v>#REF!</v>
      </c>
      <c r="U91" s="56" t="e">
        <f t="shared" si="50"/>
        <v>#REF!</v>
      </c>
      <c r="V91" s="56"/>
      <c r="W91" s="88" t="e">
        <f t="shared" si="51"/>
        <v>#REF!</v>
      </c>
      <c r="X91" s="70" t="e">
        <f t="shared" si="52"/>
        <v>#REF!</v>
      </c>
      <c r="Y91" s="56" t="e">
        <f t="shared" si="53"/>
        <v>#REF!</v>
      </c>
    </row>
    <row r="92" spans="1:25" ht="16.5" customHeight="1">
      <c r="A92" s="60" t="s">
        <v>229</v>
      </c>
      <c r="B92" s="76" t="s">
        <v>230</v>
      </c>
      <c r="C92" s="70" t="e">
        <f t="shared" si="36"/>
        <v>#REF!</v>
      </c>
      <c r="D92" s="70" t="e">
        <f t="shared" si="37"/>
        <v>#REF!</v>
      </c>
      <c r="E92" s="56" t="e">
        <f t="shared" si="38"/>
        <v>#REF!</v>
      </c>
      <c r="F92" s="70"/>
      <c r="G92" s="70" t="e">
        <f t="shared" si="39"/>
        <v>#REF!</v>
      </c>
      <c r="H92" s="70" t="e">
        <f t="shared" si="40"/>
        <v>#REF!</v>
      </c>
      <c r="I92" s="56" t="e">
        <f t="shared" si="41"/>
        <v>#REF!</v>
      </c>
      <c r="J92" s="70"/>
      <c r="K92" s="70" t="e">
        <f t="shared" si="42"/>
        <v>#REF!</v>
      </c>
      <c r="L92" s="70" t="e">
        <f t="shared" si="43"/>
        <v>#REF!</v>
      </c>
      <c r="M92" s="56" t="e">
        <f t="shared" si="44"/>
        <v>#REF!</v>
      </c>
      <c r="N92" s="56"/>
      <c r="O92" s="70" t="e">
        <f t="shared" si="45"/>
        <v>#REF!</v>
      </c>
      <c r="P92" s="70" t="e">
        <f t="shared" si="46"/>
        <v>#REF!</v>
      </c>
      <c r="Q92" s="56" t="e">
        <f t="shared" si="47"/>
        <v>#REF!</v>
      </c>
      <c r="R92" s="56"/>
      <c r="S92" s="70" t="e">
        <f t="shared" si="48"/>
        <v>#REF!</v>
      </c>
      <c r="T92" s="70" t="e">
        <f t="shared" si="49"/>
        <v>#REF!</v>
      </c>
      <c r="U92" s="56" t="e">
        <f t="shared" si="50"/>
        <v>#REF!</v>
      </c>
      <c r="V92" s="56"/>
      <c r="W92" s="88" t="e">
        <f t="shared" si="51"/>
        <v>#REF!</v>
      </c>
      <c r="X92" s="70" t="e">
        <f t="shared" si="52"/>
        <v>#REF!</v>
      </c>
      <c r="Y92" s="56" t="e">
        <f t="shared" si="53"/>
        <v>#REF!</v>
      </c>
    </row>
    <row r="93" spans="1:25" ht="16.5" customHeight="1">
      <c r="A93" s="60" t="s">
        <v>233</v>
      </c>
      <c r="B93" s="76" t="s">
        <v>234</v>
      </c>
      <c r="C93" s="70" t="e">
        <f t="shared" si="36"/>
        <v>#REF!</v>
      </c>
      <c r="D93" s="70" t="e">
        <f t="shared" si="37"/>
        <v>#REF!</v>
      </c>
      <c r="E93" s="56" t="e">
        <f t="shared" si="38"/>
        <v>#REF!</v>
      </c>
      <c r="F93" s="70"/>
      <c r="G93" s="70" t="e">
        <f t="shared" si="39"/>
        <v>#REF!</v>
      </c>
      <c r="H93" s="70" t="e">
        <f t="shared" si="40"/>
        <v>#REF!</v>
      </c>
      <c r="I93" s="56" t="e">
        <f t="shared" si="41"/>
        <v>#REF!</v>
      </c>
      <c r="J93" s="70"/>
      <c r="K93" s="70" t="e">
        <f t="shared" si="42"/>
        <v>#REF!</v>
      </c>
      <c r="L93" s="70" t="e">
        <f t="shared" si="43"/>
        <v>#REF!</v>
      </c>
      <c r="M93" s="56" t="e">
        <f t="shared" si="44"/>
        <v>#REF!</v>
      </c>
      <c r="N93" s="56"/>
      <c r="O93" s="70" t="e">
        <f t="shared" si="45"/>
        <v>#REF!</v>
      </c>
      <c r="P93" s="70" t="e">
        <f t="shared" si="46"/>
        <v>#REF!</v>
      </c>
      <c r="Q93" s="56" t="e">
        <f t="shared" si="47"/>
        <v>#REF!</v>
      </c>
      <c r="R93" s="56"/>
      <c r="S93" s="70" t="e">
        <f t="shared" si="48"/>
        <v>#REF!</v>
      </c>
      <c r="T93" s="70" t="e">
        <f t="shared" si="49"/>
        <v>#REF!</v>
      </c>
      <c r="U93" s="56" t="e">
        <f t="shared" si="50"/>
        <v>#REF!</v>
      </c>
      <c r="V93" s="56"/>
      <c r="W93" s="88" t="e">
        <f t="shared" si="51"/>
        <v>#REF!</v>
      </c>
      <c r="X93" s="70" t="e">
        <f t="shared" si="52"/>
        <v>#REF!</v>
      </c>
      <c r="Y93" s="56" t="e">
        <f t="shared" si="53"/>
        <v>#REF!</v>
      </c>
    </row>
    <row r="94" spans="1:25" ht="16.5" customHeight="1">
      <c r="A94" s="60" t="s">
        <v>235</v>
      </c>
      <c r="B94" s="76" t="s">
        <v>236</v>
      </c>
      <c r="C94" s="70" t="e">
        <f t="shared" si="36"/>
        <v>#REF!</v>
      </c>
      <c r="D94" s="70" t="e">
        <f t="shared" si="37"/>
        <v>#REF!</v>
      </c>
      <c r="E94" s="56" t="e">
        <f t="shared" si="38"/>
        <v>#REF!</v>
      </c>
      <c r="F94" s="70"/>
      <c r="G94" s="70" t="e">
        <f t="shared" si="39"/>
        <v>#REF!</v>
      </c>
      <c r="H94" s="70" t="e">
        <f t="shared" si="40"/>
        <v>#REF!</v>
      </c>
      <c r="I94" s="56" t="e">
        <f t="shared" si="41"/>
        <v>#REF!</v>
      </c>
      <c r="J94" s="70"/>
      <c r="K94" s="70" t="e">
        <f t="shared" si="42"/>
        <v>#REF!</v>
      </c>
      <c r="L94" s="70" t="e">
        <f t="shared" si="43"/>
        <v>#REF!</v>
      </c>
      <c r="M94" s="56" t="e">
        <f t="shared" si="44"/>
        <v>#REF!</v>
      </c>
      <c r="N94" s="56"/>
      <c r="O94" s="70" t="e">
        <f t="shared" si="45"/>
        <v>#REF!</v>
      </c>
      <c r="P94" s="70" t="e">
        <f t="shared" si="46"/>
        <v>#REF!</v>
      </c>
      <c r="Q94" s="56" t="e">
        <f t="shared" si="47"/>
        <v>#REF!</v>
      </c>
      <c r="R94" s="56"/>
      <c r="S94" s="70" t="e">
        <f t="shared" si="48"/>
        <v>#REF!</v>
      </c>
      <c r="T94" s="70" t="e">
        <f t="shared" si="49"/>
        <v>#REF!</v>
      </c>
      <c r="U94" s="56" t="e">
        <f t="shared" si="50"/>
        <v>#REF!</v>
      </c>
      <c r="V94" s="56"/>
      <c r="W94" s="88" t="e">
        <f t="shared" si="51"/>
        <v>#REF!</v>
      </c>
      <c r="X94" s="70" t="e">
        <f t="shared" si="52"/>
        <v>#REF!</v>
      </c>
      <c r="Y94" s="56" t="e">
        <f t="shared" si="53"/>
        <v>#REF!</v>
      </c>
    </row>
    <row r="95" spans="1:25" ht="16.5" customHeight="1">
      <c r="A95" s="60" t="s">
        <v>237</v>
      </c>
      <c r="B95" s="76" t="s">
        <v>238</v>
      </c>
      <c r="C95" s="70" t="e">
        <f t="shared" si="36"/>
        <v>#REF!</v>
      </c>
      <c r="D95" s="70" t="e">
        <f t="shared" si="37"/>
        <v>#REF!</v>
      </c>
      <c r="E95" s="56" t="e">
        <f t="shared" si="38"/>
        <v>#REF!</v>
      </c>
      <c r="F95" s="70"/>
      <c r="G95" s="70" t="e">
        <f t="shared" si="39"/>
        <v>#REF!</v>
      </c>
      <c r="H95" s="70" t="e">
        <f t="shared" si="40"/>
        <v>#REF!</v>
      </c>
      <c r="I95" s="56" t="e">
        <f t="shared" si="41"/>
        <v>#REF!</v>
      </c>
      <c r="J95" s="70"/>
      <c r="K95" s="70" t="e">
        <f t="shared" si="42"/>
        <v>#REF!</v>
      </c>
      <c r="L95" s="70" t="e">
        <f t="shared" si="43"/>
        <v>#REF!</v>
      </c>
      <c r="M95" s="56" t="e">
        <f t="shared" si="44"/>
        <v>#REF!</v>
      </c>
      <c r="N95" s="56"/>
      <c r="O95" s="70" t="e">
        <f t="shared" si="45"/>
        <v>#REF!</v>
      </c>
      <c r="P95" s="70" t="e">
        <f t="shared" si="46"/>
        <v>#REF!</v>
      </c>
      <c r="Q95" s="56" t="e">
        <f t="shared" si="47"/>
        <v>#REF!</v>
      </c>
      <c r="R95" s="56"/>
      <c r="S95" s="70" t="e">
        <f t="shared" si="48"/>
        <v>#REF!</v>
      </c>
      <c r="T95" s="70" t="e">
        <f t="shared" si="49"/>
        <v>#REF!</v>
      </c>
      <c r="U95" s="56" t="e">
        <f t="shared" si="50"/>
        <v>#REF!</v>
      </c>
      <c r="V95" s="56"/>
      <c r="W95" s="88" t="e">
        <f t="shared" si="51"/>
        <v>#REF!</v>
      </c>
      <c r="X95" s="70" t="e">
        <f t="shared" si="52"/>
        <v>#REF!</v>
      </c>
      <c r="Y95" s="56" t="e">
        <f t="shared" si="53"/>
        <v>#REF!</v>
      </c>
    </row>
    <row r="96" spans="1:25" ht="16.5" customHeight="1">
      <c r="A96" s="60" t="s">
        <v>243</v>
      </c>
      <c r="B96" s="76" t="s">
        <v>244</v>
      </c>
      <c r="C96" s="70" t="e">
        <f t="shared" si="36"/>
        <v>#REF!</v>
      </c>
      <c r="D96" s="70" t="e">
        <f t="shared" si="37"/>
        <v>#REF!</v>
      </c>
      <c r="E96" s="56" t="e">
        <f t="shared" si="38"/>
        <v>#REF!</v>
      </c>
      <c r="F96" s="70"/>
      <c r="G96" s="70" t="e">
        <f t="shared" si="39"/>
        <v>#REF!</v>
      </c>
      <c r="H96" s="70" t="e">
        <f t="shared" si="40"/>
        <v>#REF!</v>
      </c>
      <c r="I96" s="56" t="e">
        <f t="shared" si="41"/>
        <v>#REF!</v>
      </c>
      <c r="J96" s="70"/>
      <c r="K96" s="70" t="e">
        <f t="shared" si="42"/>
        <v>#REF!</v>
      </c>
      <c r="L96" s="70" t="e">
        <f t="shared" si="43"/>
        <v>#REF!</v>
      </c>
      <c r="M96" s="56" t="e">
        <f t="shared" si="44"/>
        <v>#REF!</v>
      </c>
      <c r="N96" s="56"/>
      <c r="O96" s="70" t="e">
        <f t="shared" si="45"/>
        <v>#REF!</v>
      </c>
      <c r="P96" s="70" t="e">
        <f t="shared" si="46"/>
        <v>#REF!</v>
      </c>
      <c r="Q96" s="56" t="e">
        <f t="shared" si="47"/>
        <v>#REF!</v>
      </c>
      <c r="R96" s="56"/>
      <c r="S96" s="70" t="e">
        <f t="shared" si="48"/>
        <v>#REF!</v>
      </c>
      <c r="T96" s="70" t="e">
        <f t="shared" si="49"/>
        <v>#REF!</v>
      </c>
      <c r="U96" s="56" t="e">
        <f t="shared" si="50"/>
        <v>#REF!</v>
      </c>
      <c r="V96" s="56"/>
      <c r="W96" s="88" t="e">
        <f t="shared" si="51"/>
        <v>#REF!</v>
      </c>
      <c r="X96" s="70" t="e">
        <f t="shared" si="52"/>
        <v>#REF!</v>
      </c>
      <c r="Y96" s="56" t="e">
        <f t="shared" si="53"/>
        <v>#REF!</v>
      </c>
    </row>
    <row r="97" spans="1:25" ht="16.5" customHeight="1">
      <c r="A97" s="60" t="s">
        <v>245</v>
      </c>
      <c r="B97" s="76" t="s">
        <v>246</v>
      </c>
      <c r="C97" s="70" t="e">
        <f t="shared" si="36"/>
        <v>#REF!</v>
      </c>
      <c r="D97" s="70" t="e">
        <f t="shared" si="37"/>
        <v>#REF!</v>
      </c>
      <c r="E97" s="56" t="e">
        <f t="shared" si="38"/>
        <v>#REF!</v>
      </c>
      <c r="F97" s="70"/>
      <c r="G97" s="70" t="e">
        <f t="shared" si="39"/>
        <v>#REF!</v>
      </c>
      <c r="H97" s="70" t="e">
        <f t="shared" si="40"/>
        <v>#REF!</v>
      </c>
      <c r="I97" s="56" t="e">
        <f t="shared" si="41"/>
        <v>#REF!</v>
      </c>
      <c r="J97" s="70"/>
      <c r="K97" s="70" t="e">
        <f t="shared" si="42"/>
        <v>#REF!</v>
      </c>
      <c r="L97" s="70" t="e">
        <f t="shared" si="43"/>
        <v>#REF!</v>
      </c>
      <c r="M97" s="56" t="e">
        <f t="shared" si="44"/>
        <v>#REF!</v>
      </c>
      <c r="N97" s="56"/>
      <c r="O97" s="70" t="e">
        <f t="shared" si="45"/>
        <v>#REF!</v>
      </c>
      <c r="P97" s="70" t="e">
        <f t="shared" si="46"/>
        <v>#REF!</v>
      </c>
      <c r="Q97" s="56" t="e">
        <f t="shared" si="47"/>
        <v>#REF!</v>
      </c>
      <c r="R97" s="56"/>
      <c r="S97" s="70" t="e">
        <f t="shared" si="48"/>
        <v>#REF!</v>
      </c>
      <c r="T97" s="70" t="e">
        <f t="shared" si="49"/>
        <v>#REF!</v>
      </c>
      <c r="U97" s="56" t="e">
        <f t="shared" si="50"/>
        <v>#REF!</v>
      </c>
      <c r="V97" s="56"/>
      <c r="W97" s="88" t="e">
        <f t="shared" si="51"/>
        <v>#REF!</v>
      </c>
      <c r="X97" s="70" t="e">
        <f t="shared" si="52"/>
        <v>#REF!</v>
      </c>
      <c r="Y97" s="56" t="e">
        <f t="shared" si="53"/>
        <v>#REF!</v>
      </c>
    </row>
    <row r="98" spans="1:25" ht="16.5" customHeight="1">
      <c r="A98" s="60" t="s">
        <v>247</v>
      </c>
      <c r="B98" s="61" t="s">
        <v>389</v>
      </c>
      <c r="C98" s="70" t="e">
        <f t="shared" si="36"/>
        <v>#REF!</v>
      </c>
      <c r="D98" s="70" t="e">
        <f t="shared" si="37"/>
        <v>#REF!</v>
      </c>
      <c r="E98" s="56" t="e">
        <f t="shared" si="38"/>
        <v>#REF!</v>
      </c>
      <c r="F98" s="70"/>
      <c r="G98" s="70" t="e">
        <f t="shared" si="39"/>
        <v>#REF!</v>
      </c>
      <c r="H98" s="70" t="e">
        <f t="shared" si="40"/>
        <v>#REF!</v>
      </c>
      <c r="I98" s="56" t="e">
        <f t="shared" si="41"/>
        <v>#REF!</v>
      </c>
      <c r="J98" s="70"/>
      <c r="K98" s="70" t="e">
        <f t="shared" si="42"/>
        <v>#REF!</v>
      </c>
      <c r="L98" s="70" t="e">
        <f t="shared" si="43"/>
        <v>#REF!</v>
      </c>
      <c r="M98" s="56" t="e">
        <f t="shared" si="44"/>
        <v>#REF!</v>
      </c>
      <c r="N98" s="56"/>
      <c r="O98" s="70" t="e">
        <f t="shared" si="45"/>
        <v>#REF!</v>
      </c>
      <c r="P98" s="70" t="e">
        <f t="shared" si="46"/>
        <v>#REF!</v>
      </c>
      <c r="Q98" s="56" t="e">
        <f t="shared" si="47"/>
        <v>#REF!</v>
      </c>
      <c r="R98" s="56"/>
      <c r="S98" s="70" t="e">
        <f t="shared" si="48"/>
        <v>#REF!</v>
      </c>
      <c r="T98" s="70" t="e">
        <f t="shared" si="49"/>
        <v>#REF!</v>
      </c>
      <c r="U98" s="56" t="e">
        <f t="shared" si="50"/>
        <v>#REF!</v>
      </c>
      <c r="V98" s="56"/>
      <c r="W98" s="88" t="e">
        <f t="shared" si="51"/>
        <v>#REF!</v>
      </c>
      <c r="X98" s="70" t="e">
        <f t="shared" si="52"/>
        <v>#REF!</v>
      </c>
      <c r="Y98" s="56" t="e">
        <f t="shared" si="53"/>
        <v>#REF!</v>
      </c>
    </row>
    <row r="99" spans="1:25" ht="16.5" customHeight="1">
      <c r="A99" s="60" t="s">
        <v>14</v>
      </c>
      <c r="B99" s="61" t="s">
        <v>15</v>
      </c>
      <c r="C99" s="70" t="e">
        <f t="shared" si="36"/>
        <v>#REF!</v>
      </c>
      <c r="D99" s="70" t="e">
        <f t="shared" si="37"/>
        <v>#REF!</v>
      </c>
      <c r="E99" s="56" t="e">
        <f t="shared" si="38"/>
        <v>#REF!</v>
      </c>
      <c r="F99" s="70"/>
      <c r="G99" s="70" t="e">
        <f t="shared" si="39"/>
        <v>#REF!</v>
      </c>
      <c r="H99" s="70" t="e">
        <f t="shared" si="40"/>
        <v>#REF!</v>
      </c>
      <c r="I99" s="56" t="e">
        <f t="shared" si="41"/>
        <v>#REF!</v>
      </c>
      <c r="J99" s="70"/>
      <c r="K99" s="70" t="e">
        <f t="shared" si="42"/>
        <v>#REF!</v>
      </c>
      <c r="L99" s="70" t="e">
        <f t="shared" si="43"/>
        <v>#REF!</v>
      </c>
      <c r="M99" s="56" t="e">
        <f t="shared" si="44"/>
        <v>#REF!</v>
      </c>
      <c r="N99" s="56"/>
      <c r="O99" s="70" t="e">
        <f t="shared" si="45"/>
        <v>#REF!</v>
      </c>
      <c r="P99" s="70" t="e">
        <f t="shared" si="46"/>
        <v>#REF!</v>
      </c>
      <c r="Q99" s="56" t="e">
        <f t="shared" si="47"/>
        <v>#REF!</v>
      </c>
      <c r="R99" s="56"/>
      <c r="S99" s="70" t="e">
        <f t="shared" si="48"/>
        <v>#REF!</v>
      </c>
      <c r="T99" s="70" t="e">
        <f t="shared" si="49"/>
        <v>#REF!</v>
      </c>
      <c r="U99" s="56" t="e">
        <f t="shared" si="50"/>
        <v>#REF!</v>
      </c>
      <c r="V99" s="56"/>
      <c r="W99" s="88" t="e">
        <f t="shared" si="51"/>
        <v>#REF!</v>
      </c>
      <c r="X99" s="70" t="e">
        <f t="shared" si="52"/>
        <v>#REF!</v>
      </c>
      <c r="Y99" s="56" t="e">
        <f t="shared" si="53"/>
        <v>#REF!</v>
      </c>
    </row>
    <row r="100" spans="1:25" ht="16.5" customHeight="1">
      <c r="A100" s="60" t="s">
        <v>35</v>
      </c>
      <c r="B100" s="76" t="s">
        <v>36</v>
      </c>
      <c r="C100" s="70" t="e">
        <f t="shared" ref="C100:C123" si="54">VLOOKUP(A100,MedicaidR,7,FALSE)</f>
        <v>#REF!</v>
      </c>
      <c r="D100" s="70" t="e">
        <f t="shared" ref="D100:D123" si="55">VLOOKUP(A100,Pop,14,FALSE)</f>
        <v>#REF!</v>
      </c>
      <c r="E100" s="56" t="e">
        <f t="shared" ref="E100:E123" si="56">+C100/D100</f>
        <v>#REF!</v>
      </c>
      <c r="F100" s="70"/>
      <c r="G100" s="70" t="e">
        <f t="shared" ref="G100:G123" si="57">VLOOKUP(A100,MedicaidR,8,FALSE)</f>
        <v>#REF!</v>
      </c>
      <c r="H100" s="70" t="e">
        <f t="shared" ref="H100:H123" si="58">VLOOKUP(A100,Pop,15,FALSE)</f>
        <v>#REF!</v>
      </c>
      <c r="I100" s="56" t="e">
        <f t="shared" ref="I100:I123" si="59">+G100/H100</f>
        <v>#REF!</v>
      </c>
      <c r="J100" s="70"/>
      <c r="K100" s="70" t="e">
        <f t="shared" ref="K100:K123" si="60">VLOOKUP(A100,MedicaidR,9,FALSE)</f>
        <v>#REF!</v>
      </c>
      <c r="L100" s="70" t="e">
        <f t="shared" ref="L100:L123" si="61">VLOOKUP(A100,Pop,16,FALSE)</f>
        <v>#REF!</v>
      </c>
      <c r="M100" s="56" t="e">
        <f t="shared" ref="M100:M123" si="62">+K100/L100</f>
        <v>#REF!</v>
      </c>
      <c r="N100" s="56"/>
      <c r="O100" s="70" t="e">
        <f t="shared" ref="O100:O123" si="63">VLOOKUP(A100,MedicaidR,3,FALSE)</f>
        <v>#REF!</v>
      </c>
      <c r="P100" s="70" t="e">
        <f t="shared" ref="P100:P123" si="64">VLOOKUP(A100,Pop,8,FALSE)</f>
        <v>#REF!</v>
      </c>
      <c r="Q100" s="56" t="e">
        <f t="shared" ref="Q100:Q123" si="65">+O100/P100</f>
        <v>#REF!</v>
      </c>
      <c r="R100" s="56"/>
      <c r="S100" s="70" t="e">
        <f t="shared" ref="S100:S123" si="66">VLOOKUP(A100,MedicaidR,4,FALSE)</f>
        <v>#REF!</v>
      </c>
      <c r="T100" s="70" t="e">
        <f t="shared" ref="T100:T123" si="67">VLOOKUP(A100,Pop,9,FALSE)</f>
        <v>#REF!</v>
      </c>
      <c r="U100" s="56" t="e">
        <f t="shared" ref="U100:U123" si="68">+S100/T100</f>
        <v>#REF!</v>
      </c>
      <c r="V100" s="56"/>
      <c r="W100" s="88" t="e">
        <f t="shared" ref="W100:W123" si="69">VLOOKUP(A100,MedicaidR,5,FALSE)</f>
        <v>#REF!</v>
      </c>
      <c r="X100" s="70" t="e">
        <f t="shared" ref="X100:X123" si="70">VLOOKUP(A100,Pop,10,FALSE)</f>
        <v>#REF!</v>
      </c>
      <c r="Y100" s="56" t="e">
        <f t="shared" ref="Y100:Y123" si="71">+W100/X100</f>
        <v>#REF!</v>
      </c>
    </row>
    <row r="101" spans="1:25" ht="16.5" customHeight="1">
      <c r="A101" s="60" t="s">
        <v>53</v>
      </c>
      <c r="B101" s="76" t="s">
        <v>54</v>
      </c>
      <c r="C101" s="70" t="e">
        <f t="shared" si="54"/>
        <v>#REF!</v>
      </c>
      <c r="D101" s="70" t="e">
        <f t="shared" si="55"/>
        <v>#REF!</v>
      </c>
      <c r="E101" s="56" t="e">
        <f t="shared" si="56"/>
        <v>#REF!</v>
      </c>
      <c r="F101" s="70"/>
      <c r="G101" s="70" t="e">
        <f t="shared" si="57"/>
        <v>#REF!</v>
      </c>
      <c r="H101" s="70" t="e">
        <f t="shared" si="58"/>
        <v>#REF!</v>
      </c>
      <c r="I101" s="56" t="e">
        <f t="shared" si="59"/>
        <v>#REF!</v>
      </c>
      <c r="J101" s="70"/>
      <c r="K101" s="70" t="e">
        <f t="shared" si="60"/>
        <v>#REF!</v>
      </c>
      <c r="L101" s="70" t="e">
        <f t="shared" si="61"/>
        <v>#REF!</v>
      </c>
      <c r="M101" s="56" t="e">
        <f t="shared" si="62"/>
        <v>#REF!</v>
      </c>
      <c r="N101" s="56"/>
      <c r="O101" s="70" t="e">
        <f t="shared" si="63"/>
        <v>#REF!</v>
      </c>
      <c r="P101" s="70" t="e">
        <f t="shared" si="64"/>
        <v>#REF!</v>
      </c>
      <c r="Q101" s="56" t="e">
        <f t="shared" si="65"/>
        <v>#REF!</v>
      </c>
      <c r="R101" s="56"/>
      <c r="S101" s="70" t="e">
        <f t="shared" si="66"/>
        <v>#REF!</v>
      </c>
      <c r="T101" s="70" t="e">
        <f t="shared" si="67"/>
        <v>#REF!</v>
      </c>
      <c r="U101" s="56" t="e">
        <f t="shared" si="68"/>
        <v>#REF!</v>
      </c>
      <c r="V101" s="56"/>
      <c r="W101" s="88" t="e">
        <f t="shared" si="69"/>
        <v>#REF!</v>
      </c>
      <c r="X101" s="70" t="e">
        <f t="shared" si="70"/>
        <v>#REF!</v>
      </c>
      <c r="Y101" s="56" t="e">
        <f t="shared" si="71"/>
        <v>#REF!</v>
      </c>
    </row>
    <row r="102" spans="1:25" ht="16.5" customHeight="1">
      <c r="A102" s="60" t="s">
        <v>55</v>
      </c>
      <c r="B102" s="61" t="s">
        <v>56</v>
      </c>
      <c r="C102" s="70" t="e">
        <f t="shared" si="54"/>
        <v>#REF!</v>
      </c>
      <c r="D102" s="70" t="e">
        <f t="shared" si="55"/>
        <v>#REF!</v>
      </c>
      <c r="E102" s="56" t="e">
        <f t="shared" si="56"/>
        <v>#REF!</v>
      </c>
      <c r="F102" s="70"/>
      <c r="G102" s="70" t="e">
        <f t="shared" si="57"/>
        <v>#REF!</v>
      </c>
      <c r="H102" s="70" t="e">
        <f t="shared" si="58"/>
        <v>#REF!</v>
      </c>
      <c r="I102" s="56" t="e">
        <f t="shared" si="59"/>
        <v>#REF!</v>
      </c>
      <c r="J102" s="70"/>
      <c r="K102" s="70" t="e">
        <f t="shared" si="60"/>
        <v>#REF!</v>
      </c>
      <c r="L102" s="70" t="e">
        <f t="shared" si="61"/>
        <v>#REF!</v>
      </c>
      <c r="M102" s="56" t="e">
        <f t="shared" si="62"/>
        <v>#REF!</v>
      </c>
      <c r="N102" s="56"/>
      <c r="O102" s="70" t="e">
        <f t="shared" si="63"/>
        <v>#REF!</v>
      </c>
      <c r="P102" s="70" t="e">
        <f t="shared" si="64"/>
        <v>#REF!</v>
      </c>
      <c r="Q102" s="56" t="e">
        <f t="shared" si="65"/>
        <v>#REF!</v>
      </c>
      <c r="R102" s="56"/>
      <c r="S102" s="70" t="e">
        <f t="shared" si="66"/>
        <v>#REF!</v>
      </c>
      <c r="T102" s="70" t="e">
        <f t="shared" si="67"/>
        <v>#REF!</v>
      </c>
      <c r="U102" s="56" t="e">
        <f t="shared" si="68"/>
        <v>#REF!</v>
      </c>
      <c r="V102" s="56"/>
      <c r="W102" s="88" t="e">
        <f t="shared" si="69"/>
        <v>#REF!</v>
      </c>
      <c r="X102" s="70" t="e">
        <f t="shared" si="70"/>
        <v>#REF!</v>
      </c>
      <c r="Y102" s="56" t="e">
        <f t="shared" si="71"/>
        <v>#REF!</v>
      </c>
    </row>
    <row r="103" spans="1:25" ht="16.5" customHeight="1">
      <c r="A103" s="60" t="s">
        <v>67</v>
      </c>
      <c r="B103" s="76" t="s">
        <v>68</v>
      </c>
      <c r="C103" s="70" t="e">
        <f t="shared" si="54"/>
        <v>#REF!</v>
      </c>
      <c r="D103" s="70" t="e">
        <f t="shared" si="55"/>
        <v>#REF!</v>
      </c>
      <c r="E103" s="56" t="e">
        <f t="shared" si="56"/>
        <v>#REF!</v>
      </c>
      <c r="F103" s="70"/>
      <c r="G103" s="70" t="e">
        <f t="shared" si="57"/>
        <v>#REF!</v>
      </c>
      <c r="H103" s="70" t="e">
        <f t="shared" si="58"/>
        <v>#REF!</v>
      </c>
      <c r="I103" s="56" t="e">
        <f t="shared" si="59"/>
        <v>#REF!</v>
      </c>
      <c r="J103" s="70"/>
      <c r="K103" s="70" t="e">
        <f t="shared" si="60"/>
        <v>#REF!</v>
      </c>
      <c r="L103" s="70" t="e">
        <f t="shared" si="61"/>
        <v>#REF!</v>
      </c>
      <c r="M103" s="56" t="e">
        <f t="shared" si="62"/>
        <v>#REF!</v>
      </c>
      <c r="N103" s="56"/>
      <c r="O103" s="70" t="e">
        <f t="shared" si="63"/>
        <v>#REF!</v>
      </c>
      <c r="P103" s="70" t="e">
        <f t="shared" si="64"/>
        <v>#REF!</v>
      </c>
      <c r="Q103" s="56" t="e">
        <f t="shared" si="65"/>
        <v>#REF!</v>
      </c>
      <c r="R103" s="56"/>
      <c r="S103" s="70" t="e">
        <f t="shared" si="66"/>
        <v>#REF!</v>
      </c>
      <c r="T103" s="70" t="e">
        <f t="shared" si="67"/>
        <v>#REF!</v>
      </c>
      <c r="U103" s="56" t="e">
        <f t="shared" si="68"/>
        <v>#REF!</v>
      </c>
      <c r="V103" s="56"/>
      <c r="W103" s="88" t="e">
        <f t="shared" si="69"/>
        <v>#REF!</v>
      </c>
      <c r="X103" s="70" t="e">
        <f t="shared" si="70"/>
        <v>#REF!</v>
      </c>
      <c r="Y103" s="56" t="e">
        <f t="shared" si="71"/>
        <v>#REF!</v>
      </c>
    </row>
    <row r="104" spans="1:25" ht="16.5" customHeight="1">
      <c r="A104" s="60" t="s">
        <v>83</v>
      </c>
      <c r="B104" s="76" t="s">
        <v>390</v>
      </c>
      <c r="C104" s="70" t="e">
        <f t="shared" si="54"/>
        <v>#REF!</v>
      </c>
      <c r="D104" s="70" t="e">
        <f t="shared" si="55"/>
        <v>#REF!</v>
      </c>
      <c r="E104" s="56" t="e">
        <f t="shared" si="56"/>
        <v>#REF!</v>
      </c>
      <c r="F104" s="70"/>
      <c r="G104" s="70" t="e">
        <f t="shared" si="57"/>
        <v>#REF!</v>
      </c>
      <c r="H104" s="70" t="e">
        <f t="shared" si="58"/>
        <v>#REF!</v>
      </c>
      <c r="I104" s="56" t="e">
        <f t="shared" si="59"/>
        <v>#REF!</v>
      </c>
      <c r="J104" s="70"/>
      <c r="K104" s="70" t="e">
        <f t="shared" si="60"/>
        <v>#REF!</v>
      </c>
      <c r="L104" s="70" t="e">
        <f t="shared" si="61"/>
        <v>#REF!</v>
      </c>
      <c r="M104" s="56" t="e">
        <f t="shared" si="62"/>
        <v>#REF!</v>
      </c>
      <c r="N104" s="56"/>
      <c r="O104" s="70" t="e">
        <f t="shared" si="63"/>
        <v>#REF!</v>
      </c>
      <c r="P104" s="70" t="e">
        <f t="shared" si="64"/>
        <v>#REF!</v>
      </c>
      <c r="Q104" s="56" t="e">
        <f t="shared" si="65"/>
        <v>#REF!</v>
      </c>
      <c r="R104" s="56"/>
      <c r="S104" s="70" t="e">
        <f t="shared" si="66"/>
        <v>#REF!</v>
      </c>
      <c r="T104" s="70" t="e">
        <f t="shared" si="67"/>
        <v>#REF!</v>
      </c>
      <c r="U104" s="56" t="e">
        <f t="shared" si="68"/>
        <v>#REF!</v>
      </c>
      <c r="V104" s="56"/>
      <c r="W104" s="88" t="e">
        <f t="shared" si="69"/>
        <v>#REF!</v>
      </c>
      <c r="X104" s="70" t="e">
        <f t="shared" si="70"/>
        <v>#REF!</v>
      </c>
      <c r="Y104" s="56" t="e">
        <f t="shared" si="71"/>
        <v>#REF!</v>
      </c>
    </row>
    <row r="105" spans="1:25" ht="16.5" customHeight="1">
      <c r="A105" s="60" t="s">
        <v>89</v>
      </c>
      <c r="B105" s="76" t="s">
        <v>90</v>
      </c>
      <c r="C105" s="70" t="e">
        <f t="shared" si="54"/>
        <v>#REF!</v>
      </c>
      <c r="D105" s="70" t="e">
        <f t="shared" si="55"/>
        <v>#REF!</v>
      </c>
      <c r="E105" s="56" t="e">
        <f t="shared" si="56"/>
        <v>#REF!</v>
      </c>
      <c r="F105" s="70"/>
      <c r="G105" s="70" t="e">
        <f t="shared" si="57"/>
        <v>#REF!</v>
      </c>
      <c r="H105" s="70" t="e">
        <f t="shared" si="58"/>
        <v>#REF!</v>
      </c>
      <c r="I105" s="56" t="e">
        <f t="shared" si="59"/>
        <v>#REF!</v>
      </c>
      <c r="J105" s="70"/>
      <c r="K105" s="70" t="e">
        <f t="shared" si="60"/>
        <v>#REF!</v>
      </c>
      <c r="L105" s="70" t="e">
        <f t="shared" si="61"/>
        <v>#REF!</v>
      </c>
      <c r="M105" s="56" t="e">
        <f t="shared" si="62"/>
        <v>#REF!</v>
      </c>
      <c r="N105" s="56"/>
      <c r="O105" s="70" t="e">
        <f t="shared" si="63"/>
        <v>#REF!</v>
      </c>
      <c r="P105" s="70" t="e">
        <f t="shared" si="64"/>
        <v>#REF!</v>
      </c>
      <c r="Q105" s="56" t="e">
        <f t="shared" si="65"/>
        <v>#REF!</v>
      </c>
      <c r="R105" s="56"/>
      <c r="S105" s="70" t="e">
        <f t="shared" si="66"/>
        <v>#REF!</v>
      </c>
      <c r="T105" s="70" t="e">
        <f t="shared" si="67"/>
        <v>#REF!</v>
      </c>
      <c r="U105" s="56" t="e">
        <f t="shared" si="68"/>
        <v>#REF!</v>
      </c>
      <c r="V105" s="56"/>
      <c r="W105" s="88" t="e">
        <f t="shared" si="69"/>
        <v>#REF!</v>
      </c>
      <c r="X105" s="70" t="e">
        <f t="shared" si="70"/>
        <v>#REF!</v>
      </c>
      <c r="Y105" s="56" t="e">
        <f t="shared" si="71"/>
        <v>#REF!</v>
      </c>
    </row>
    <row r="106" spans="1:25" ht="16.5" customHeight="1">
      <c r="A106" s="60" t="s">
        <v>91</v>
      </c>
      <c r="B106" s="76" t="s">
        <v>92</v>
      </c>
      <c r="C106" s="70" t="e">
        <f t="shared" si="54"/>
        <v>#REF!</v>
      </c>
      <c r="D106" s="70" t="e">
        <f t="shared" si="55"/>
        <v>#REF!</v>
      </c>
      <c r="E106" s="56" t="e">
        <f t="shared" si="56"/>
        <v>#REF!</v>
      </c>
      <c r="F106" s="70"/>
      <c r="G106" s="70" t="e">
        <f t="shared" si="57"/>
        <v>#REF!</v>
      </c>
      <c r="H106" s="70" t="e">
        <f t="shared" si="58"/>
        <v>#REF!</v>
      </c>
      <c r="I106" s="56" t="e">
        <f t="shared" si="59"/>
        <v>#REF!</v>
      </c>
      <c r="J106" s="70"/>
      <c r="K106" s="70" t="e">
        <f t="shared" si="60"/>
        <v>#REF!</v>
      </c>
      <c r="L106" s="70" t="e">
        <f t="shared" si="61"/>
        <v>#REF!</v>
      </c>
      <c r="M106" s="56" t="e">
        <f t="shared" si="62"/>
        <v>#REF!</v>
      </c>
      <c r="N106" s="56"/>
      <c r="O106" s="70" t="e">
        <f t="shared" si="63"/>
        <v>#REF!</v>
      </c>
      <c r="P106" s="70" t="e">
        <f t="shared" si="64"/>
        <v>#REF!</v>
      </c>
      <c r="Q106" s="56" t="e">
        <f t="shared" si="65"/>
        <v>#REF!</v>
      </c>
      <c r="R106" s="56"/>
      <c r="S106" s="70" t="e">
        <f t="shared" si="66"/>
        <v>#REF!</v>
      </c>
      <c r="T106" s="70" t="e">
        <f t="shared" si="67"/>
        <v>#REF!</v>
      </c>
      <c r="U106" s="56" t="e">
        <f t="shared" si="68"/>
        <v>#REF!</v>
      </c>
      <c r="V106" s="56"/>
      <c r="W106" s="88" t="e">
        <f t="shared" si="69"/>
        <v>#REF!</v>
      </c>
      <c r="X106" s="70" t="e">
        <f t="shared" si="70"/>
        <v>#REF!</v>
      </c>
      <c r="Y106" s="56" t="e">
        <f t="shared" si="71"/>
        <v>#REF!</v>
      </c>
    </row>
    <row r="107" spans="1:25" ht="16.5" customHeight="1">
      <c r="A107" s="60" t="s">
        <v>107</v>
      </c>
      <c r="B107" s="61" t="s">
        <v>108</v>
      </c>
      <c r="C107" s="70" t="e">
        <f t="shared" si="54"/>
        <v>#REF!</v>
      </c>
      <c r="D107" s="70" t="e">
        <f t="shared" si="55"/>
        <v>#REF!</v>
      </c>
      <c r="E107" s="56" t="e">
        <f t="shared" si="56"/>
        <v>#REF!</v>
      </c>
      <c r="F107" s="70"/>
      <c r="G107" s="70" t="e">
        <f t="shared" si="57"/>
        <v>#REF!</v>
      </c>
      <c r="H107" s="70" t="e">
        <f t="shared" si="58"/>
        <v>#REF!</v>
      </c>
      <c r="I107" s="56" t="e">
        <f t="shared" si="59"/>
        <v>#REF!</v>
      </c>
      <c r="J107" s="70"/>
      <c r="K107" s="70" t="e">
        <f t="shared" si="60"/>
        <v>#REF!</v>
      </c>
      <c r="L107" s="70" t="e">
        <f t="shared" si="61"/>
        <v>#REF!</v>
      </c>
      <c r="M107" s="56" t="e">
        <f t="shared" si="62"/>
        <v>#REF!</v>
      </c>
      <c r="N107" s="56"/>
      <c r="O107" s="70" t="e">
        <f t="shared" si="63"/>
        <v>#REF!</v>
      </c>
      <c r="P107" s="70" t="e">
        <f t="shared" si="64"/>
        <v>#REF!</v>
      </c>
      <c r="Q107" s="56" t="e">
        <f t="shared" si="65"/>
        <v>#REF!</v>
      </c>
      <c r="R107" s="56"/>
      <c r="S107" s="70" t="e">
        <f t="shared" si="66"/>
        <v>#REF!</v>
      </c>
      <c r="T107" s="70" t="e">
        <f t="shared" si="67"/>
        <v>#REF!</v>
      </c>
      <c r="U107" s="56" t="e">
        <f t="shared" si="68"/>
        <v>#REF!</v>
      </c>
      <c r="V107" s="56"/>
      <c r="W107" s="88" t="e">
        <f t="shared" si="69"/>
        <v>#REF!</v>
      </c>
      <c r="X107" s="70" t="e">
        <f t="shared" si="70"/>
        <v>#REF!</v>
      </c>
      <c r="Y107" s="56" t="e">
        <f t="shared" si="71"/>
        <v>#REF!</v>
      </c>
    </row>
    <row r="108" spans="1:25" ht="16.5" customHeight="1">
      <c r="A108" s="60" t="s">
        <v>117</v>
      </c>
      <c r="B108" s="76" t="s">
        <v>118</v>
      </c>
      <c r="C108" s="70" t="e">
        <f t="shared" si="54"/>
        <v>#REF!</v>
      </c>
      <c r="D108" s="70" t="e">
        <f t="shared" si="55"/>
        <v>#REF!</v>
      </c>
      <c r="E108" s="56" t="e">
        <f t="shared" si="56"/>
        <v>#REF!</v>
      </c>
      <c r="F108" s="70"/>
      <c r="G108" s="70" t="e">
        <f t="shared" si="57"/>
        <v>#REF!</v>
      </c>
      <c r="H108" s="70" t="e">
        <f t="shared" si="58"/>
        <v>#REF!</v>
      </c>
      <c r="I108" s="56" t="e">
        <f t="shared" si="59"/>
        <v>#REF!</v>
      </c>
      <c r="J108" s="70"/>
      <c r="K108" s="70" t="e">
        <f t="shared" si="60"/>
        <v>#REF!</v>
      </c>
      <c r="L108" s="70" t="e">
        <f t="shared" si="61"/>
        <v>#REF!</v>
      </c>
      <c r="M108" s="56" t="e">
        <f t="shared" si="62"/>
        <v>#REF!</v>
      </c>
      <c r="N108" s="56"/>
      <c r="O108" s="70" t="e">
        <f t="shared" si="63"/>
        <v>#REF!</v>
      </c>
      <c r="P108" s="70" t="e">
        <f t="shared" si="64"/>
        <v>#REF!</v>
      </c>
      <c r="Q108" s="56" t="e">
        <f t="shared" si="65"/>
        <v>#REF!</v>
      </c>
      <c r="R108" s="56"/>
      <c r="S108" s="70" t="e">
        <f t="shared" si="66"/>
        <v>#REF!</v>
      </c>
      <c r="T108" s="70" t="e">
        <f t="shared" si="67"/>
        <v>#REF!</v>
      </c>
      <c r="U108" s="56" t="e">
        <f t="shared" si="68"/>
        <v>#REF!</v>
      </c>
      <c r="V108" s="56"/>
      <c r="W108" s="88" t="e">
        <f t="shared" si="69"/>
        <v>#REF!</v>
      </c>
      <c r="X108" s="70" t="e">
        <f t="shared" si="70"/>
        <v>#REF!</v>
      </c>
      <c r="Y108" s="56" t="e">
        <f t="shared" si="71"/>
        <v>#REF!</v>
      </c>
    </row>
    <row r="109" spans="1:25" ht="16.5" customHeight="1">
      <c r="A109" s="60" t="s">
        <v>139</v>
      </c>
      <c r="B109" s="76" t="s">
        <v>140</v>
      </c>
      <c r="C109" s="70" t="e">
        <f t="shared" si="54"/>
        <v>#REF!</v>
      </c>
      <c r="D109" s="70" t="e">
        <f t="shared" si="55"/>
        <v>#REF!</v>
      </c>
      <c r="E109" s="56" t="e">
        <f t="shared" si="56"/>
        <v>#REF!</v>
      </c>
      <c r="F109" s="70"/>
      <c r="G109" s="70" t="e">
        <f t="shared" si="57"/>
        <v>#REF!</v>
      </c>
      <c r="H109" s="70" t="e">
        <f t="shared" si="58"/>
        <v>#REF!</v>
      </c>
      <c r="I109" s="56" t="e">
        <f t="shared" si="59"/>
        <v>#REF!</v>
      </c>
      <c r="J109" s="70"/>
      <c r="K109" s="70" t="e">
        <f t="shared" si="60"/>
        <v>#REF!</v>
      </c>
      <c r="L109" s="70" t="e">
        <f t="shared" si="61"/>
        <v>#REF!</v>
      </c>
      <c r="M109" s="56" t="e">
        <f t="shared" si="62"/>
        <v>#REF!</v>
      </c>
      <c r="N109" s="56"/>
      <c r="O109" s="70" t="e">
        <f t="shared" si="63"/>
        <v>#REF!</v>
      </c>
      <c r="P109" s="70" t="e">
        <f t="shared" si="64"/>
        <v>#REF!</v>
      </c>
      <c r="Q109" s="56" t="e">
        <f t="shared" si="65"/>
        <v>#REF!</v>
      </c>
      <c r="R109" s="56"/>
      <c r="S109" s="70" t="e">
        <f t="shared" si="66"/>
        <v>#REF!</v>
      </c>
      <c r="T109" s="70" t="e">
        <f t="shared" si="67"/>
        <v>#REF!</v>
      </c>
      <c r="U109" s="56" t="e">
        <f t="shared" si="68"/>
        <v>#REF!</v>
      </c>
      <c r="V109" s="56"/>
      <c r="W109" s="88" t="e">
        <f t="shared" si="69"/>
        <v>#REF!</v>
      </c>
      <c r="X109" s="70" t="e">
        <f t="shared" si="70"/>
        <v>#REF!</v>
      </c>
      <c r="Y109" s="56" t="e">
        <f t="shared" si="71"/>
        <v>#REF!</v>
      </c>
    </row>
    <row r="110" spans="1:25" ht="16.5" customHeight="1">
      <c r="A110" s="60" t="s">
        <v>143</v>
      </c>
      <c r="B110" s="61" t="s">
        <v>144</v>
      </c>
      <c r="C110" s="70" t="e">
        <f t="shared" si="54"/>
        <v>#REF!</v>
      </c>
      <c r="D110" s="70" t="e">
        <f t="shared" si="55"/>
        <v>#REF!</v>
      </c>
      <c r="E110" s="56" t="e">
        <f t="shared" si="56"/>
        <v>#REF!</v>
      </c>
      <c r="F110" s="70"/>
      <c r="G110" s="70" t="e">
        <f t="shared" si="57"/>
        <v>#REF!</v>
      </c>
      <c r="H110" s="70" t="e">
        <f t="shared" si="58"/>
        <v>#REF!</v>
      </c>
      <c r="I110" s="56" t="e">
        <f t="shared" si="59"/>
        <v>#REF!</v>
      </c>
      <c r="J110" s="70"/>
      <c r="K110" s="70" t="e">
        <f t="shared" si="60"/>
        <v>#REF!</v>
      </c>
      <c r="L110" s="70" t="e">
        <f t="shared" si="61"/>
        <v>#REF!</v>
      </c>
      <c r="M110" s="56" t="e">
        <f t="shared" si="62"/>
        <v>#REF!</v>
      </c>
      <c r="N110" s="56"/>
      <c r="O110" s="70" t="e">
        <f t="shared" si="63"/>
        <v>#REF!</v>
      </c>
      <c r="P110" s="70" t="e">
        <f t="shared" si="64"/>
        <v>#REF!</v>
      </c>
      <c r="Q110" s="56" t="e">
        <f t="shared" si="65"/>
        <v>#REF!</v>
      </c>
      <c r="R110" s="56"/>
      <c r="S110" s="70" t="e">
        <f t="shared" si="66"/>
        <v>#REF!</v>
      </c>
      <c r="T110" s="70" t="e">
        <f t="shared" si="67"/>
        <v>#REF!</v>
      </c>
      <c r="U110" s="56" t="e">
        <f t="shared" si="68"/>
        <v>#REF!</v>
      </c>
      <c r="V110" s="56"/>
      <c r="W110" s="88" t="e">
        <f t="shared" si="69"/>
        <v>#REF!</v>
      </c>
      <c r="X110" s="70" t="e">
        <f t="shared" si="70"/>
        <v>#REF!</v>
      </c>
      <c r="Y110" s="56" t="e">
        <f t="shared" si="71"/>
        <v>#REF!</v>
      </c>
    </row>
    <row r="111" spans="1:25" ht="16.5" customHeight="1">
      <c r="A111" s="60" t="s">
        <v>145</v>
      </c>
      <c r="B111" s="61" t="s">
        <v>146</v>
      </c>
      <c r="C111" s="70" t="e">
        <f t="shared" si="54"/>
        <v>#REF!</v>
      </c>
      <c r="D111" s="70" t="e">
        <f t="shared" si="55"/>
        <v>#REF!</v>
      </c>
      <c r="E111" s="56" t="e">
        <f t="shared" si="56"/>
        <v>#REF!</v>
      </c>
      <c r="F111" s="70"/>
      <c r="G111" s="70" t="e">
        <f t="shared" si="57"/>
        <v>#REF!</v>
      </c>
      <c r="H111" s="70" t="e">
        <f t="shared" si="58"/>
        <v>#REF!</v>
      </c>
      <c r="I111" s="56" t="e">
        <f t="shared" si="59"/>
        <v>#REF!</v>
      </c>
      <c r="J111" s="70"/>
      <c r="K111" s="70" t="e">
        <f t="shared" si="60"/>
        <v>#REF!</v>
      </c>
      <c r="L111" s="70" t="e">
        <f t="shared" si="61"/>
        <v>#REF!</v>
      </c>
      <c r="M111" s="56" t="e">
        <f t="shared" si="62"/>
        <v>#REF!</v>
      </c>
      <c r="N111" s="56"/>
      <c r="O111" s="70" t="e">
        <f t="shared" si="63"/>
        <v>#REF!</v>
      </c>
      <c r="P111" s="70" t="e">
        <f t="shared" si="64"/>
        <v>#REF!</v>
      </c>
      <c r="Q111" s="56" t="e">
        <f t="shared" si="65"/>
        <v>#REF!</v>
      </c>
      <c r="R111" s="56"/>
      <c r="S111" s="70" t="e">
        <f t="shared" si="66"/>
        <v>#REF!</v>
      </c>
      <c r="T111" s="70" t="e">
        <f t="shared" si="67"/>
        <v>#REF!</v>
      </c>
      <c r="U111" s="56" t="e">
        <f t="shared" si="68"/>
        <v>#REF!</v>
      </c>
      <c r="V111" s="56"/>
      <c r="W111" s="88" t="e">
        <f t="shared" si="69"/>
        <v>#REF!</v>
      </c>
      <c r="X111" s="70" t="e">
        <f t="shared" si="70"/>
        <v>#REF!</v>
      </c>
      <c r="Y111" s="56" t="e">
        <f t="shared" si="71"/>
        <v>#REF!</v>
      </c>
    </row>
    <row r="112" spans="1:25" ht="16.5" customHeight="1">
      <c r="A112" s="60" t="s">
        <v>159</v>
      </c>
      <c r="B112" s="61" t="s">
        <v>160</v>
      </c>
      <c r="C112" s="70" t="e">
        <f t="shared" si="54"/>
        <v>#REF!</v>
      </c>
      <c r="D112" s="70" t="e">
        <f t="shared" si="55"/>
        <v>#REF!</v>
      </c>
      <c r="E112" s="56" t="e">
        <f t="shared" si="56"/>
        <v>#REF!</v>
      </c>
      <c r="F112" s="70"/>
      <c r="G112" s="70" t="e">
        <f t="shared" si="57"/>
        <v>#REF!</v>
      </c>
      <c r="H112" s="70" t="e">
        <f t="shared" si="58"/>
        <v>#REF!</v>
      </c>
      <c r="I112" s="56" t="e">
        <f t="shared" si="59"/>
        <v>#REF!</v>
      </c>
      <c r="J112" s="70"/>
      <c r="K112" s="70" t="e">
        <f t="shared" si="60"/>
        <v>#REF!</v>
      </c>
      <c r="L112" s="70" t="e">
        <f t="shared" si="61"/>
        <v>#REF!</v>
      </c>
      <c r="M112" s="56" t="e">
        <f t="shared" si="62"/>
        <v>#REF!</v>
      </c>
      <c r="N112" s="56"/>
      <c r="O112" s="70" t="e">
        <f t="shared" si="63"/>
        <v>#REF!</v>
      </c>
      <c r="P112" s="70" t="e">
        <f t="shared" si="64"/>
        <v>#REF!</v>
      </c>
      <c r="Q112" s="56" t="e">
        <f t="shared" si="65"/>
        <v>#REF!</v>
      </c>
      <c r="R112" s="56"/>
      <c r="S112" s="70" t="e">
        <f t="shared" si="66"/>
        <v>#REF!</v>
      </c>
      <c r="T112" s="70" t="e">
        <f t="shared" si="67"/>
        <v>#REF!</v>
      </c>
      <c r="U112" s="56" t="e">
        <f t="shared" si="68"/>
        <v>#REF!</v>
      </c>
      <c r="V112" s="56"/>
      <c r="W112" s="88" t="e">
        <f t="shared" si="69"/>
        <v>#REF!</v>
      </c>
      <c r="X112" s="70" t="e">
        <f t="shared" si="70"/>
        <v>#REF!</v>
      </c>
      <c r="Y112" s="56" t="e">
        <f t="shared" si="71"/>
        <v>#REF!</v>
      </c>
    </row>
    <row r="113" spans="1:25" ht="16.5" customHeight="1">
      <c r="A113" s="60" t="s">
        <v>161</v>
      </c>
      <c r="B113" s="61" t="s">
        <v>162</v>
      </c>
      <c r="C113" s="70" t="e">
        <f t="shared" si="54"/>
        <v>#REF!</v>
      </c>
      <c r="D113" s="70" t="e">
        <f t="shared" si="55"/>
        <v>#REF!</v>
      </c>
      <c r="E113" s="56" t="e">
        <f t="shared" si="56"/>
        <v>#REF!</v>
      </c>
      <c r="F113" s="70"/>
      <c r="G113" s="70" t="e">
        <f t="shared" si="57"/>
        <v>#REF!</v>
      </c>
      <c r="H113" s="70" t="e">
        <f t="shared" si="58"/>
        <v>#REF!</v>
      </c>
      <c r="I113" s="56" t="e">
        <f t="shared" si="59"/>
        <v>#REF!</v>
      </c>
      <c r="J113" s="70"/>
      <c r="K113" s="70" t="e">
        <f t="shared" si="60"/>
        <v>#REF!</v>
      </c>
      <c r="L113" s="70" t="e">
        <f t="shared" si="61"/>
        <v>#REF!</v>
      </c>
      <c r="M113" s="56" t="e">
        <f t="shared" si="62"/>
        <v>#REF!</v>
      </c>
      <c r="N113" s="56"/>
      <c r="O113" s="70" t="e">
        <f t="shared" si="63"/>
        <v>#REF!</v>
      </c>
      <c r="P113" s="70" t="e">
        <f t="shared" si="64"/>
        <v>#REF!</v>
      </c>
      <c r="Q113" s="56" t="e">
        <f t="shared" si="65"/>
        <v>#REF!</v>
      </c>
      <c r="R113" s="56"/>
      <c r="S113" s="70" t="e">
        <f t="shared" si="66"/>
        <v>#REF!</v>
      </c>
      <c r="T113" s="70" t="e">
        <f t="shared" si="67"/>
        <v>#REF!</v>
      </c>
      <c r="U113" s="56" t="e">
        <f t="shared" si="68"/>
        <v>#REF!</v>
      </c>
      <c r="V113" s="56"/>
      <c r="W113" s="88" t="e">
        <f t="shared" si="69"/>
        <v>#REF!</v>
      </c>
      <c r="X113" s="70" t="e">
        <f t="shared" si="70"/>
        <v>#REF!</v>
      </c>
      <c r="Y113" s="56" t="e">
        <f t="shared" si="71"/>
        <v>#REF!</v>
      </c>
    </row>
    <row r="114" spans="1:25" ht="16.5" customHeight="1">
      <c r="A114" s="60" t="s">
        <v>167</v>
      </c>
      <c r="B114" s="76" t="s">
        <v>168</v>
      </c>
      <c r="C114" s="70" t="e">
        <f t="shared" si="54"/>
        <v>#REF!</v>
      </c>
      <c r="D114" s="70" t="e">
        <f t="shared" si="55"/>
        <v>#REF!</v>
      </c>
      <c r="E114" s="56" t="e">
        <f t="shared" si="56"/>
        <v>#REF!</v>
      </c>
      <c r="F114" s="70"/>
      <c r="G114" s="70" t="e">
        <f t="shared" si="57"/>
        <v>#REF!</v>
      </c>
      <c r="H114" s="70" t="e">
        <f t="shared" si="58"/>
        <v>#REF!</v>
      </c>
      <c r="I114" s="56" t="e">
        <f t="shared" si="59"/>
        <v>#REF!</v>
      </c>
      <c r="J114" s="70"/>
      <c r="K114" s="70" t="e">
        <f t="shared" si="60"/>
        <v>#REF!</v>
      </c>
      <c r="L114" s="70" t="e">
        <f t="shared" si="61"/>
        <v>#REF!</v>
      </c>
      <c r="M114" s="56" t="e">
        <f t="shared" si="62"/>
        <v>#REF!</v>
      </c>
      <c r="N114" s="56"/>
      <c r="O114" s="70" t="e">
        <f t="shared" si="63"/>
        <v>#REF!</v>
      </c>
      <c r="P114" s="70" t="e">
        <f t="shared" si="64"/>
        <v>#REF!</v>
      </c>
      <c r="Q114" s="56" t="e">
        <f t="shared" si="65"/>
        <v>#REF!</v>
      </c>
      <c r="R114" s="56"/>
      <c r="S114" s="70" t="e">
        <f t="shared" si="66"/>
        <v>#REF!</v>
      </c>
      <c r="T114" s="70" t="e">
        <f t="shared" si="67"/>
        <v>#REF!</v>
      </c>
      <c r="U114" s="56" t="e">
        <f t="shared" si="68"/>
        <v>#REF!</v>
      </c>
      <c r="V114" s="56"/>
      <c r="W114" s="88" t="e">
        <f t="shared" si="69"/>
        <v>#REF!</v>
      </c>
      <c r="X114" s="70" t="e">
        <f t="shared" si="70"/>
        <v>#REF!</v>
      </c>
      <c r="Y114" s="56" t="e">
        <f t="shared" si="71"/>
        <v>#REF!</v>
      </c>
    </row>
    <row r="115" spans="1:25" ht="16.5" customHeight="1">
      <c r="A115" s="60" t="s">
        <v>177</v>
      </c>
      <c r="B115" s="76" t="s">
        <v>178</v>
      </c>
      <c r="C115" s="70" t="e">
        <f t="shared" si="54"/>
        <v>#REF!</v>
      </c>
      <c r="D115" s="70" t="e">
        <f t="shared" si="55"/>
        <v>#REF!</v>
      </c>
      <c r="E115" s="56" t="e">
        <f t="shared" si="56"/>
        <v>#REF!</v>
      </c>
      <c r="F115" s="70"/>
      <c r="G115" s="70" t="e">
        <f t="shared" si="57"/>
        <v>#REF!</v>
      </c>
      <c r="H115" s="70" t="e">
        <f t="shared" si="58"/>
        <v>#REF!</v>
      </c>
      <c r="I115" s="56" t="e">
        <f t="shared" si="59"/>
        <v>#REF!</v>
      </c>
      <c r="J115" s="70"/>
      <c r="K115" s="70" t="e">
        <f t="shared" si="60"/>
        <v>#REF!</v>
      </c>
      <c r="L115" s="70" t="e">
        <f t="shared" si="61"/>
        <v>#REF!</v>
      </c>
      <c r="M115" s="56" t="e">
        <f t="shared" si="62"/>
        <v>#REF!</v>
      </c>
      <c r="N115" s="56"/>
      <c r="O115" s="70" t="e">
        <f t="shared" si="63"/>
        <v>#REF!</v>
      </c>
      <c r="P115" s="70" t="e">
        <f t="shared" si="64"/>
        <v>#REF!</v>
      </c>
      <c r="Q115" s="56" t="e">
        <f t="shared" si="65"/>
        <v>#REF!</v>
      </c>
      <c r="R115" s="56"/>
      <c r="S115" s="70" t="e">
        <f t="shared" si="66"/>
        <v>#REF!</v>
      </c>
      <c r="T115" s="70" t="e">
        <f t="shared" si="67"/>
        <v>#REF!</v>
      </c>
      <c r="U115" s="56" t="e">
        <f t="shared" si="68"/>
        <v>#REF!</v>
      </c>
      <c r="V115" s="56"/>
      <c r="W115" s="88" t="e">
        <f t="shared" si="69"/>
        <v>#REF!</v>
      </c>
      <c r="X115" s="70" t="e">
        <f t="shared" si="70"/>
        <v>#REF!</v>
      </c>
      <c r="Y115" s="56" t="e">
        <f t="shared" si="71"/>
        <v>#REF!</v>
      </c>
    </row>
    <row r="116" spans="1:25" ht="16.5" customHeight="1">
      <c r="A116" s="60" t="s">
        <v>181</v>
      </c>
      <c r="B116" s="76" t="s">
        <v>182</v>
      </c>
      <c r="C116" s="70" t="e">
        <f t="shared" si="54"/>
        <v>#REF!</v>
      </c>
      <c r="D116" s="70" t="e">
        <f t="shared" si="55"/>
        <v>#REF!</v>
      </c>
      <c r="E116" s="56" t="e">
        <f t="shared" si="56"/>
        <v>#REF!</v>
      </c>
      <c r="F116" s="70"/>
      <c r="G116" s="70" t="e">
        <f t="shared" si="57"/>
        <v>#REF!</v>
      </c>
      <c r="H116" s="70" t="e">
        <f t="shared" si="58"/>
        <v>#REF!</v>
      </c>
      <c r="I116" s="56" t="e">
        <f t="shared" si="59"/>
        <v>#REF!</v>
      </c>
      <c r="J116" s="70"/>
      <c r="K116" s="70" t="e">
        <f t="shared" si="60"/>
        <v>#REF!</v>
      </c>
      <c r="L116" s="70" t="e">
        <f t="shared" si="61"/>
        <v>#REF!</v>
      </c>
      <c r="M116" s="56" t="e">
        <f t="shared" si="62"/>
        <v>#REF!</v>
      </c>
      <c r="N116" s="56"/>
      <c r="O116" s="70" t="e">
        <f t="shared" si="63"/>
        <v>#REF!</v>
      </c>
      <c r="P116" s="70" t="e">
        <f t="shared" si="64"/>
        <v>#REF!</v>
      </c>
      <c r="Q116" s="56" t="e">
        <f t="shared" si="65"/>
        <v>#REF!</v>
      </c>
      <c r="R116" s="56"/>
      <c r="S116" s="70" t="e">
        <f t="shared" si="66"/>
        <v>#REF!</v>
      </c>
      <c r="T116" s="70" t="e">
        <f t="shared" si="67"/>
        <v>#REF!</v>
      </c>
      <c r="U116" s="56" t="e">
        <f t="shared" si="68"/>
        <v>#REF!</v>
      </c>
      <c r="V116" s="56"/>
      <c r="W116" s="88" t="e">
        <f t="shared" si="69"/>
        <v>#REF!</v>
      </c>
      <c r="X116" s="70" t="e">
        <f t="shared" si="70"/>
        <v>#REF!</v>
      </c>
      <c r="Y116" s="56" t="e">
        <f t="shared" si="71"/>
        <v>#REF!</v>
      </c>
    </row>
    <row r="117" spans="1:25" ht="16.5" customHeight="1">
      <c r="A117" s="60" t="s">
        <v>193</v>
      </c>
      <c r="B117" s="61" t="s">
        <v>194</v>
      </c>
      <c r="C117" s="70" t="e">
        <f t="shared" si="54"/>
        <v>#REF!</v>
      </c>
      <c r="D117" s="70" t="e">
        <f t="shared" si="55"/>
        <v>#REF!</v>
      </c>
      <c r="E117" s="56" t="e">
        <f t="shared" si="56"/>
        <v>#REF!</v>
      </c>
      <c r="F117" s="70"/>
      <c r="G117" s="70" t="e">
        <f t="shared" si="57"/>
        <v>#REF!</v>
      </c>
      <c r="H117" s="70" t="e">
        <f t="shared" si="58"/>
        <v>#REF!</v>
      </c>
      <c r="I117" s="56" t="e">
        <f t="shared" si="59"/>
        <v>#REF!</v>
      </c>
      <c r="J117" s="70"/>
      <c r="K117" s="70" t="e">
        <f t="shared" si="60"/>
        <v>#REF!</v>
      </c>
      <c r="L117" s="70" t="e">
        <f t="shared" si="61"/>
        <v>#REF!</v>
      </c>
      <c r="M117" s="56" t="e">
        <f t="shared" si="62"/>
        <v>#REF!</v>
      </c>
      <c r="N117" s="56"/>
      <c r="O117" s="70" t="e">
        <f t="shared" si="63"/>
        <v>#REF!</v>
      </c>
      <c r="P117" s="70" t="e">
        <f t="shared" si="64"/>
        <v>#REF!</v>
      </c>
      <c r="Q117" s="56" t="e">
        <f t="shared" si="65"/>
        <v>#REF!</v>
      </c>
      <c r="R117" s="56"/>
      <c r="S117" s="70" t="e">
        <f t="shared" si="66"/>
        <v>#REF!</v>
      </c>
      <c r="T117" s="70" t="e">
        <f t="shared" si="67"/>
        <v>#REF!</v>
      </c>
      <c r="U117" s="56" t="e">
        <f t="shared" si="68"/>
        <v>#REF!</v>
      </c>
      <c r="V117" s="56"/>
      <c r="W117" s="88" t="e">
        <f t="shared" si="69"/>
        <v>#REF!</v>
      </c>
      <c r="X117" s="70" t="e">
        <f t="shared" si="70"/>
        <v>#REF!</v>
      </c>
      <c r="Y117" s="56" t="e">
        <f t="shared" si="71"/>
        <v>#REF!</v>
      </c>
    </row>
    <row r="118" spans="1:25" ht="16.5" customHeight="1">
      <c r="A118" s="60" t="s">
        <v>197</v>
      </c>
      <c r="B118" s="76" t="s">
        <v>391</v>
      </c>
      <c r="C118" s="70" t="e">
        <f t="shared" si="54"/>
        <v>#REF!</v>
      </c>
      <c r="D118" s="70" t="e">
        <f t="shared" si="55"/>
        <v>#REF!</v>
      </c>
      <c r="E118" s="56" t="e">
        <f t="shared" si="56"/>
        <v>#REF!</v>
      </c>
      <c r="F118" s="70"/>
      <c r="G118" s="70" t="e">
        <f t="shared" si="57"/>
        <v>#REF!</v>
      </c>
      <c r="H118" s="70" t="e">
        <f t="shared" si="58"/>
        <v>#REF!</v>
      </c>
      <c r="I118" s="56" t="e">
        <f t="shared" si="59"/>
        <v>#REF!</v>
      </c>
      <c r="J118" s="70"/>
      <c r="K118" s="70" t="e">
        <f t="shared" si="60"/>
        <v>#REF!</v>
      </c>
      <c r="L118" s="70" t="e">
        <f t="shared" si="61"/>
        <v>#REF!</v>
      </c>
      <c r="M118" s="56" t="e">
        <f t="shared" si="62"/>
        <v>#REF!</v>
      </c>
      <c r="N118" s="56"/>
      <c r="O118" s="70" t="e">
        <f t="shared" si="63"/>
        <v>#REF!</v>
      </c>
      <c r="P118" s="70" t="e">
        <f t="shared" si="64"/>
        <v>#REF!</v>
      </c>
      <c r="Q118" s="56" t="e">
        <f t="shared" si="65"/>
        <v>#REF!</v>
      </c>
      <c r="R118" s="56"/>
      <c r="S118" s="70" t="e">
        <f t="shared" si="66"/>
        <v>#REF!</v>
      </c>
      <c r="T118" s="70" t="e">
        <f t="shared" si="67"/>
        <v>#REF!</v>
      </c>
      <c r="U118" s="56" t="e">
        <f t="shared" si="68"/>
        <v>#REF!</v>
      </c>
      <c r="V118" s="56"/>
      <c r="W118" s="88" t="e">
        <f t="shared" si="69"/>
        <v>#REF!</v>
      </c>
      <c r="X118" s="70" t="e">
        <f t="shared" si="70"/>
        <v>#REF!</v>
      </c>
      <c r="Y118" s="56" t="e">
        <f t="shared" si="71"/>
        <v>#REF!</v>
      </c>
    </row>
    <row r="119" spans="1:25" ht="16.5" customHeight="1">
      <c r="A119" s="60" t="s">
        <v>201</v>
      </c>
      <c r="B119" s="76" t="s">
        <v>392</v>
      </c>
      <c r="C119" s="70" t="e">
        <f t="shared" si="54"/>
        <v>#REF!</v>
      </c>
      <c r="D119" s="70" t="e">
        <f t="shared" si="55"/>
        <v>#REF!</v>
      </c>
      <c r="E119" s="56" t="e">
        <f t="shared" si="56"/>
        <v>#REF!</v>
      </c>
      <c r="F119" s="70"/>
      <c r="G119" s="70" t="e">
        <f t="shared" si="57"/>
        <v>#REF!</v>
      </c>
      <c r="H119" s="70" t="e">
        <f t="shared" si="58"/>
        <v>#REF!</v>
      </c>
      <c r="I119" s="56" t="e">
        <f t="shared" si="59"/>
        <v>#REF!</v>
      </c>
      <c r="J119" s="70"/>
      <c r="K119" s="70" t="e">
        <f t="shared" si="60"/>
        <v>#REF!</v>
      </c>
      <c r="L119" s="70" t="e">
        <f t="shared" si="61"/>
        <v>#REF!</v>
      </c>
      <c r="M119" s="56" t="e">
        <f t="shared" si="62"/>
        <v>#REF!</v>
      </c>
      <c r="N119" s="56"/>
      <c r="O119" s="70" t="e">
        <f t="shared" si="63"/>
        <v>#REF!</v>
      </c>
      <c r="P119" s="70" t="e">
        <f t="shared" si="64"/>
        <v>#REF!</v>
      </c>
      <c r="Q119" s="56" t="e">
        <f t="shared" si="65"/>
        <v>#REF!</v>
      </c>
      <c r="R119" s="56"/>
      <c r="S119" s="70" t="e">
        <f t="shared" si="66"/>
        <v>#REF!</v>
      </c>
      <c r="T119" s="70" t="e">
        <f t="shared" si="67"/>
        <v>#REF!</v>
      </c>
      <c r="U119" s="56" t="e">
        <f t="shared" si="68"/>
        <v>#REF!</v>
      </c>
      <c r="V119" s="56"/>
      <c r="W119" s="88" t="e">
        <f t="shared" si="69"/>
        <v>#REF!</v>
      </c>
      <c r="X119" s="70" t="e">
        <f t="shared" si="70"/>
        <v>#REF!</v>
      </c>
      <c r="Y119" s="56" t="e">
        <f t="shared" si="71"/>
        <v>#REF!</v>
      </c>
    </row>
    <row r="120" spans="1:25" ht="16.5" customHeight="1">
      <c r="A120" s="60" t="s">
        <v>223</v>
      </c>
      <c r="B120" s="61" t="s">
        <v>224</v>
      </c>
      <c r="C120" s="70" t="e">
        <f t="shared" si="54"/>
        <v>#REF!</v>
      </c>
      <c r="D120" s="70" t="e">
        <f t="shared" si="55"/>
        <v>#REF!</v>
      </c>
      <c r="E120" s="56" t="e">
        <f t="shared" si="56"/>
        <v>#REF!</v>
      </c>
      <c r="F120" s="70"/>
      <c r="G120" s="70" t="e">
        <f t="shared" si="57"/>
        <v>#REF!</v>
      </c>
      <c r="H120" s="70" t="e">
        <f t="shared" si="58"/>
        <v>#REF!</v>
      </c>
      <c r="I120" s="56" t="e">
        <f t="shared" si="59"/>
        <v>#REF!</v>
      </c>
      <c r="J120" s="70"/>
      <c r="K120" s="70" t="e">
        <f t="shared" si="60"/>
        <v>#REF!</v>
      </c>
      <c r="L120" s="70" t="e">
        <f t="shared" si="61"/>
        <v>#REF!</v>
      </c>
      <c r="M120" s="56" t="e">
        <f t="shared" si="62"/>
        <v>#REF!</v>
      </c>
      <c r="N120" s="56"/>
      <c r="O120" s="70" t="e">
        <f t="shared" si="63"/>
        <v>#REF!</v>
      </c>
      <c r="P120" s="70" t="e">
        <f t="shared" si="64"/>
        <v>#REF!</v>
      </c>
      <c r="Q120" s="56" t="e">
        <f t="shared" si="65"/>
        <v>#REF!</v>
      </c>
      <c r="R120" s="56"/>
      <c r="S120" s="70" t="e">
        <f t="shared" si="66"/>
        <v>#REF!</v>
      </c>
      <c r="T120" s="70" t="e">
        <f t="shared" si="67"/>
        <v>#REF!</v>
      </c>
      <c r="U120" s="56" t="e">
        <f t="shared" si="68"/>
        <v>#REF!</v>
      </c>
      <c r="V120" s="56"/>
      <c r="W120" s="88" t="e">
        <f t="shared" si="69"/>
        <v>#REF!</v>
      </c>
      <c r="X120" s="70" t="e">
        <f t="shared" si="70"/>
        <v>#REF!</v>
      </c>
      <c r="Y120" s="56" t="e">
        <f t="shared" si="71"/>
        <v>#REF!</v>
      </c>
    </row>
    <row r="121" spans="1:25" ht="16.5" customHeight="1">
      <c r="A121" s="60" t="s">
        <v>231</v>
      </c>
      <c r="B121" s="61" t="s">
        <v>232</v>
      </c>
      <c r="C121" s="70" t="e">
        <f t="shared" si="54"/>
        <v>#REF!</v>
      </c>
      <c r="D121" s="70" t="e">
        <f t="shared" si="55"/>
        <v>#REF!</v>
      </c>
      <c r="E121" s="56" t="e">
        <f t="shared" si="56"/>
        <v>#REF!</v>
      </c>
      <c r="F121" s="70"/>
      <c r="G121" s="70" t="e">
        <f t="shared" si="57"/>
        <v>#REF!</v>
      </c>
      <c r="H121" s="70" t="e">
        <f t="shared" si="58"/>
        <v>#REF!</v>
      </c>
      <c r="I121" s="56" t="e">
        <f t="shared" si="59"/>
        <v>#REF!</v>
      </c>
      <c r="J121" s="70"/>
      <c r="K121" s="70" t="e">
        <f t="shared" si="60"/>
        <v>#REF!</v>
      </c>
      <c r="L121" s="70" t="e">
        <f t="shared" si="61"/>
        <v>#REF!</v>
      </c>
      <c r="M121" s="56" t="e">
        <f t="shared" si="62"/>
        <v>#REF!</v>
      </c>
      <c r="N121" s="56"/>
      <c r="O121" s="70" t="e">
        <f t="shared" si="63"/>
        <v>#REF!</v>
      </c>
      <c r="P121" s="70" t="e">
        <f t="shared" si="64"/>
        <v>#REF!</v>
      </c>
      <c r="Q121" s="56" t="e">
        <f t="shared" si="65"/>
        <v>#REF!</v>
      </c>
      <c r="R121" s="56"/>
      <c r="S121" s="70" t="e">
        <f t="shared" si="66"/>
        <v>#REF!</v>
      </c>
      <c r="T121" s="70" t="e">
        <f t="shared" si="67"/>
        <v>#REF!</v>
      </c>
      <c r="U121" s="56" t="e">
        <f t="shared" si="68"/>
        <v>#REF!</v>
      </c>
      <c r="V121" s="56"/>
      <c r="W121" s="88" t="e">
        <f t="shared" si="69"/>
        <v>#REF!</v>
      </c>
      <c r="X121" s="70" t="e">
        <f t="shared" si="70"/>
        <v>#REF!</v>
      </c>
      <c r="Y121" s="56" t="e">
        <f t="shared" si="71"/>
        <v>#REF!</v>
      </c>
    </row>
    <row r="122" spans="1:25" ht="16.5" customHeight="1">
      <c r="A122" s="60" t="s">
        <v>239</v>
      </c>
      <c r="B122" s="61" t="s">
        <v>240</v>
      </c>
      <c r="C122" s="70" t="e">
        <f t="shared" si="54"/>
        <v>#REF!</v>
      </c>
      <c r="D122" s="70" t="e">
        <f t="shared" si="55"/>
        <v>#REF!</v>
      </c>
      <c r="E122" s="56" t="e">
        <f t="shared" si="56"/>
        <v>#REF!</v>
      </c>
      <c r="F122" s="70"/>
      <c r="G122" s="70" t="e">
        <f t="shared" si="57"/>
        <v>#REF!</v>
      </c>
      <c r="H122" s="70" t="e">
        <f t="shared" si="58"/>
        <v>#REF!</v>
      </c>
      <c r="I122" s="56" t="e">
        <f t="shared" si="59"/>
        <v>#REF!</v>
      </c>
      <c r="J122" s="70"/>
      <c r="K122" s="70" t="e">
        <f t="shared" si="60"/>
        <v>#REF!</v>
      </c>
      <c r="L122" s="70" t="e">
        <f t="shared" si="61"/>
        <v>#REF!</v>
      </c>
      <c r="M122" s="56" t="e">
        <f t="shared" si="62"/>
        <v>#REF!</v>
      </c>
      <c r="N122" s="56"/>
      <c r="O122" s="70" t="e">
        <f t="shared" si="63"/>
        <v>#REF!</v>
      </c>
      <c r="P122" s="70" t="e">
        <f t="shared" si="64"/>
        <v>#REF!</v>
      </c>
      <c r="Q122" s="56" t="e">
        <f t="shared" si="65"/>
        <v>#REF!</v>
      </c>
      <c r="R122" s="56"/>
      <c r="S122" s="70" t="e">
        <f t="shared" si="66"/>
        <v>#REF!</v>
      </c>
      <c r="T122" s="70" t="e">
        <f t="shared" si="67"/>
        <v>#REF!</v>
      </c>
      <c r="U122" s="56" t="e">
        <f t="shared" si="68"/>
        <v>#REF!</v>
      </c>
      <c r="V122" s="56"/>
      <c r="W122" s="88" t="e">
        <f t="shared" si="69"/>
        <v>#REF!</v>
      </c>
      <c r="X122" s="70" t="e">
        <f t="shared" si="70"/>
        <v>#REF!</v>
      </c>
      <c r="Y122" s="56" t="e">
        <f t="shared" si="71"/>
        <v>#REF!</v>
      </c>
    </row>
    <row r="123" spans="1:25" ht="16.5" customHeight="1">
      <c r="A123" s="60" t="s">
        <v>241</v>
      </c>
      <c r="B123" s="76" t="s">
        <v>242</v>
      </c>
      <c r="C123" s="70" t="e">
        <f t="shared" si="54"/>
        <v>#REF!</v>
      </c>
      <c r="D123" s="70" t="e">
        <f t="shared" si="55"/>
        <v>#REF!</v>
      </c>
      <c r="E123" s="56" t="e">
        <f t="shared" si="56"/>
        <v>#REF!</v>
      </c>
      <c r="F123" s="70"/>
      <c r="G123" s="70" t="e">
        <f t="shared" si="57"/>
        <v>#REF!</v>
      </c>
      <c r="H123" s="70" t="e">
        <f t="shared" si="58"/>
        <v>#REF!</v>
      </c>
      <c r="I123" s="56" t="e">
        <f t="shared" si="59"/>
        <v>#REF!</v>
      </c>
      <c r="J123" s="70"/>
      <c r="K123" s="70" t="e">
        <f t="shared" si="60"/>
        <v>#REF!</v>
      </c>
      <c r="L123" s="70" t="e">
        <f t="shared" si="61"/>
        <v>#REF!</v>
      </c>
      <c r="M123" s="56" t="e">
        <f t="shared" si="62"/>
        <v>#REF!</v>
      </c>
      <c r="N123" s="56"/>
      <c r="O123" s="70" t="e">
        <f t="shared" si="63"/>
        <v>#REF!</v>
      </c>
      <c r="P123" s="70" t="e">
        <f t="shared" si="64"/>
        <v>#REF!</v>
      </c>
      <c r="Q123" s="56" t="e">
        <f t="shared" si="65"/>
        <v>#REF!</v>
      </c>
      <c r="R123" s="56"/>
      <c r="S123" s="70" t="e">
        <f t="shared" si="66"/>
        <v>#REF!</v>
      </c>
      <c r="T123" s="70" t="e">
        <f t="shared" si="67"/>
        <v>#REF!</v>
      </c>
      <c r="U123" s="56" t="e">
        <f t="shared" si="68"/>
        <v>#REF!</v>
      </c>
      <c r="V123" s="56"/>
      <c r="W123" s="88" t="e">
        <f t="shared" si="69"/>
        <v>#REF!</v>
      </c>
      <c r="X123" s="70" t="e">
        <f t="shared" si="70"/>
        <v>#REF!</v>
      </c>
      <c r="Y123" s="56" t="e">
        <f t="shared" si="71"/>
        <v>#REF!</v>
      </c>
    </row>
    <row r="124" spans="1:25">
      <c r="C124" s="72" t="e">
        <f>SUM(C4:C123)</f>
        <v>#REF!</v>
      </c>
      <c r="D124" s="72"/>
      <c r="E124" s="72"/>
      <c r="F124" s="72"/>
      <c r="G124" s="72"/>
      <c r="H124" s="72"/>
      <c r="I124" s="72"/>
      <c r="J124" s="72"/>
      <c r="K124" s="72"/>
      <c r="L124" s="72"/>
    </row>
    <row r="125" spans="1:25">
      <c r="C125" s="72" t="e">
        <f>+C124/12</f>
        <v>#REF!</v>
      </c>
      <c r="D125" s="72"/>
      <c r="E125" s="72"/>
      <c r="F125" s="72"/>
      <c r="G125" s="72"/>
      <c r="H125" s="72"/>
      <c r="I125" s="72"/>
      <c r="J125" s="72"/>
      <c r="K125" s="72"/>
      <c r="L125" s="72"/>
    </row>
    <row r="126" spans="1:25" ht="12.75" customHeight="1">
      <c r="A126" s="1348" t="s">
        <v>815</v>
      </c>
      <c r="B126" s="1348"/>
      <c r="C126" s="1349"/>
      <c r="D126" s="63"/>
      <c r="E126" s="63"/>
      <c r="F126" s="63"/>
      <c r="G126" s="63"/>
      <c r="H126" s="63"/>
      <c r="I126" s="63"/>
      <c r="J126" s="63"/>
      <c r="K126" s="63"/>
      <c r="L126" s="63"/>
    </row>
    <row r="127" spans="1:25">
      <c r="A127" s="62" t="s">
        <v>816</v>
      </c>
    </row>
  </sheetData>
  <autoFilter ref="A3:Y127"/>
  <mergeCells count="8">
    <mergeCell ref="S2:U2"/>
    <mergeCell ref="O1:Y1"/>
    <mergeCell ref="A126:C126"/>
    <mergeCell ref="C2:E2"/>
    <mergeCell ref="G2:I2"/>
    <mergeCell ref="K2:M2"/>
    <mergeCell ref="C1:M1"/>
    <mergeCell ref="O2:Q2"/>
  </mergeCells>
  <conditionalFormatting sqref="Q4:R123 E4:E123">
    <cfRule type="cellIs" dxfId="5" priority="21" stopIfTrue="1" operator="greaterThan">
      <formula>"&gt;1"</formula>
    </cfRule>
  </conditionalFormatting>
  <conditionalFormatting sqref="Y4:Y123 M4:N123 U4:V123 Q4:R123 I4:I123 E4:E123">
    <cfRule type="cellIs" dxfId="4" priority="19" stopIfTrue="1" operator="greaterThan">
      <formula>1</formula>
    </cfRule>
  </conditionalFormatting>
  <pageMargins left="0.75" right="0.75" top="1" bottom="1" header="0.5" footer="0.5"/>
  <pageSetup orientation="portrait" r:id="rId1"/>
</worksheet>
</file>

<file path=xl/worksheets/sheet18.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3" sqref="E3"/>
    </sheetView>
  </sheetViews>
  <sheetFormatPr defaultRowHeight="12.75"/>
  <cols>
    <col min="1" max="1" width="12.25" style="62" customWidth="1"/>
    <col min="2" max="2" width="23.625" style="72" customWidth="1"/>
    <col min="3" max="4" width="9.875" style="62" customWidth="1"/>
    <col min="5" max="5" width="9.75" style="62" customWidth="1"/>
    <col min="6" max="6" width="2.25" style="62" customWidth="1"/>
    <col min="7" max="7" width="10.25" style="62" customWidth="1"/>
    <col min="8" max="8" width="9.875" style="62" customWidth="1"/>
    <col min="9" max="9" width="9.625" style="62" customWidth="1"/>
    <col min="10" max="10" width="2.625" style="62" customWidth="1"/>
    <col min="11" max="11" width="9.625" style="62" customWidth="1"/>
    <col min="12" max="12" width="9.75" style="62" customWidth="1"/>
    <col min="13" max="13" width="10" style="62" customWidth="1"/>
    <col min="14" max="14" width="2.625" style="84" customWidth="1"/>
    <col min="15" max="15" width="10" style="62" bestFit="1" customWidth="1"/>
    <col min="16" max="17" width="10" style="62" customWidth="1"/>
    <col min="18" max="18" width="3.5" style="62" customWidth="1"/>
    <col min="19" max="19" width="9.75" style="62" customWidth="1"/>
    <col min="20" max="20" width="10.25" style="62" customWidth="1"/>
    <col min="21" max="21" width="10.375" style="62" customWidth="1"/>
    <col min="22" max="22" width="2.625" style="62" customWidth="1"/>
    <col min="23" max="23" width="10.25" style="62" customWidth="1"/>
    <col min="24" max="24" width="10.5" style="62" customWidth="1"/>
    <col min="25" max="25" width="10.25" style="62" customWidth="1"/>
    <col min="26" max="16384" width="9" style="62"/>
  </cols>
  <sheetData>
    <row r="1" spans="1:25" ht="15.75">
      <c r="C1" s="1351" t="s">
        <v>820</v>
      </c>
      <c r="D1" s="1351"/>
      <c r="E1" s="1351"/>
      <c r="F1" s="1351"/>
      <c r="G1" s="1351"/>
      <c r="H1" s="1351"/>
      <c r="I1" s="1351"/>
      <c r="J1" s="1351"/>
      <c r="K1" s="1351"/>
      <c r="L1" s="1351"/>
      <c r="M1" s="1351"/>
      <c r="N1" s="81"/>
      <c r="O1" s="1347" t="s">
        <v>821</v>
      </c>
      <c r="P1" s="1347"/>
      <c r="Q1" s="1347"/>
      <c r="R1" s="1347"/>
      <c r="S1" s="1347"/>
      <c r="T1" s="1347"/>
      <c r="U1" s="1347"/>
      <c r="V1" s="1347"/>
      <c r="W1" s="1347"/>
      <c r="X1" s="1347"/>
      <c r="Y1" s="1347"/>
    </row>
    <row r="2" spans="1:25">
      <c r="C2" s="1352" t="s">
        <v>2</v>
      </c>
      <c r="D2" s="1352"/>
      <c r="E2" s="1352"/>
      <c r="F2" s="77"/>
      <c r="G2" s="1352" t="s">
        <v>667</v>
      </c>
      <c r="H2" s="1352"/>
      <c r="I2" s="1352"/>
      <c r="J2" s="68"/>
      <c r="K2" s="1352" t="s">
        <v>673</v>
      </c>
      <c r="L2" s="1352"/>
      <c r="M2" s="1352"/>
      <c r="N2" s="68"/>
      <c r="O2" s="1352" t="s">
        <v>2</v>
      </c>
      <c r="P2" s="1352"/>
      <c r="Q2" s="1352"/>
      <c r="R2" s="68"/>
      <c r="S2" s="1352" t="s">
        <v>667</v>
      </c>
      <c r="T2" s="1352"/>
      <c r="U2" s="1352"/>
      <c r="V2" s="68"/>
      <c r="W2" s="1352" t="s">
        <v>673</v>
      </c>
      <c r="X2" s="1352"/>
      <c r="Y2" s="1352"/>
    </row>
    <row r="3" spans="1:25" s="65" customFormat="1" ht="71.25" customHeight="1">
      <c r="A3" s="64" t="s">
        <v>372</v>
      </c>
      <c r="B3" s="75" t="s">
        <v>373</v>
      </c>
      <c r="C3" s="67" t="s">
        <v>824</v>
      </c>
      <c r="D3" s="67" t="s">
        <v>825</v>
      </c>
      <c r="E3" s="78" t="s">
        <v>826</v>
      </c>
      <c r="F3" s="82"/>
      <c r="G3" s="79" t="s">
        <v>824</v>
      </c>
      <c r="H3" s="67" t="s">
        <v>825</v>
      </c>
      <c r="I3" s="78" t="s">
        <v>826</v>
      </c>
      <c r="J3" s="82"/>
      <c r="K3" s="79" t="s">
        <v>824</v>
      </c>
      <c r="L3" s="67" t="s">
        <v>825</v>
      </c>
      <c r="M3" s="78" t="s">
        <v>826</v>
      </c>
      <c r="N3" s="82"/>
      <c r="O3" s="67" t="s">
        <v>824</v>
      </c>
      <c r="P3" s="67" t="s">
        <v>825</v>
      </c>
      <c r="Q3" s="78" t="s">
        <v>826</v>
      </c>
      <c r="R3" s="85"/>
      <c r="S3" s="67" t="s">
        <v>824</v>
      </c>
      <c r="T3" s="67" t="s">
        <v>825</v>
      </c>
      <c r="U3" s="78" t="s">
        <v>826</v>
      </c>
      <c r="V3" s="82"/>
      <c r="W3" s="67" t="s">
        <v>824</v>
      </c>
      <c r="X3" s="67" t="s">
        <v>825</v>
      </c>
      <c r="Y3" s="78" t="s">
        <v>826</v>
      </c>
    </row>
    <row r="4" spans="1:25" ht="16.5" customHeight="1">
      <c r="A4" s="60" t="s">
        <v>10</v>
      </c>
      <c r="B4" s="61" t="s">
        <v>11</v>
      </c>
      <c r="C4" s="69" t="e">
        <f t="shared" ref="C4:C35" si="0">VLOOKUP(A4,SNAP_DEMO,10,FALSE)</f>
        <v>#REF!</v>
      </c>
      <c r="D4" s="69" t="e">
        <f t="shared" ref="D4:D35" si="1">VLOOKUP(A4,Pop,14,FALSE)</f>
        <v>#REF!</v>
      </c>
      <c r="E4" s="71" t="e">
        <f t="shared" ref="E4:E35" si="2">+C4/D4</f>
        <v>#REF!</v>
      </c>
      <c r="F4" s="71"/>
      <c r="G4" s="69" t="e">
        <f t="shared" ref="G4:G35" si="3">VLOOKUP(A4,SNAP_DEMO,11,FALSE)</f>
        <v>#REF!</v>
      </c>
      <c r="H4" s="69" t="e">
        <f t="shared" ref="H4:H35" si="4">VLOOKUP(A4,Pop,15,FALSE)</f>
        <v>#REF!</v>
      </c>
      <c r="I4" s="71" t="e">
        <f t="shared" ref="I4:I35" si="5">+G4/H4</f>
        <v>#REF!</v>
      </c>
      <c r="J4" s="71"/>
      <c r="K4" s="69" t="e">
        <f t="shared" ref="K4:K35" si="6">VLOOKUP(A4,SNAP_DEMO,12,FALSE)</f>
        <v>#REF!</v>
      </c>
      <c r="L4" s="69" t="e">
        <f t="shared" ref="L4:L35" si="7">VLOOKUP(A4,Pop,16,FALSE)</f>
        <v>#REF!</v>
      </c>
      <c r="M4" s="71" t="e">
        <f t="shared" ref="M4:M35" si="8">+K4/L4</f>
        <v>#REF!</v>
      </c>
      <c r="N4" s="83"/>
      <c r="O4" s="80" t="e">
        <f t="shared" ref="O4:O35" si="9">VLOOKUP(A4,SNAP_DEMO,3,FALSE)</f>
        <v>#REF!</v>
      </c>
      <c r="P4" s="70" t="e">
        <f t="shared" ref="P4:P35" si="10">VLOOKUP(A4,Pop,8,FALSE)</f>
        <v>#REF!</v>
      </c>
      <c r="Q4" s="71" t="e">
        <f t="shared" ref="Q4:Q35" si="11">+O4/P4</f>
        <v>#REF!</v>
      </c>
      <c r="R4" s="71"/>
      <c r="S4" s="70" t="e">
        <f t="shared" ref="S4:S35" si="12">VLOOKUP(A4,SNAP_DEMO,4,FALSE)</f>
        <v>#REF!</v>
      </c>
      <c r="T4" s="70" t="e">
        <f t="shared" ref="T4:T35" si="13">VLOOKUP(A4,Pop,9,FALSE)</f>
        <v>#REF!</v>
      </c>
      <c r="U4" s="71" t="e">
        <f t="shared" ref="U4:U35" si="14">+S4/T4</f>
        <v>#REF!</v>
      </c>
      <c r="V4" s="71"/>
      <c r="W4" s="70" t="e">
        <f t="shared" ref="W4:W35" si="15">VLOOKUP(A4,SNAP_DEMO,5,FALSE)</f>
        <v>#REF!</v>
      </c>
      <c r="X4" s="70" t="e">
        <f t="shared" ref="X4:X35" si="16">VLOOKUP(A4,Pop,10,FALSE)</f>
        <v>#REF!</v>
      </c>
      <c r="Y4" s="71" t="e">
        <f t="shared" ref="Y4:Y35" si="17">+W4/X4</f>
        <v>#REF!</v>
      </c>
    </row>
    <row r="5" spans="1:25" ht="16.5" customHeight="1">
      <c r="A5" s="60" t="s">
        <v>12</v>
      </c>
      <c r="B5" s="61" t="s">
        <v>13</v>
      </c>
      <c r="C5" s="69" t="e">
        <f t="shared" si="0"/>
        <v>#REF!</v>
      </c>
      <c r="D5" s="69" t="e">
        <f t="shared" si="1"/>
        <v>#REF!</v>
      </c>
      <c r="E5" s="71" t="e">
        <f t="shared" si="2"/>
        <v>#REF!</v>
      </c>
      <c r="F5" s="71"/>
      <c r="G5" s="69" t="e">
        <f t="shared" si="3"/>
        <v>#REF!</v>
      </c>
      <c r="H5" s="69" t="e">
        <f t="shared" si="4"/>
        <v>#REF!</v>
      </c>
      <c r="I5" s="71" t="e">
        <f t="shared" si="5"/>
        <v>#REF!</v>
      </c>
      <c r="J5" s="71"/>
      <c r="K5" s="69" t="e">
        <f t="shared" si="6"/>
        <v>#REF!</v>
      </c>
      <c r="L5" s="69" t="e">
        <f t="shared" si="7"/>
        <v>#REF!</v>
      </c>
      <c r="M5" s="71" t="e">
        <f t="shared" si="8"/>
        <v>#REF!</v>
      </c>
      <c r="N5" s="83"/>
      <c r="O5" s="80" t="e">
        <f t="shared" si="9"/>
        <v>#REF!</v>
      </c>
      <c r="P5" s="70" t="e">
        <f t="shared" si="10"/>
        <v>#REF!</v>
      </c>
      <c r="Q5" s="71" t="e">
        <f t="shared" si="11"/>
        <v>#REF!</v>
      </c>
      <c r="R5" s="71"/>
      <c r="S5" s="70" t="e">
        <f t="shared" si="12"/>
        <v>#REF!</v>
      </c>
      <c r="T5" s="70" t="e">
        <f t="shared" si="13"/>
        <v>#REF!</v>
      </c>
      <c r="U5" s="71" t="e">
        <f t="shared" si="14"/>
        <v>#REF!</v>
      </c>
      <c r="V5" s="71"/>
      <c r="W5" s="70" t="e">
        <f t="shared" si="15"/>
        <v>#REF!</v>
      </c>
      <c r="X5" s="70" t="e">
        <f t="shared" si="16"/>
        <v>#REF!</v>
      </c>
      <c r="Y5" s="71" t="e">
        <f t="shared" si="17"/>
        <v>#REF!</v>
      </c>
    </row>
    <row r="6" spans="1:25" ht="16.5" customHeight="1">
      <c r="A6" s="60" t="s">
        <v>16</v>
      </c>
      <c r="B6" s="61" t="s">
        <v>364</v>
      </c>
      <c r="C6" s="69" t="e">
        <f t="shared" si="0"/>
        <v>#REF!</v>
      </c>
      <c r="D6" s="69" t="e">
        <f t="shared" si="1"/>
        <v>#REF!</v>
      </c>
      <c r="E6" s="71" t="e">
        <f t="shared" si="2"/>
        <v>#REF!</v>
      </c>
      <c r="F6" s="71"/>
      <c r="G6" s="69" t="e">
        <f t="shared" si="3"/>
        <v>#REF!</v>
      </c>
      <c r="H6" s="69" t="e">
        <f t="shared" si="4"/>
        <v>#REF!</v>
      </c>
      <c r="I6" s="71" t="e">
        <f t="shared" si="5"/>
        <v>#REF!</v>
      </c>
      <c r="J6" s="71"/>
      <c r="K6" s="69" t="e">
        <f t="shared" si="6"/>
        <v>#REF!</v>
      </c>
      <c r="L6" s="69" t="e">
        <f t="shared" si="7"/>
        <v>#REF!</v>
      </c>
      <c r="M6" s="71" t="e">
        <f t="shared" si="8"/>
        <v>#REF!</v>
      </c>
      <c r="N6" s="83"/>
      <c r="O6" s="80" t="e">
        <f t="shared" si="9"/>
        <v>#REF!</v>
      </c>
      <c r="P6" s="70" t="e">
        <f t="shared" si="10"/>
        <v>#REF!</v>
      </c>
      <c r="Q6" s="71" t="e">
        <f t="shared" si="11"/>
        <v>#REF!</v>
      </c>
      <c r="R6" s="71"/>
      <c r="S6" s="70" t="e">
        <f t="shared" si="12"/>
        <v>#REF!</v>
      </c>
      <c r="T6" s="70" t="e">
        <f t="shared" si="13"/>
        <v>#REF!</v>
      </c>
      <c r="U6" s="71" t="e">
        <f t="shared" si="14"/>
        <v>#REF!</v>
      </c>
      <c r="V6" s="71"/>
      <c r="W6" s="70" t="e">
        <f t="shared" si="15"/>
        <v>#REF!</v>
      </c>
      <c r="X6" s="70" t="e">
        <f t="shared" si="16"/>
        <v>#REF!</v>
      </c>
      <c r="Y6" s="71" t="e">
        <f t="shared" si="17"/>
        <v>#REF!</v>
      </c>
    </row>
    <row r="7" spans="1:25" ht="16.5" customHeight="1">
      <c r="A7" s="60" t="s">
        <v>18</v>
      </c>
      <c r="B7" s="61" t="s">
        <v>19</v>
      </c>
      <c r="C7" s="69" t="e">
        <f t="shared" si="0"/>
        <v>#REF!</v>
      </c>
      <c r="D7" s="69" t="e">
        <f t="shared" si="1"/>
        <v>#REF!</v>
      </c>
      <c r="E7" s="71" t="e">
        <f t="shared" si="2"/>
        <v>#REF!</v>
      </c>
      <c r="F7" s="71"/>
      <c r="G7" s="69" t="e">
        <f t="shared" si="3"/>
        <v>#REF!</v>
      </c>
      <c r="H7" s="69" t="e">
        <f t="shared" si="4"/>
        <v>#REF!</v>
      </c>
      <c r="I7" s="71" t="e">
        <f t="shared" si="5"/>
        <v>#REF!</v>
      </c>
      <c r="J7" s="71"/>
      <c r="K7" s="69" t="e">
        <f t="shared" si="6"/>
        <v>#REF!</v>
      </c>
      <c r="L7" s="69" t="e">
        <f t="shared" si="7"/>
        <v>#REF!</v>
      </c>
      <c r="M7" s="71" t="e">
        <f t="shared" si="8"/>
        <v>#REF!</v>
      </c>
      <c r="N7" s="83"/>
      <c r="O7" s="80" t="e">
        <f t="shared" si="9"/>
        <v>#REF!</v>
      </c>
      <c r="P7" s="70" t="e">
        <f t="shared" si="10"/>
        <v>#REF!</v>
      </c>
      <c r="Q7" s="71" t="e">
        <f t="shared" si="11"/>
        <v>#REF!</v>
      </c>
      <c r="R7" s="71"/>
      <c r="S7" s="70" t="e">
        <f t="shared" si="12"/>
        <v>#REF!</v>
      </c>
      <c r="T7" s="70" t="e">
        <f t="shared" si="13"/>
        <v>#REF!</v>
      </c>
      <c r="U7" s="71" t="e">
        <f t="shared" si="14"/>
        <v>#REF!</v>
      </c>
      <c r="V7" s="71"/>
      <c r="W7" s="70" t="e">
        <f t="shared" si="15"/>
        <v>#REF!</v>
      </c>
      <c r="X7" s="70" t="e">
        <f t="shared" si="16"/>
        <v>#REF!</v>
      </c>
      <c r="Y7" s="71" t="e">
        <f t="shared" si="17"/>
        <v>#REF!</v>
      </c>
    </row>
    <row r="8" spans="1:25" ht="16.5" customHeight="1">
      <c r="A8" s="60" t="s">
        <v>20</v>
      </c>
      <c r="B8" s="61" t="s">
        <v>21</v>
      </c>
      <c r="C8" s="69" t="e">
        <f t="shared" si="0"/>
        <v>#REF!</v>
      </c>
      <c r="D8" s="69" t="e">
        <f t="shared" si="1"/>
        <v>#REF!</v>
      </c>
      <c r="E8" s="71" t="e">
        <f t="shared" si="2"/>
        <v>#REF!</v>
      </c>
      <c r="F8" s="71"/>
      <c r="G8" s="69" t="e">
        <f t="shared" si="3"/>
        <v>#REF!</v>
      </c>
      <c r="H8" s="69" t="e">
        <f t="shared" si="4"/>
        <v>#REF!</v>
      </c>
      <c r="I8" s="71" t="e">
        <f t="shared" si="5"/>
        <v>#REF!</v>
      </c>
      <c r="J8" s="71"/>
      <c r="K8" s="69" t="e">
        <f t="shared" si="6"/>
        <v>#REF!</v>
      </c>
      <c r="L8" s="69" t="e">
        <f t="shared" si="7"/>
        <v>#REF!</v>
      </c>
      <c r="M8" s="71" t="e">
        <f t="shared" si="8"/>
        <v>#REF!</v>
      </c>
      <c r="N8" s="83"/>
      <c r="O8" s="80" t="e">
        <f t="shared" si="9"/>
        <v>#REF!</v>
      </c>
      <c r="P8" s="70" t="e">
        <f t="shared" si="10"/>
        <v>#REF!</v>
      </c>
      <c r="Q8" s="71" t="e">
        <f t="shared" si="11"/>
        <v>#REF!</v>
      </c>
      <c r="R8" s="71"/>
      <c r="S8" s="70" t="e">
        <f t="shared" si="12"/>
        <v>#REF!</v>
      </c>
      <c r="T8" s="70" t="e">
        <f t="shared" si="13"/>
        <v>#REF!</v>
      </c>
      <c r="U8" s="71" t="e">
        <f t="shared" si="14"/>
        <v>#REF!</v>
      </c>
      <c r="V8" s="71"/>
      <c r="W8" s="70" t="e">
        <f t="shared" si="15"/>
        <v>#REF!</v>
      </c>
      <c r="X8" s="70" t="e">
        <f t="shared" si="16"/>
        <v>#REF!</v>
      </c>
      <c r="Y8" s="71" t="e">
        <f t="shared" si="17"/>
        <v>#REF!</v>
      </c>
    </row>
    <row r="9" spans="1:25" ht="16.5" customHeight="1">
      <c r="A9" s="60" t="s">
        <v>22</v>
      </c>
      <c r="B9" s="61" t="s">
        <v>23</v>
      </c>
      <c r="C9" s="69" t="e">
        <f t="shared" si="0"/>
        <v>#REF!</v>
      </c>
      <c r="D9" s="69" t="e">
        <f t="shared" si="1"/>
        <v>#REF!</v>
      </c>
      <c r="E9" s="71" t="e">
        <f t="shared" si="2"/>
        <v>#REF!</v>
      </c>
      <c r="F9" s="71"/>
      <c r="G9" s="69" t="e">
        <f t="shared" si="3"/>
        <v>#REF!</v>
      </c>
      <c r="H9" s="69" t="e">
        <f t="shared" si="4"/>
        <v>#REF!</v>
      </c>
      <c r="I9" s="71" t="e">
        <f t="shared" si="5"/>
        <v>#REF!</v>
      </c>
      <c r="J9" s="71"/>
      <c r="K9" s="69" t="e">
        <f t="shared" si="6"/>
        <v>#REF!</v>
      </c>
      <c r="L9" s="69" t="e">
        <f t="shared" si="7"/>
        <v>#REF!</v>
      </c>
      <c r="M9" s="71" t="e">
        <f t="shared" si="8"/>
        <v>#REF!</v>
      </c>
      <c r="N9" s="83"/>
      <c r="O9" s="80" t="e">
        <f t="shared" si="9"/>
        <v>#REF!</v>
      </c>
      <c r="P9" s="70" t="e">
        <f t="shared" si="10"/>
        <v>#REF!</v>
      </c>
      <c r="Q9" s="71" t="e">
        <f t="shared" si="11"/>
        <v>#REF!</v>
      </c>
      <c r="R9" s="71"/>
      <c r="S9" s="70" t="e">
        <f t="shared" si="12"/>
        <v>#REF!</v>
      </c>
      <c r="T9" s="70" t="e">
        <f t="shared" si="13"/>
        <v>#REF!</v>
      </c>
      <c r="U9" s="71" t="e">
        <f t="shared" si="14"/>
        <v>#REF!</v>
      </c>
      <c r="V9" s="71"/>
      <c r="W9" s="70" t="e">
        <f t="shared" si="15"/>
        <v>#REF!</v>
      </c>
      <c r="X9" s="70" t="e">
        <f t="shared" si="16"/>
        <v>#REF!</v>
      </c>
      <c r="Y9" s="71" t="e">
        <f t="shared" si="17"/>
        <v>#REF!</v>
      </c>
    </row>
    <row r="10" spans="1:25" ht="16.5" customHeight="1">
      <c r="A10" s="60" t="s">
        <v>24</v>
      </c>
      <c r="B10" s="61" t="s">
        <v>25</v>
      </c>
      <c r="C10" s="69" t="e">
        <f t="shared" si="0"/>
        <v>#REF!</v>
      </c>
      <c r="D10" s="69" t="e">
        <f t="shared" si="1"/>
        <v>#REF!</v>
      </c>
      <c r="E10" s="71" t="e">
        <f t="shared" si="2"/>
        <v>#REF!</v>
      </c>
      <c r="F10" s="71"/>
      <c r="G10" s="69" t="e">
        <f t="shared" si="3"/>
        <v>#REF!</v>
      </c>
      <c r="H10" s="69" t="e">
        <f t="shared" si="4"/>
        <v>#REF!</v>
      </c>
      <c r="I10" s="71" t="e">
        <f t="shared" si="5"/>
        <v>#REF!</v>
      </c>
      <c r="J10" s="71"/>
      <c r="K10" s="69" t="e">
        <f t="shared" si="6"/>
        <v>#REF!</v>
      </c>
      <c r="L10" s="69" t="e">
        <f t="shared" si="7"/>
        <v>#REF!</v>
      </c>
      <c r="M10" s="71" t="e">
        <f t="shared" si="8"/>
        <v>#REF!</v>
      </c>
      <c r="N10" s="83"/>
      <c r="O10" s="80" t="e">
        <f t="shared" si="9"/>
        <v>#REF!</v>
      </c>
      <c r="P10" s="70" t="e">
        <f t="shared" si="10"/>
        <v>#REF!</v>
      </c>
      <c r="Q10" s="71" t="e">
        <f t="shared" si="11"/>
        <v>#REF!</v>
      </c>
      <c r="R10" s="71"/>
      <c r="S10" s="70" t="e">
        <f t="shared" si="12"/>
        <v>#REF!</v>
      </c>
      <c r="T10" s="70" t="e">
        <f t="shared" si="13"/>
        <v>#REF!</v>
      </c>
      <c r="U10" s="71" t="e">
        <f t="shared" si="14"/>
        <v>#REF!</v>
      </c>
      <c r="V10" s="71"/>
      <c r="W10" s="70" t="e">
        <f t="shared" si="15"/>
        <v>#REF!</v>
      </c>
      <c r="X10" s="70" t="e">
        <f t="shared" si="16"/>
        <v>#REF!</v>
      </c>
      <c r="Y10" s="71" t="e">
        <f t="shared" si="17"/>
        <v>#REF!</v>
      </c>
    </row>
    <row r="11" spans="1:25" ht="16.5" customHeight="1">
      <c r="A11" s="60" t="s">
        <v>26</v>
      </c>
      <c r="B11" s="61" t="s">
        <v>365</v>
      </c>
      <c r="C11" s="69" t="e">
        <f t="shared" si="0"/>
        <v>#REF!</v>
      </c>
      <c r="D11" s="69" t="e">
        <f t="shared" si="1"/>
        <v>#REF!</v>
      </c>
      <c r="E11" s="71" t="e">
        <f t="shared" si="2"/>
        <v>#REF!</v>
      </c>
      <c r="F11" s="71"/>
      <c r="G11" s="69" t="e">
        <f t="shared" si="3"/>
        <v>#REF!</v>
      </c>
      <c r="H11" s="69" t="e">
        <f t="shared" si="4"/>
        <v>#REF!</v>
      </c>
      <c r="I11" s="71" t="e">
        <f t="shared" si="5"/>
        <v>#REF!</v>
      </c>
      <c r="J11" s="71"/>
      <c r="K11" s="69" t="e">
        <f t="shared" si="6"/>
        <v>#REF!</v>
      </c>
      <c r="L11" s="69" t="e">
        <f t="shared" si="7"/>
        <v>#REF!</v>
      </c>
      <c r="M11" s="71" t="e">
        <f t="shared" si="8"/>
        <v>#REF!</v>
      </c>
      <c r="N11" s="83"/>
      <c r="O11" s="80" t="e">
        <f t="shared" si="9"/>
        <v>#REF!</v>
      </c>
      <c r="P11" s="70" t="e">
        <f t="shared" si="10"/>
        <v>#REF!</v>
      </c>
      <c r="Q11" s="71" t="e">
        <f t="shared" si="11"/>
        <v>#REF!</v>
      </c>
      <c r="R11" s="71"/>
      <c r="S11" s="70" t="e">
        <f t="shared" si="12"/>
        <v>#REF!</v>
      </c>
      <c r="T11" s="70" t="e">
        <f t="shared" si="13"/>
        <v>#REF!</v>
      </c>
      <c r="U11" s="71" t="e">
        <f t="shared" si="14"/>
        <v>#REF!</v>
      </c>
      <c r="V11" s="71"/>
      <c r="W11" s="70" t="e">
        <f t="shared" si="15"/>
        <v>#REF!</v>
      </c>
      <c r="X11" s="70" t="e">
        <f t="shared" si="16"/>
        <v>#REF!</v>
      </c>
      <c r="Y11" s="71" t="e">
        <f t="shared" si="17"/>
        <v>#REF!</v>
      </c>
    </row>
    <row r="12" spans="1:25" ht="16.5" customHeight="1">
      <c r="A12" s="60" t="s">
        <v>27</v>
      </c>
      <c r="B12" s="61" t="s">
        <v>28</v>
      </c>
      <c r="C12" s="69" t="e">
        <f t="shared" si="0"/>
        <v>#REF!</v>
      </c>
      <c r="D12" s="69" t="e">
        <f t="shared" si="1"/>
        <v>#REF!</v>
      </c>
      <c r="E12" s="71" t="e">
        <f t="shared" si="2"/>
        <v>#REF!</v>
      </c>
      <c r="F12" s="71"/>
      <c r="G12" s="69" t="e">
        <f t="shared" si="3"/>
        <v>#REF!</v>
      </c>
      <c r="H12" s="69" t="e">
        <f t="shared" si="4"/>
        <v>#REF!</v>
      </c>
      <c r="I12" s="71" t="e">
        <f t="shared" si="5"/>
        <v>#REF!</v>
      </c>
      <c r="J12" s="71"/>
      <c r="K12" s="69" t="e">
        <f t="shared" si="6"/>
        <v>#REF!</v>
      </c>
      <c r="L12" s="69" t="e">
        <f t="shared" si="7"/>
        <v>#REF!</v>
      </c>
      <c r="M12" s="71" t="e">
        <f t="shared" si="8"/>
        <v>#REF!</v>
      </c>
      <c r="N12" s="83"/>
      <c r="O12" s="80" t="e">
        <f t="shared" si="9"/>
        <v>#REF!</v>
      </c>
      <c r="P12" s="70" t="e">
        <f t="shared" si="10"/>
        <v>#REF!</v>
      </c>
      <c r="Q12" s="71" t="e">
        <f t="shared" si="11"/>
        <v>#REF!</v>
      </c>
      <c r="R12" s="71"/>
      <c r="S12" s="70" t="e">
        <f t="shared" si="12"/>
        <v>#REF!</v>
      </c>
      <c r="T12" s="70" t="e">
        <f t="shared" si="13"/>
        <v>#REF!</v>
      </c>
      <c r="U12" s="71" t="e">
        <f t="shared" si="14"/>
        <v>#REF!</v>
      </c>
      <c r="V12" s="71"/>
      <c r="W12" s="70" t="e">
        <f t="shared" si="15"/>
        <v>#REF!</v>
      </c>
      <c r="X12" s="70" t="e">
        <f t="shared" si="16"/>
        <v>#REF!</v>
      </c>
      <c r="Y12" s="71" t="e">
        <f t="shared" si="17"/>
        <v>#REF!</v>
      </c>
    </row>
    <row r="13" spans="1:25" ht="16.5" customHeight="1">
      <c r="A13" s="60" t="s">
        <v>29</v>
      </c>
      <c r="B13" s="61" t="s">
        <v>386</v>
      </c>
      <c r="C13" s="69" t="e">
        <f t="shared" si="0"/>
        <v>#REF!</v>
      </c>
      <c r="D13" s="69" t="e">
        <f t="shared" si="1"/>
        <v>#REF!</v>
      </c>
      <c r="E13" s="71" t="e">
        <f t="shared" si="2"/>
        <v>#REF!</v>
      </c>
      <c r="F13" s="71"/>
      <c r="G13" s="69" t="e">
        <f t="shared" si="3"/>
        <v>#REF!</v>
      </c>
      <c r="H13" s="69" t="e">
        <f t="shared" si="4"/>
        <v>#REF!</v>
      </c>
      <c r="I13" s="71" t="e">
        <f t="shared" si="5"/>
        <v>#REF!</v>
      </c>
      <c r="J13" s="71"/>
      <c r="K13" s="69" t="e">
        <f t="shared" si="6"/>
        <v>#REF!</v>
      </c>
      <c r="L13" s="69" t="e">
        <f t="shared" si="7"/>
        <v>#REF!</v>
      </c>
      <c r="M13" s="71" t="e">
        <f t="shared" si="8"/>
        <v>#REF!</v>
      </c>
      <c r="N13" s="83"/>
      <c r="O13" s="80" t="e">
        <f t="shared" si="9"/>
        <v>#REF!</v>
      </c>
      <c r="P13" s="70" t="e">
        <f t="shared" si="10"/>
        <v>#REF!</v>
      </c>
      <c r="Q13" s="71" t="e">
        <f t="shared" si="11"/>
        <v>#REF!</v>
      </c>
      <c r="R13" s="71"/>
      <c r="S13" s="70" t="e">
        <f t="shared" si="12"/>
        <v>#REF!</v>
      </c>
      <c r="T13" s="70" t="e">
        <f t="shared" si="13"/>
        <v>#REF!</v>
      </c>
      <c r="U13" s="71" t="e">
        <f t="shared" si="14"/>
        <v>#REF!</v>
      </c>
      <c r="V13" s="71"/>
      <c r="W13" s="70" t="e">
        <f t="shared" si="15"/>
        <v>#REF!</v>
      </c>
      <c r="X13" s="70" t="e">
        <f t="shared" si="16"/>
        <v>#REF!</v>
      </c>
      <c r="Y13" s="71" t="e">
        <f t="shared" si="17"/>
        <v>#REF!</v>
      </c>
    </row>
    <row r="14" spans="1:25" ht="16.5" customHeight="1">
      <c r="A14" s="60" t="s">
        <v>31</v>
      </c>
      <c r="B14" s="76" t="s">
        <v>32</v>
      </c>
      <c r="C14" s="69" t="e">
        <f t="shared" si="0"/>
        <v>#REF!</v>
      </c>
      <c r="D14" s="69" t="e">
        <f t="shared" si="1"/>
        <v>#REF!</v>
      </c>
      <c r="E14" s="71" t="e">
        <f t="shared" si="2"/>
        <v>#REF!</v>
      </c>
      <c r="F14" s="71"/>
      <c r="G14" s="69" t="e">
        <f t="shared" si="3"/>
        <v>#REF!</v>
      </c>
      <c r="H14" s="69" t="e">
        <f t="shared" si="4"/>
        <v>#REF!</v>
      </c>
      <c r="I14" s="71" t="e">
        <f t="shared" si="5"/>
        <v>#REF!</v>
      </c>
      <c r="J14" s="71"/>
      <c r="K14" s="69" t="e">
        <f t="shared" si="6"/>
        <v>#REF!</v>
      </c>
      <c r="L14" s="69" t="e">
        <f t="shared" si="7"/>
        <v>#REF!</v>
      </c>
      <c r="M14" s="71" t="e">
        <f t="shared" si="8"/>
        <v>#REF!</v>
      </c>
      <c r="N14" s="83"/>
      <c r="O14" s="80" t="e">
        <f t="shared" si="9"/>
        <v>#REF!</v>
      </c>
      <c r="P14" s="70" t="e">
        <f t="shared" si="10"/>
        <v>#REF!</v>
      </c>
      <c r="Q14" s="71" t="e">
        <f t="shared" si="11"/>
        <v>#REF!</v>
      </c>
      <c r="R14" s="71"/>
      <c r="S14" s="70" t="e">
        <f t="shared" si="12"/>
        <v>#REF!</v>
      </c>
      <c r="T14" s="70" t="e">
        <f t="shared" si="13"/>
        <v>#REF!</v>
      </c>
      <c r="U14" s="71" t="e">
        <f t="shared" si="14"/>
        <v>#REF!</v>
      </c>
      <c r="V14" s="71"/>
      <c r="W14" s="70" t="e">
        <f t="shared" si="15"/>
        <v>#REF!</v>
      </c>
      <c r="X14" s="70" t="e">
        <f t="shared" si="16"/>
        <v>#REF!</v>
      </c>
      <c r="Y14" s="71" t="e">
        <f t="shared" si="17"/>
        <v>#REF!</v>
      </c>
    </row>
    <row r="15" spans="1:25" ht="16.5" customHeight="1">
      <c r="A15" s="60" t="s">
        <v>33</v>
      </c>
      <c r="B15" s="61" t="s">
        <v>34</v>
      </c>
      <c r="C15" s="69" t="e">
        <f t="shared" si="0"/>
        <v>#REF!</v>
      </c>
      <c r="D15" s="69" t="e">
        <f t="shared" si="1"/>
        <v>#REF!</v>
      </c>
      <c r="E15" s="71" t="e">
        <f t="shared" si="2"/>
        <v>#REF!</v>
      </c>
      <c r="F15" s="71"/>
      <c r="G15" s="69" t="e">
        <f t="shared" si="3"/>
        <v>#REF!</v>
      </c>
      <c r="H15" s="69" t="e">
        <f t="shared" si="4"/>
        <v>#REF!</v>
      </c>
      <c r="I15" s="71" t="e">
        <f t="shared" si="5"/>
        <v>#REF!</v>
      </c>
      <c r="J15" s="71"/>
      <c r="K15" s="69" t="e">
        <f t="shared" si="6"/>
        <v>#REF!</v>
      </c>
      <c r="L15" s="69" t="e">
        <f t="shared" si="7"/>
        <v>#REF!</v>
      </c>
      <c r="M15" s="71" t="e">
        <f t="shared" si="8"/>
        <v>#REF!</v>
      </c>
      <c r="N15" s="83"/>
      <c r="O15" s="80" t="e">
        <f t="shared" si="9"/>
        <v>#REF!</v>
      </c>
      <c r="P15" s="70" t="e">
        <f t="shared" si="10"/>
        <v>#REF!</v>
      </c>
      <c r="Q15" s="71" t="e">
        <f t="shared" si="11"/>
        <v>#REF!</v>
      </c>
      <c r="R15" s="71"/>
      <c r="S15" s="70" t="e">
        <f t="shared" si="12"/>
        <v>#REF!</v>
      </c>
      <c r="T15" s="70" t="e">
        <f t="shared" si="13"/>
        <v>#REF!</v>
      </c>
      <c r="U15" s="71" t="e">
        <f t="shared" si="14"/>
        <v>#REF!</v>
      </c>
      <c r="V15" s="71"/>
      <c r="W15" s="70" t="e">
        <f t="shared" si="15"/>
        <v>#REF!</v>
      </c>
      <c r="X15" s="70" t="e">
        <f t="shared" si="16"/>
        <v>#REF!</v>
      </c>
      <c r="Y15" s="71" t="e">
        <f t="shared" si="17"/>
        <v>#REF!</v>
      </c>
    </row>
    <row r="16" spans="1:25" ht="16.5" customHeight="1">
      <c r="A16" s="60" t="s">
        <v>37</v>
      </c>
      <c r="B16" s="61" t="s">
        <v>38</v>
      </c>
      <c r="C16" s="69" t="e">
        <f t="shared" si="0"/>
        <v>#REF!</v>
      </c>
      <c r="D16" s="69" t="e">
        <f t="shared" si="1"/>
        <v>#REF!</v>
      </c>
      <c r="E16" s="71" t="e">
        <f t="shared" si="2"/>
        <v>#REF!</v>
      </c>
      <c r="F16" s="71"/>
      <c r="G16" s="69" t="e">
        <f t="shared" si="3"/>
        <v>#REF!</v>
      </c>
      <c r="H16" s="69" t="e">
        <f t="shared" si="4"/>
        <v>#REF!</v>
      </c>
      <c r="I16" s="71" t="e">
        <f t="shared" si="5"/>
        <v>#REF!</v>
      </c>
      <c r="J16" s="71"/>
      <c r="K16" s="69" t="e">
        <f t="shared" si="6"/>
        <v>#REF!</v>
      </c>
      <c r="L16" s="69" t="e">
        <f t="shared" si="7"/>
        <v>#REF!</v>
      </c>
      <c r="M16" s="71" t="e">
        <f t="shared" si="8"/>
        <v>#REF!</v>
      </c>
      <c r="N16" s="83"/>
      <c r="O16" s="80" t="e">
        <f t="shared" si="9"/>
        <v>#REF!</v>
      </c>
      <c r="P16" s="70" t="e">
        <f t="shared" si="10"/>
        <v>#REF!</v>
      </c>
      <c r="Q16" s="71" t="e">
        <f t="shared" si="11"/>
        <v>#REF!</v>
      </c>
      <c r="R16" s="71"/>
      <c r="S16" s="70" t="e">
        <f t="shared" si="12"/>
        <v>#REF!</v>
      </c>
      <c r="T16" s="70" t="e">
        <f t="shared" si="13"/>
        <v>#REF!</v>
      </c>
      <c r="U16" s="71" t="e">
        <f t="shared" si="14"/>
        <v>#REF!</v>
      </c>
      <c r="V16" s="71"/>
      <c r="W16" s="70" t="e">
        <f t="shared" si="15"/>
        <v>#REF!</v>
      </c>
      <c r="X16" s="70" t="e">
        <f t="shared" si="16"/>
        <v>#REF!</v>
      </c>
      <c r="Y16" s="71" t="e">
        <f t="shared" si="17"/>
        <v>#REF!</v>
      </c>
    </row>
    <row r="17" spans="1:25" ht="16.5" customHeight="1">
      <c r="A17" s="60" t="s">
        <v>39</v>
      </c>
      <c r="B17" s="76" t="s">
        <v>40</v>
      </c>
      <c r="C17" s="69" t="e">
        <f t="shared" si="0"/>
        <v>#REF!</v>
      </c>
      <c r="D17" s="69" t="e">
        <f t="shared" si="1"/>
        <v>#REF!</v>
      </c>
      <c r="E17" s="71" t="e">
        <f t="shared" si="2"/>
        <v>#REF!</v>
      </c>
      <c r="F17" s="71"/>
      <c r="G17" s="69" t="e">
        <f t="shared" si="3"/>
        <v>#REF!</v>
      </c>
      <c r="H17" s="69" t="e">
        <f t="shared" si="4"/>
        <v>#REF!</v>
      </c>
      <c r="I17" s="71" t="e">
        <f t="shared" si="5"/>
        <v>#REF!</v>
      </c>
      <c r="J17" s="71"/>
      <c r="K17" s="69" t="e">
        <f t="shared" si="6"/>
        <v>#REF!</v>
      </c>
      <c r="L17" s="69" t="e">
        <f t="shared" si="7"/>
        <v>#REF!</v>
      </c>
      <c r="M17" s="71" t="e">
        <f t="shared" si="8"/>
        <v>#REF!</v>
      </c>
      <c r="N17" s="83"/>
      <c r="O17" s="80" t="e">
        <f t="shared" si="9"/>
        <v>#REF!</v>
      </c>
      <c r="P17" s="70" t="e">
        <f t="shared" si="10"/>
        <v>#REF!</v>
      </c>
      <c r="Q17" s="71" t="e">
        <f t="shared" si="11"/>
        <v>#REF!</v>
      </c>
      <c r="R17" s="71"/>
      <c r="S17" s="70" t="e">
        <f t="shared" si="12"/>
        <v>#REF!</v>
      </c>
      <c r="T17" s="70" t="e">
        <f t="shared" si="13"/>
        <v>#REF!</v>
      </c>
      <c r="U17" s="71" t="e">
        <f t="shared" si="14"/>
        <v>#REF!</v>
      </c>
      <c r="V17" s="71"/>
      <c r="W17" s="70" t="e">
        <f t="shared" si="15"/>
        <v>#REF!</v>
      </c>
      <c r="X17" s="70" t="e">
        <f t="shared" si="16"/>
        <v>#REF!</v>
      </c>
      <c r="Y17" s="71" t="e">
        <f t="shared" si="17"/>
        <v>#REF!</v>
      </c>
    </row>
    <row r="18" spans="1:25" ht="16.5" customHeight="1">
      <c r="A18" s="60" t="s">
        <v>41</v>
      </c>
      <c r="B18" s="76" t="s">
        <v>42</v>
      </c>
      <c r="C18" s="69" t="e">
        <f t="shared" si="0"/>
        <v>#REF!</v>
      </c>
      <c r="D18" s="69" t="e">
        <f t="shared" si="1"/>
        <v>#REF!</v>
      </c>
      <c r="E18" s="71" t="e">
        <f t="shared" si="2"/>
        <v>#REF!</v>
      </c>
      <c r="F18" s="71"/>
      <c r="G18" s="69" t="e">
        <f t="shared" si="3"/>
        <v>#REF!</v>
      </c>
      <c r="H18" s="69" t="e">
        <f t="shared" si="4"/>
        <v>#REF!</v>
      </c>
      <c r="I18" s="71" t="e">
        <f t="shared" si="5"/>
        <v>#REF!</v>
      </c>
      <c r="J18" s="71"/>
      <c r="K18" s="69" t="e">
        <f t="shared" si="6"/>
        <v>#REF!</v>
      </c>
      <c r="L18" s="69" t="e">
        <f t="shared" si="7"/>
        <v>#REF!</v>
      </c>
      <c r="M18" s="71" t="e">
        <f t="shared" si="8"/>
        <v>#REF!</v>
      </c>
      <c r="N18" s="83"/>
      <c r="O18" s="80" t="e">
        <f t="shared" si="9"/>
        <v>#REF!</v>
      </c>
      <c r="P18" s="70" t="e">
        <f t="shared" si="10"/>
        <v>#REF!</v>
      </c>
      <c r="Q18" s="71" t="e">
        <f t="shared" si="11"/>
        <v>#REF!</v>
      </c>
      <c r="R18" s="71"/>
      <c r="S18" s="70" t="e">
        <f t="shared" si="12"/>
        <v>#REF!</v>
      </c>
      <c r="T18" s="70" t="e">
        <f t="shared" si="13"/>
        <v>#REF!</v>
      </c>
      <c r="U18" s="71" t="e">
        <f t="shared" si="14"/>
        <v>#REF!</v>
      </c>
      <c r="V18" s="71"/>
      <c r="W18" s="70" t="e">
        <f t="shared" si="15"/>
        <v>#REF!</v>
      </c>
      <c r="X18" s="70" t="e">
        <f t="shared" si="16"/>
        <v>#REF!</v>
      </c>
      <c r="Y18" s="71" t="e">
        <f t="shared" si="17"/>
        <v>#REF!</v>
      </c>
    </row>
    <row r="19" spans="1:25" ht="16.5" customHeight="1">
      <c r="A19" s="60" t="s">
        <v>43</v>
      </c>
      <c r="B19" s="61" t="s">
        <v>44</v>
      </c>
      <c r="C19" s="69" t="e">
        <f t="shared" si="0"/>
        <v>#REF!</v>
      </c>
      <c r="D19" s="69" t="e">
        <f t="shared" si="1"/>
        <v>#REF!</v>
      </c>
      <c r="E19" s="71" t="e">
        <f t="shared" si="2"/>
        <v>#REF!</v>
      </c>
      <c r="F19" s="71"/>
      <c r="G19" s="69" t="e">
        <f t="shared" si="3"/>
        <v>#REF!</v>
      </c>
      <c r="H19" s="69" t="e">
        <f t="shared" si="4"/>
        <v>#REF!</v>
      </c>
      <c r="I19" s="71" t="e">
        <f t="shared" si="5"/>
        <v>#REF!</v>
      </c>
      <c r="J19" s="71"/>
      <c r="K19" s="69" t="e">
        <f t="shared" si="6"/>
        <v>#REF!</v>
      </c>
      <c r="L19" s="69" t="e">
        <f t="shared" si="7"/>
        <v>#REF!</v>
      </c>
      <c r="M19" s="71" t="e">
        <f t="shared" si="8"/>
        <v>#REF!</v>
      </c>
      <c r="N19" s="83"/>
      <c r="O19" s="80" t="e">
        <f t="shared" si="9"/>
        <v>#REF!</v>
      </c>
      <c r="P19" s="70" t="e">
        <f t="shared" si="10"/>
        <v>#REF!</v>
      </c>
      <c r="Q19" s="71" t="e">
        <f t="shared" si="11"/>
        <v>#REF!</v>
      </c>
      <c r="R19" s="71"/>
      <c r="S19" s="70" t="e">
        <f t="shared" si="12"/>
        <v>#REF!</v>
      </c>
      <c r="T19" s="70" t="e">
        <f t="shared" si="13"/>
        <v>#REF!</v>
      </c>
      <c r="U19" s="71" t="e">
        <f t="shared" si="14"/>
        <v>#REF!</v>
      </c>
      <c r="V19" s="71"/>
      <c r="W19" s="70" t="e">
        <f t="shared" si="15"/>
        <v>#REF!</v>
      </c>
      <c r="X19" s="70" t="e">
        <f t="shared" si="16"/>
        <v>#REF!</v>
      </c>
      <c r="Y19" s="71" t="e">
        <f t="shared" si="17"/>
        <v>#REF!</v>
      </c>
    </row>
    <row r="20" spans="1:25" ht="16.5" customHeight="1">
      <c r="A20" s="60" t="s">
        <v>45</v>
      </c>
      <c r="B20" s="61" t="s">
        <v>46</v>
      </c>
      <c r="C20" s="69" t="e">
        <f t="shared" si="0"/>
        <v>#REF!</v>
      </c>
      <c r="D20" s="69" t="e">
        <f t="shared" si="1"/>
        <v>#REF!</v>
      </c>
      <c r="E20" s="71" t="e">
        <f t="shared" si="2"/>
        <v>#REF!</v>
      </c>
      <c r="F20" s="71"/>
      <c r="G20" s="69" t="e">
        <f t="shared" si="3"/>
        <v>#REF!</v>
      </c>
      <c r="H20" s="69" t="e">
        <f t="shared" si="4"/>
        <v>#REF!</v>
      </c>
      <c r="I20" s="71" t="e">
        <f t="shared" si="5"/>
        <v>#REF!</v>
      </c>
      <c r="J20" s="71"/>
      <c r="K20" s="69" t="e">
        <f t="shared" si="6"/>
        <v>#REF!</v>
      </c>
      <c r="L20" s="69" t="e">
        <f t="shared" si="7"/>
        <v>#REF!</v>
      </c>
      <c r="M20" s="71" t="e">
        <f t="shared" si="8"/>
        <v>#REF!</v>
      </c>
      <c r="N20" s="83"/>
      <c r="O20" s="80" t="e">
        <f t="shared" si="9"/>
        <v>#REF!</v>
      </c>
      <c r="P20" s="70" t="e">
        <f t="shared" si="10"/>
        <v>#REF!</v>
      </c>
      <c r="Q20" s="71" t="e">
        <f t="shared" si="11"/>
        <v>#REF!</v>
      </c>
      <c r="R20" s="71"/>
      <c r="S20" s="70" t="e">
        <f t="shared" si="12"/>
        <v>#REF!</v>
      </c>
      <c r="T20" s="70" t="e">
        <f t="shared" si="13"/>
        <v>#REF!</v>
      </c>
      <c r="U20" s="71" t="e">
        <f t="shared" si="14"/>
        <v>#REF!</v>
      </c>
      <c r="V20" s="71"/>
      <c r="W20" s="70" t="e">
        <f t="shared" si="15"/>
        <v>#REF!</v>
      </c>
      <c r="X20" s="70" t="e">
        <f t="shared" si="16"/>
        <v>#REF!</v>
      </c>
      <c r="Y20" s="71" t="e">
        <f t="shared" si="17"/>
        <v>#REF!</v>
      </c>
    </row>
    <row r="21" spans="1:25" ht="16.5" customHeight="1">
      <c r="A21" s="60" t="s">
        <v>47</v>
      </c>
      <c r="B21" s="76" t="s">
        <v>48</v>
      </c>
      <c r="C21" s="69" t="e">
        <f t="shared" si="0"/>
        <v>#REF!</v>
      </c>
      <c r="D21" s="69" t="e">
        <f t="shared" si="1"/>
        <v>#REF!</v>
      </c>
      <c r="E21" s="71" t="e">
        <f t="shared" si="2"/>
        <v>#REF!</v>
      </c>
      <c r="F21" s="71"/>
      <c r="G21" s="69" t="e">
        <f t="shared" si="3"/>
        <v>#REF!</v>
      </c>
      <c r="H21" s="69" t="e">
        <f t="shared" si="4"/>
        <v>#REF!</v>
      </c>
      <c r="I21" s="71" t="e">
        <f t="shared" si="5"/>
        <v>#REF!</v>
      </c>
      <c r="J21" s="71"/>
      <c r="K21" s="69" t="e">
        <f t="shared" si="6"/>
        <v>#REF!</v>
      </c>
      <c r="L21" s="69" t="e">
        <f t="shared" si="7"/>
        <v>#REF!</v>
      </c>
      <c r="M21" s="71" t="e">
        <f t="shared" si="8"/>
        <v>#REF!</v>
      </c>
      <c r="N21" s="83"/>
      <c r="O21" s="80" t="e">
        <f t="shared" si="9"/>
        <v>#REF!</v>
      </c>
      <c r="P21" s="70" t="e">
        <f t="shared" si="10"/>
        <v>#REF!</v>
      </c>
      <c r="Q21" s="71" t="e">
        <f t="shared" si="11"/>
        <v>#REF!</v>
      </c>
      <c r="R21" s="71"/>
      <c r="S21" s="70" t="e">
        <f t="shared" si="12"/>
        <v>#REF!</v>
      </c>
      <c r="T21" s="70" t="e">
        <f t="shared" si="13"/>
        <v>#REF!</v>
      </c>
      <c r="U21" s="71" t="e">
        <f t="shared" si="14"/>
        <v>#REF!</v>
      </c>
      <c r="V21" s="71"/>
      <c r="W21" s="70" t="e">
        <f t="shared" si="15"/>
        <v>#REF!</v>
      </c>
      <c r="X21" s="70" t="e">
        <f t="shared" si="16"/>
        <v>#REF!</v>
      </c>
      <c r="Y21" s="71" t="e">
        <f t="shared" si="17"/>
        <v>#REF!</v>
      </c>
    </row>
    <row r="22" spans="1:25" ht="16.5" customHeight="1">
      <c r="A22" s="60" t="s">
        <v>49</v>
      </c>
      <c r="B22" s="61" t="s">
        <v>279</v>
      </c>
      <c r="C22" s="69" t="e">
        <f t="shared" si="0"/>
        <v>#REF!</v>
      </c>
      <c r="D22" s="69" t="e">
        <f t="shared" si="1"/>
        <v>#REF!</v>
      </c>
      <c r="E22" s="71" t="e">
        <f t="shared" si="2"/>
        <v>#REF!</v>
      </c>
      <c r="F22" s="71"/>
      <c r="G22" s="69" t="e">
        <f t="shared" si="3"/>
        <v>#REF!</v>
      </c>
      <c r="H22" s="69" t="e">
        <f t="shared" si="4"/>
        <v>#REF!</v>
      </c>
      <c r="I22" s="71" t="e">
        <f t="shared" si="5"/>
        <v>#REF!</v>
      </c>
      <c r="J22" s="71"/>
      <c r="K22" s="69" t="e">
        <f t="shared" si="6"/>
        <v>#REF!</v>
      </c>
      <c r="L22" s="69" t="e">
        <f t="shared" si="7"/>
        <v>#REF!</v>
      </c>
      <c r="M22" s="71" t="e">
        <f t="shared" si="8"/>
        <v>#REF!</v>
      </c>
      <c r="N22" s="83"/>
      <c r="O22" s="80" t="e">
        <f t="shared" si="9"/>
        <v>#REF!</v>
      </c>
      <c r="P22" s="70" t="e">
        <f t="shared" si="10"/>
        <v>#REF!</v>
      </c>
      <c r="Q22" s="71" t="e">
        <f t="shared" si="11"/>
        <v>#REF!</v>
      </c>
      <c r="R22" s="71"/>
      <c r="S22" s="70" t="e">
        <f t="shared" si="12"/>
        <v>#REF!</v>
      </c>
      <c r="T22" s="70" t="e">
        <f t="shared" si="13"/>
        <v>#REF!</v>
      </c>
      <c r="U22" s="71" t="e">
        <f t="shared" si="14"/>
        <v>#REF!</v>
      </c>
      <c r="V22" s="71"/>
      <c r="W22" s="70" t="e">
        <f t="shared" si="15"/>
        <v>#REF!</v>
      </c>
      <c r="X22" s="70" t="e">
        <f t="shared" si="16"/>
        <v>#REF!</v>
      </c>
      <c r="Y22" s="71" t="e">
        <f t="shared" si="17"/>
        <v>#REF!</v>
      </c>
    </row>
    <row r="23" spans="1:25" ht="16.5" customHeight="1">
      <c r="A23" s="60" t="s">
        <v>51</v>
      </c>
      <c r="B23" s="76" t="s">
        <v>52</v>
      </c>
      <c r="C23" s="69" t="e">
        <f t="shared" si="0"/>
        <v>#REF!</v>
      </c>
      <c r="D23" s="69" t="e">
        <f t="shared" si="1"/>
        <v>#REF!</v>
      </c>
      <c r="E23" s="71" t="e">
        <f t="shared" si="2"/>
        <v>#REF!</v>
      </c>
      <c r="F23" s="71"/>
      <c r="G23" s="69" t="e">
        <f t="shared" si="3"/>
        <v>#REF!</v>
      </c>
      <c r="H23" s="69" t="e">
        <f t="shared" si="4"/>
        <v>#REF!</v>
      </c>
      <c r="I23" s="71" t="e">
        <f t="shared" si="5"/>
        <v>#REF!</v>
      </c>
      <c r="J23" s="71"/>
      <c r="K23" s="69" t="e">
        <f t="shared" si="6"/>
        <v>#REF!</v>
      </c>
      <c r="L23" s="69" t="e">
        <f t="shared" si="7"/>
        <v>#REF!</v>
      </c>
      <c r="M23" s="71" t="e">
        <f t="shared" si="8"/>
        <v>#REF!</v>
      </c>
      <c r="N23" s="83"/>
      <c r="O23" s="80" t="e">
        <f t="shared" si="9"/>
        <v>#REF!</v>
      </c>
      <c r="P23" s="70" t="e">
        <f t="shared" si="10"/>
        <v>#REF!</v>
      </c>
      <c r="Q23" s="71" t="e">
        <f t="shared" si="11"/>
        <v>#REF!</v>
      </c>
      <c r="R23" s="71"/>
      <c r="S23" s="70" t="e">
        <f t="shared" si="12"/>
        <v>#REF!</v>
      </c>
      <c r="T23" s="70" t="e">
        <f t="shared" si="13"/>
        <v>#REF!</v>
      </c>
      <c r="U23" s="71" t="e">
        <f t="shared" si="14"/>
        <v>#REF!</v>
      </c>
      <c r="V23" s="71"/>
      <c r="W23" s="70" t="e">
        <f t="shared" si="15"/>
        <v>#REF!</v>
      </c>
      <c r="X23" s="70" t="e">
        <f t="shared" si="16"/>
        <v>#REF!</v>
      </c>
      <c r="Y23" s="71" t="e">
        <f t="shared" si="17"/>
        <v>#REF!</v>
      </c>
    </row>
    <row r="24" spans="1:25" ht="16.5" customHeight="1">
      <c r="A24" s="60" t="s">
        <v>57</v>
      </c>
      <c r="B24" s="61" t="s">
        <v>362</v>
      </c>
      <c r="C24" s="69" t="e">
        <f t="shared" si="0"/>
        <v>#REF!</v>
      </c>
      <c r="D24" s="69" t="e">
        <f t="shared" si="1"/>
        <v>#REF!</v>
      </c>
      <c r="E24" s="71" t="e">
        <f t="shared" si="2"/>
        <v>#REF!</v>
      </c>
      <c r="F24" s="71"/>
      <c r="G24" s="69" t="e">
        <f t="shared" si="3"/>
        <v>#REF!</v>
      </c>
      <c r="H24" s="69" t="e">
        <f t="shared" si="4"/>
        <v>#REF!</v>
      </c>
      <c r="I24" s="71" t="e">
        <f t="shared" si="5"/>
        <v>#REF!</v>
      </c>
      <c r="J24" s="71"/>
      <c r="K24" s="69" t="e">
        <f t="shared" si="6"/>
        <v>#REF!</v>
      </c>
      <c r="L24" s="69" t="e">
        <f t="shared" si="7"/>
        <v>#REF!</v>
      </c>
      <c r="M24" s="71" t="e">
        <f t="shared" si="8"/>
        <v>#REF!</v>
      </c>
      <c r="N24" s="83"/>
      <c r="O24" s="80" t="e">
        <f t="shared" si="9"/>
        <v>#REF!</v>
      </c>
      <c r="P24" s="70" t="e">
        <f t="shared" si="10"/>
        <v>#REF!</v>
      </c>
      <c r="Q24" s="71" t="e">
        <f t="shared" si="11"/>
        <v>#REF!</v>
      </c>
      <c r="R24" s="71"/>
      <c r="S24" s="70" t="e">
        <f t="shared" si="12"/>
        <v>#REF!</v>
      </c>
      <c r="T24" s="70" t="e">
        <f t="shared" si="13"/>
        <v>#REF!</v>
      </c>
      <c r="U24" s="71" t="e">
        <f t="shared" si="14"/>
        <v>#REF!</v>
      </c>
      <c r="V24" s="71"/>
      <c r="W24" s="70" t="e">
        <f t="shared" si="15"/>
        <v>#REF!</v>
      </c>
      <c r="X24" s="70" t="e">
        <f t="shared" si="16"/>
        <v>#REF!</v>
      </c>
      <c r="Y24" s="71" t="e">
        <f t="shared" si="17"/>
        <v>#REF!</v>
      </c>
    </row>
    <row r="25" spans="1:25" ht="16.5" customHeight="1">
      <c r="A25" s="60" t="s">
        <v>59</v>
      </c>
      <c r="B25" s="61" t="s">
        <v>60</v>
      </c>
      <c r="C25" s="69" t="e">
        <f t="shared" si="0"/>
        <v>#REF!</v>
      </c>
      <c r="D25" s="69" t="e">
        <f t="shared" si="1"/>
        <v>#REF!</v>
      </c>
      <c r="E25" s="71" t="e">
        <f t="shared" si="2"/>
        <v>#REF!</v>
      </c>
      <c r="F25" s="71"/>
      <c r="G25" s="69" t="e">
        <f t="shared" si="3"/>
        <v>#REF!</v>
      </c>
      <c r="H25" s="69" t="e">
        <f t="shared" si="4"/>
        <v>#REF!</v>
      </c>
      <c r="I25" s="71" t="e">
        <f t="shared" si="5"/>
        <v>#REF!</v>
      </c>
      <c r="J25" s="71"/>
      <c r="K25" s="69" t="e">
        <f t="shared" si="6"/>
        <v>#REF!</v>
      </c>
      <c r="L25" s="69" t="e">
        <f t="shared" si="7"/>
        <v>#REF!</v>
      </c>
      <c r="M25" s="71" t="e">
        <f t="shared" si="8"/>
        <v>#REF!</v>
      </c>
      <c r="N25" s="83"/>
      <c r="O25" s="80" t="e">
        <f t="shared" si="9"/>
        <v>#REF!</v>
      </c>
      <c r="P25" s="70" t="e">
        <f t="shared" si="10"/>
        <v>#REF!</v>
      </c>
      <c r="Q25" s="71" t="e">
        <f t="shared" si="11"/>
        <v>#REF!</v>
      </c>
      <c r="R25" s="71"/>
      <c r="S25" s="70" t="e">
        <f t="shared" si="12"/>
        <v>#REF!</v>
      </c>
      <c r="T25" s="70" t="e">
        <f t="shared" si="13"/>
        <v>#REF!</v>
      </c>
      <c r="U25" s="71" t="e">
        <f t="shared" si="14"/>
        <v>#REF!</v>
      </c>
      <c r="V25" s="71"/>
      <c r="W25" s="70" t="e">
        <f t="shared" si="15"/>
        <v>#REF!</v>
      </c>
      <c r="X25" s="70" t="e">
        <f t="shared" si="16"/>
        <v>#REF!</v>
      </c>
      <c r="Y25" s="71" t="e">
        <f t="shared" si="17"/>
        <v>#REF!</v>
      </c>
    </row>
    <row r="26" spans="1:25" ht="16.5" customHeight="1">
      <c r="A26" s="60" t="s">
        <v>61</v>
      </c>
      <c r="B26" s="61" t="s">
        <v>62</v>
      </c>
      <c r="C26" s="69" t="e">
        <f t="shared" si="0"/>
        <v>#REF!</v>
      </c>
      <c r="D26" s="69" t="e">
        <f t="shared" si="1"/>
        <v>#REF!</v>
      </c>
      <c r="E26" s="71" t="e">
        <f t="shared" si="2"/>
        <v>#REF!</v>
      </c>
      <c r="F26" s="71"/>
      <c r="G26" s="69" t="e">
        <f t="shared" si="3"/>
        <v>#REF!</v>
      </c>
      <c r="H26" s="69" t="e">
        <f t="shared" si="4"/>
        <v>#REF!</v>
      </c>
      <c r="I26" s="71" t="e">
        <f t="shared" si="5"/>
        <v>#REF!</v>
      </c>
      <c r="J26" s="71"/>
      <c r="K26" s="69" t="e">
        <f t="shared" si="6"/>
        <v>#REF!</v>
      </c>
      <c r="L26" s="69" t="e">
        <f t="shared" si="7"/>
        <v>#REF!</v>
      </c>
      <c r="M26" s="71" t="e">
        <f t="shared" si="8"/>
        <v>#REF!</v>
      </c>
      <c r="N26" s="83"/>
      <c r="O26" s="80" t="e">
        <f t="shared" si="9"/>
        <v>#REF!</v>
      </c>
      <c r="P26" s="70" t="e">
        <f t="shared" si="10"/>
        <v>#REF!</v>
      </c>
      <c r="Q26" s="71" t="e">
        <f t="shared" si="11"/>
        <v>#REF!</v>
      </c>
      <c r="R26" s="71"/>
      <c r="S26" s="70" t="e">
        <f t="shared" si="12"/>
        <v>#REF!</v>
      </c>
      <c r="T26" s="70" t="e">
        <f t="shared" si="13"/>
        <v>#REF!</v>
      </c>
      <c r="U26" s="71" t="e">
        <f t="shared" si="14"/>
        <v>#REF!</v>
      </c>
      <c r="V26" s="71"/>
      <c r="W26" s="70" t="e">
        <f t="shared" si="15"/>
        <v>#REF!</v>
      </c>
      <c r="X26" s="70" t="e">
        <f t="shared" si="16"/>
        <v>#REF!</v>
      </c>
      <c r="Y26" s="71" t="e">
        <f t="shared" si="17"/>
        <v>#REF!</v>
      </c>
    </row>
    <row r="27" spans="1:25" ht="16.5" customHeight="1">
      <c r="A27" s="60" t="s">
        <v>63</v>
      </c>
      <c r="B27" s="61" t="s">
        <v>64</v>
      </c>
      <c r="C27" s="69" t="e">
        <f t="shared" si="0"/>
        <v>#REF!</v>
      </c>
      <c r="D27" s="69" t="e">
        <f t="shared" si="1"/>
        <v>#REF!</v>
      </c>
      <c r="E27" s="71" t="e">
        <f t="shared" si="2"/>
        <v>#REF!</v>
      </c>
      <c r="F27" s="71"/>
      <c r="G27" s="69" t="e">
        <f t="shared" si="3"/>
        <v>#REF!</v>
      </c>
      <c r="H27" s="69" t="e">
        <f t="shared" si="4"/>
        <v>#REF!</v>
      </c>
      <c r="I27" s="71" t="e">
        <f t="shared" si="5"/>
        <v>#REF!</v>
      </c>
      <c r="J27" s="71"/>
      <c r="K27" s="69" t="e">
        <f t="shared" si="6"/>
        <v>#REF!</v>
      </c>
      <c r="L27" s="69" t="e">
        <f t="shared" si="7"/>
        <v>#REF!</v>
      </c>
      <c r="M27" s="71" t="e">
        <f t="shared" si="8"/>
        <v>#REF!</v>
      </c>
      <c r="N27" s="83"/>
      <c r="O27" s="80" t="e">
        <f t="shared" si="9"/>
        <v>#REF!</v>
      </c>
      <c r="P27" s="70" t="e">
        <f t="shared" si="10"/>
        <v>#REF!</v>
      </c>
      <c r="Q27" s="71" t="e">
        <f t="shared" si="11"/>
        <v>#REF!</v>
      </c>
      <c r="R27" s="71"/>
      <c r="S27" s="70" t="e">
        <f t="shared" si="12"/>
        <v>#REF!</v>
      </c>
      <c r="T27" s="70" t="e">
        <f t="shared" si="13"/>
        <v>#REF!</v>
      </c>
      <c r="U27" s="71" t="e">
        <f t="shared" si="14"/>
        <v>#REF!</v>
      </c>
      <c r="V27" s="71"/>
      <c r="W27" s="70" t="e">
        <f t="shared" si="15"/>
        <v>#REF!</v>
      </c>
      <c r="X27" s="70" t="e">
        <f t="shared" si="16"/>
        <v>#REF!</v>
      </c>
      <c r="Y27" s="71" t="e">
        <f t="shared" si="17"/>
        <v>#REF!</v>
      </c>
    </row>
    <row r="28" spans="1:25" ht="16.5" customHeight="1">
      <c r="A28" s="60" t="s">
        <v>65</v>
      </c>
      <c r="B28" s="61" t="s">
        <v>66</v>
      </c>
      <c r="C28" s="69" t="e">
        <f t="shared" si="0"/>
        <v>#REF!</v>
      </c>
      <c r="D28" s="69" t="e">
        <f t="shared" si="1"/>
        <v>#REF!</v>
      </c>
      <c r="E28" s="71" t="e">
        <f t="shared" si="2"/>
        <v>#REF!</v>
      </c>
      <c r="F28" s="71"/>
      <c r="G28" s="69" t="e">
        <f t="shared" si="3"/>
        <v>#REF!</v>
      </c>
      <c r="H28" s="69" t="e">
        <f t="shared" si="4"/>
        <v>#REF!</v>
      </c>
      <c r="I28" s="71" t="e">
        <f t="shared" si="5"/>
        <v>#REF!</v>
      </c>
      <c r="J28" s="71"/>
      <c r="K28" s="69" t="e">
        <f t="shared" si="6"/>
        <v>#REF!</v>
      </c>
      <c r="L28" s="69" t="e">
        <f t="shared" si="7"/>
        <v>#REF!</v>
      </c>
      <c r="M28" s="71" t="e">
        <f t="shared" si="8"/>
        <v>#REF!</v>
      </c>
      <c r="N28" s="83"/>
      <c r="O28" s="80" t="e">
        <f t="shared" si="9"/>
        <v>#REF!</v>
      </c>
      <c r="P28" s="70" t="e">
        <f t="shared" si="10"/>
        <v>#REF!</v>
      </c>
      <c r="Q28" s="71" t="e">
        <f t="shared" si="11"/>
        <v>#REF!</v>
      </c>
      <c r="R28" s="71"/>
      <c r="S28" s="70" t="e">
        <f t="shared" si="12"/>
        <v>#REF!</v>
      </c>
      <c r="T28" s="70" t="e">
        <f t="shared" si="13"/>
        <v>#REF!</v>
      </c>
      <c r="U28" s="71" t="e">
        <f t="shared" si="14"/>
        <v>#REF!</v>
      </c>
      <c r="V28" s="71"/>
      <c r="W28" s="70" t="e">
        <f t="shared" si="15"/>
        <v>#REF!</v>
      </c>
      <c r="X28" s="70" t="e">
        <f t="shared" si="16"/>
        <v>#REF!</v>
      </c>
      <c r="Y28" s="71" t="e">
        <f t="shared" si="17"/>
        <v>#REF!</v>
      </c>
    </row>
    <row r="29" spans="1:25" ht="16.5" customHeight="1">
      <c r="A29" s="60" t="s">
        <v>69</v>
      </c>
      <c r="B29" s="61" t="s">
        <v>70</v>
      </c>
      <c r="C29" s="69" t="e">
        <f t="shared" si="0"/>
        <v>#REF!</v>
      </c>
      <c r="D29" s="69" t="e">
        <f t="shared" si="1"/>
        <v>#REF!</v>
      </c>
      <c r="E29" s="71" t="e">
        <f t="shared" si="2"/>
        <v>#REF!</v>
      </c>
      <c r="F29" s="71"/>
      <c r="G29" s="69" t="e">
        <f t="shared" si="3"/>
        <v>#REF!</v>
      </c>
      <c r="H29" s="69" t="e">
        <f t="shared" si="4"/>
        <v>#REF!</v>
      </c>
      <c r="I29" s="71" t="e">
        <f t="shared" si="5"/>
        <v>#REF!</v>
      </c>
      <c r="J29" s="71"/>
      <c r="K29" s="69" t="e">
        <f t="shared" si="6"/>
        <v>#REF!</v>
      </c>
      <c r="L29" s="69" t="e">
        <f t="shared" si="7"/>
        <v>#REF!</v>
      </c>
      <c r="M29" s="71" t="e">
        <f t="shared" si="8"/>
        <v>#REF!</v>
      </c>
      <c r="N29" s="83"/>
      <c r="O29" s="80" t="e">
        <f t="shared" si="9"/>
        <v>#REF!</v>
      </c>
      <c r="P29" s="70" t="e">
        <f t="shared" si="10"/>
        <v>#REF!</v>
      </c>
      <c r="Q29" s="71" t="e">
        <f t="shared" si="11"/>
        <v>#REF!</v>
      </c>
      <c r="R29" s="71"/>
      <c r="S29" s="70" t="e">
        <f t="shared" si="12"/>
        <v>#REF!</v>
      </c>
      <c r="T29" s="70" t="e">
        <f t="shared" si="13"/>
        <v>#REF!</v>
      </c>
      <c r="U29" s="71" t="e">
        <f t="shared" si="14"/>
        <v>#REF!</v>
      </c>
      <c r="V29" s="71"/>
      <c r="W29" s="70" t="e">
        <f t="shared" si="15"/>
        <v>#REF!</v>
      </c>
      <c r="X29" s="70" t="e">
        <f t="shared" si="16"/>
        <v>#REF!</v>
      </c>
      <c r="Y29" s="71" t="e">
        <f t="shared" si="17"/>
        <v>#REF!</v>
      </c>
    </row>
    <row r="30" spans="1:25" ht="16.5" customHeight="1">
      <c r="A30" s="60" t="s">
        <v>71</v>
      </c>
      <c r="B30" s="76" t="s">
        <v>72</v>
      </c>
      <c r="C30" s="69" t="e">
        <f t="shared" si="0"/>
        <v>#REF!</v>
      </c>
      <c r="D30" s="69" t="e">
        <f t="shared" si="1"/>
        <v>#REF!</v>
      </c>
      <c r="E30" s="71" t="e">
        <f t="shared" si="2"/>
        <v>#REF!</v>
      </c>
      <c r="F30" s="71"/>
      <c r="G30" s="69" t="e">
        <f t="shared" si="3"/>
        <v>#REF!</v>
      </c>
      <c r="H30" s="69" t="e">
        <f t="shared" si="4"/>
        <v>#REF!</v>
      </c>
      <c r="I30" s="71" t="e">
        <f t="shared" si="5"/>
        <v>#REF!</v>
      </c>
      <c r="J30" s="71"/>
      <c r="K30" s="69" t="e">
        <f t="shared" si="6"/>
        <v>#REF!</v>
      </c>
      <c r="L30" s="69" t="e">
        <f t="shared" si="7"/>
        <v>#REF!</v>
      </c>
      <c r="M30" s="71" t="e">
        <f t="shared" si="8"/>
        <v>#REF!</v>
      </c>
      <c r="N30" s="83"/>
      <c r="O30" s="80" t="e">
        <f t="shared" si="9"/>
        <v>#REF!</v>
      </c>
      <c r="P30" s="70" t="e">
        <f t="shared" si="10"/>
        <v>#REF!</v>
      </c>
      <c r="Q30" s="71" t="e">
        <f t="shared" si="11"/>
        <v>#REF!</v>
      </c>
      <c r="R30" s="71"/>
      <c r="S30" s="70" t="e">
        <f t="shared" si="12"/>
        <v>#REF!</v>
      </c>
      <c r="T30" s="70" t="e">
        <f t="shared" si="13"/>
        <v>#REF!</v>
      </c>
      <c r="U30" s="71" t="e">
        <f t="shared" si="14"/>
        <v>#REF!</v>
      </c>
      <c r="V30" s="71"/>
      <c r="W30" s="70" t="e">
        <f t="shared" si="15"/>
        <v>#REF!</v>
      </c>
      <c r="X30" s="70" t="e">
        <f t="shared" si="16"/>
        <v>#REF!</v>
      </c>
      <c r="Y30" s="71" t="e">
        <f t="shared" si="17"/>
        <v>#REF!</v>
      </c>
    </row>
    <row r="31" spans="1:25" ht="16.5" customHeight="1">
      <c r="A31" s="60" t="s">
        <v>73</v>
      </c>
      <c r="B31" s="76" t="s">
        <v>74</v>
      </c>
      <c r="C31" s="69" t="e">
        <f t="shared" si="0"/>
        <v>#REF!</v>
      </c>
      <c r="D31" s="69" t="e">
        <f t="shared" si="1"/>
        <v>#REF!</v>
      </c>
      <c r="E31" s="71" t="e">
        <f t="shared" si="2"/>
        <v>#REF!</v>
      </c>
      <c r="F31" s="71"/>
      <c r="G31" s="69" t="e">
        <f t="shared" si="3"/>
        <v>#REF!</v>
      </c>
      <c r="H31" s="69" t="e">
        <f t="shared" si="4"/>
        <v>#REF!</v>
      </c>
      <c r="I31" s="71" t="e">
        <f t="shared" si="5"/>
        <v>#REF!</v>
      </c>
      <c r="J31" s="71"/>
      <c r="K31" s="69" t="e">
        <f t="shared" si="6"/>
        <v>#REF!</v>
      </c>
      <c r="L31" s="69" t="e">
        <f t="shared" si="7"/>
        <v>#REF!</v>
      </c>
      <c r="M31" s="71" t="e">
        <f t="shared" si="8"/>
        <v>#REF!</v>
      </c>
      <c r="N31" s="83"/>
      <c r="O31" s="80" t="e">
        <f t="shared" si="9"/>
        <v>#REF!</v>
      </c>
      <c r="P31" s="70" t="e">
        <f t="shared" si="10"/>
        <v>#REF!</v>
      </c>
      <c r="Q31" s="71" t="e">
        <f t="shared" si="11"/>
        <v>#REF!</v>
      </c>
      <c r="R31" s="71"/>
      <c r="S31" s="70" t="e">
        <f t="shared" si="12"/>
        <v>#REF!</v>
      </c>
      <c r="T31" s="70" t="e">
        <f t="shared" si="13"/>
        <v>#REF!</v>
      </c>
      <c r="U31" s="71" t="e">
        <f t="shared" si="14"/>
        <v>#REF!</v>
      </c>
      <c r="V31" s="71"/>
      <c r="W31" s="70" t="e">
        <f t="shared" si="15"/>
        <v>#REF!</v>
      </c>
      <c r="X31" s="70" t="e">
        <f t="shared" si="16"/>
        <v>#REF!</v>
      </c>
      <c r="Y31" s="71" t="e">
        <f t="shared" si="17"/>
        <v>#REF!</v>
      </c>
    </row>
    <row r="32" spans="1:25" ht="16.5" customHeight="1">
      <c r="A32" s="60" t="s">
        <v>75</v>
      </c>
      <c r="B32" s="61" t="s">
        <v>369</v>
      </c>
      <c r="C32" s="69" t="e">
        <f t="shared" si="0"/>
        <v>#REF!</v>
      </c>
      <c r="D32" s="69" t="e">
        <f t="shared" si="1"/>
        <v>#REF!</v>
      </c>
      <c r="E32" s="71" t="e">
        <f t="shared" si="2"/>
        <v>#REF!</v>
      </c>
      <c r="F32" s="71"/>
      <c r="G32" s="69" t="e">
        <f t="shared" si="3"/>
        <v>#REF!</v>
      </c>
      <c r="H32" s="69" t="e">
        <f t="shared" si="4"/>
        <v>#REF!</v>
      </c>
      <c r="I32" s="71" t="e">
        <f t="shared" si="5"/>
        <v>#REF!</v>
      </c>
      <c r="J32" s="71"/>
      <c r="K32" s="69" t="e">
        <f t="shared" si="6"/>
        <v>#REF!</v>
      </c>
      <c r="L32" s="69" t="e">
        <f t="shared" si="7"/>
        <v>#REF!</v>
      </c>
      <c r="M32" s="71" t="e">
        <f t="shared" si="8"/>
        <v>#REF!</v>
      </c>
      <c r="N32" s="83"/>
      <c r="O32" s="80" t="e">
        <f t="shared" si="9"/>
        <v>#REF!</v>
      </c>
      <c r="P32" s="70" t="e">
        <f t="shared" si="10"/>
        <v>#REF!</v>
      </c>
      <c r="Q32" s="71" t="e">
        <f t="shared" si="11"/>
        <v>#REF!</v>
      </c>
      <c r="R32" s="71"/>
      <c r="S32" s="70" t="e">
        <f t="shared" si="12"/>
        <v>#REF!</v>
      </c>
      <c r="T32" s="70" t="e">
        <f t="shared" si="13"/>
        <v>#REF!</v>
      </c>
      <c r="U32" s="71" t="e">
        <f t="shared" si="14"/>
        <v>#REF!</v>
      </c>
      <c r="V32" s="71"/>
      <c r="W32" s="70" t="e">
        <f t="shared" si="15"/>
        <v>#REF!</v>
      </c>
      <c r="X32" s="70" t="e">
        <f t="shared" si="16"/>
        <v>#REF!</v>
      </c>
      <c r="Y32" s="71" t="e">
        <f t="shared" si="17"/>
        <v>#REF!</v>
      </c>
    </row>
    <row r="33" spans="1:25" ht="16.5" customHeight="1">
      <c r="A33" s="60" t="s">
        <v>77</v>
      </c>
      <c r="B33" s="61" t="s">
        <v>78</v>
      </c>
      <c r="C33" s="69" t="e">
        <f t="shared" si="0"/>
        <v>#REF!</v>
      </c>
      <c r="D33" s="69" t="e">
        <f t="shared" si="1"/>
        <v>#REF!</v>
      </c>
      <c r="E33" s="71" t="e">
        <f t="shared" si="2"/>
        <v>#REF!</v>
      </c>
      <c r="F33" s="71"/>
      <c r="G33" s="69" t="e">
        <f t="shared" si="3"/>
        <v>#REF!</v>
      </c>
      <c r="H33" s="69" t="e">
        <f t="shared" si="4"/>
        <v>#REF!</v>
      </c>
      <c r="I33" s="71" t="e">
        <f t="shared" si="5"/>
        <v>#REF!</v>
      </c>
      <c r="J33" s="71"/>
      <c r="K33" s="69" t="e">
        <f t="shared" si="6"/>
        <v>#REF!</v>
      </c>
      <c r="L33" s="69" t="e">
        <f t="shared" si="7"/>
        <v>#REF!</v>
      </c>
      <c r="M33" s="71" t="e">
        <f t="shared" si="8"/>
        <v>#REF!</v>
      </c>
      <c r="N33" s="83"/>
      <c r="O33" s="80" t="e">
        <f t="shared" si="9"/>
        <v>#REF!</v>
      </c>
      <c r="P33" s="70" t="e">
        <f t="shared" si="10"/>
        <v>#REF!</v>
      </c>
      <c r="Q33" s="71" t="e">
        <f t="shared" si="11"/>
        <v>#REF!</v>
      </c>
      <c r="R33" s="71"/>
      <c r="S33" s="70" t="e">
        <f t="shared" si="12"/>
        <v>#REF!</v>
      </c>
      <c r="T33" s="70" t="e">
        <f t="shared" si="13"/>
        <v>#REF!</v>
      </c>
      <c r="U33" s="71" t="e">
        <f t="shared" si="14"/>
        <v>#REF!</v>
      </c>
      <c r="V33" s="71"/>
      <c r="W33" s="70" t="e">
        <f t="shared" si="15"/>
        <v>#REF!</v>
      </c>
      <c r="X33" s="70" t="e">
        <f t="shared" si="16"/>
        <v>#REF!</v>
      </c>
      <c r="Y33" s="71" t="e">
        <f t="shared" si="17"/>
        <v>#REF!</v>
      </c>
    </row>
    <row r="34" spans="1:25" ht="16.5" customHeight="1">
      <c r="A34" s="60" t="s">
        <v>79</v>
      </c>
      <c r="B34" s="76" t="s">
        <v>80</v>
      </c>
      <c r="C34" s="69" t="e">
        <f t="shared" si="0"/>
        <v>#REF!</v>
      </c>
      <c r="D34" s="69" t="e">
        <f t="shared" si="1"/>
        <v>#REF!</v>
      </c>
      <c r="E34" s="71" t="e">
        <f t="shared" si="2"/>
        <v>#REF!</v>
      </c>
      <c r="F34" s="71"/>
      <c r="G34" s="69" t="e">
        <f t="shared" si="3"/>
        <v>#REF!</v>
      </c>
      <c r="H34" s="69" t="e">
        <f t="shared" si="4"/>
        <v>#REF!</v>
      </c>
      <c r="I34" s="71" t="e">
        <f t="shared" si="5"/>
        <v>#REF!</v>
      </c>
      <c r="J34" s="71"/>
      <c r="K34" s="69" t="e">
        <f t="shared" si="6"/>
        <v>#REF!</v>
      </c>
      <c r="L34" s="69" t="e">
        <f t="shared" si="7"/>
        <v>#REF!</v>
      </c>
      <c r="M34" s="71" t="e">
        <f t="shared" si="8"/>
        <v>#REF!</v>
      </c>
      <c r="N34" s="83"/>
      <c r="O34" s="80" t="e">
        <f t="shared" si="9"/>
        <v>#REF!</v>
      </c>
      <c r="P34" s="70" t="e">
        <f t="shared" si="10"/>
        <v>#REF!</v>
      </c>
      <c r="Q34" s="71" t="e">
        <f t="shared" si="11"/>
        <v>#REF!</v>
      </c>
      <c r="R34" s="71"/>
      <c r="S34" s="70" t="e">
        <f t="shared" si="12"/>
        <v>#REF!</v>
      </c>
      <c r="T34" s="70" t="e">
        <f t="shared" si="13"/>
        <v>#REF!</v>
      </c>
      <c r="U34" s="71" t="e">
        <f t="shared" si="14"/>
        <v>#REF!</v>
      </c>
      <c r="V34" s="71"/>
      <c r="W34" s="70" t="e">
        <f t="shared" si="15"/>
        <v>#REF!</v>
      </c>
      <c r="X34" s="70" t="e">
        <f t="shared" si="16"/>
        <v>#REF!</v>
      </c>
      <c r="Y34" s="71" t="e">
        <f t="shared" si="17"/>
        <v>#REF!</v>
      </c>
    </row>
    <row r="35" spans="1:25" ht="16.5" customHeight="1">
      <c r="A35" s="60" t="s">
        <v>81</v>
      </c>
      <c r="B35" s="61" t="s">
        <v>82</v>
      </c>
      <c r="C35" s="69" t="e">
        <f t="shared" si="0"/>
        <v>#REF!</v>
      </c>
      <c r="D35" s="69" t="e">
        <f t="shared" si="1"/>
        <v>#REF!</v>
      </c>
      <c r="E35" s="71" t="e">
        <f t="shared" si="2"/>
        <v>#REF!</v>
      </c>
      <c r="F35" s="71"/>
      <c r="G35" s="69" t="e">
        <f t="shared" si="3"/>
        <v>#REF!</v>
      </c>
      <c r="H35" s="69" t="e">
        <f t="shared" si="4"/>
        <v>#REF!</v>
      </c>
      <c r="I35" s="71" t="e">
        <f t="shared" si="5"/>
        <v>#REF!</v>
      </c>
      <c r="J35" s="71"/>
      <c r="K35" s="69" t="e">
        <f t="shared" si="6"/>
        <v>#REF!</v>
      </c>
      <c r="L35" s="69" t="e">
        <f t="shared" si="7"/>
        <v>#REF!</v>
      </c>
      <c r="M35" s="71" t="e">
        <f t="shared" si="8"/>
        <v>#REF!</v>
      </c>
      <c r="N35" s="83"/>
      <c r="O35" s="80" t="e">
        <f t="shared" si="9"/>
        <v>#REF!</v>
      </c>
      <c r="P35" s="70" t="e">
        <f t="shared" si="10"/>
        <v>#REF!</v>
      </c>
      <c r="Q35" s="71" t="e">
        <f t="shared" si="11"/>
        <v>#REF!</v>
      </c>
      <c r="R35" s="71"/>
      <c r="S35" s="70" t="e">
        <f t="shared" si="12"/>
        <v>#REF!</v>
      </c>
      <c r="T35" s="70" t="e">
        <f t="shared" si="13"/>
        <v>#REF!</v>
      </c>
      <c r="U35" s="71" t="e">
        <f t="shared" si="14"/>
        <v>#REF!</v>
      </c>
      <c r="V35" s="71"/>
      <c r="W35" s="70" t="e">
        <f t="shared" si="15"/>
        <v>#REF!</v>
      </c>
      <c r="X35" s="70" t="e">
        <f t="shared" si="16"/>
        <v>#REF!</v>
      </c>
      <c r="Y35" s="71" t="e">
        <f t="shared" si="17"/>
        <v>#REF!</v>
      </c>
    </row>
    <row r="36" spans="1:25" ht="16.5" customHeight="1">
      <c r="A36" s="60" t="s">
        <v>85</v>
      </c>
      <c r="B36" s="76" t="s">
        <v>387</v>
      </c>
      <c r="C36" s="69" t="e">
        <f t="shared" ref="C36:C67" si="18">VLOOKUP(A36,SNAP_DEMO,10,FALSE)</f>
        <v>#REF!</v>
      </c>
      <c r="D36" s="69" t="e">
        <f t="shared" ref="D36:D67" si="19">VLOOKUP(A36,Pop,14,FALSE)</f>
        <v>#REF!</v>
      </c>
      <c r="E36" s="71" t="e">
        <f t="shared" ref="E36:E67" si="20">+C36/D36</f>
        <v>#REF!</v>
      </c>
      <c r="F36" s="71"/>
      <c r="G36" s="69" t="e">
        <f t="shared" ref="G36:G67" si="21">VLOOKUP(A36,SNAP_DEMO,11,FALSE)</f>
        <v>#REF!</v>
      </c>
      <c r="H36" s="69" t="e">
        <f t="shared" ref="H36:H67" si="22">VLOOKUP(A36,Pop,15,FALSE)</f>
        <v>#REF!</v>
      </c>
      <c r="I36" s="71" t="e">
        <f t="shared" ref="I36:I67" si="23">+G36/H36</f>
        <v>#REF!</v>
      </c>
      <c r="J36" s="71"/>
      <c r="K36" s="69" t="e">
        <f t="shared" ref="K36:K67" si="24">VLOOKUP(A36,SNAP_DEMO,12,FALSE)</f>
        <v>#REF!</v>
      </c>
      <c r="L36" s="69" t="e">
        <f t="shared" ref="L36:L67" si="25">VLOOKUP(A36,Pop,16,FALSE)</f>
        <v>#REF!</v>
      </c>
      <c r="M36" s="71" t="e">
        <f t="shared" ref="M36:M67" si="26">+K36/L36</f>
        <v>#REF!</v>
      </c>
      <c r="N36" s="83"/>
      <c r="O36" s="80" t="e">
        <f t="shared" ref="O36:O67" si="27">VLOOKUP(A36,SNAP_DEMO,3,FALSE)</f>
        <v>#REF!</v>
      </c>
      <c r="P36" s="70" t="e">
        <f t="shared" ref="P36:P67" si="28">VLOOKUP(A36,Pop,8,FALSE)</f>
        <v>#REF!</v>
      </c>
      <c r="Q36" s="71" t="e">
        <f t="shared" ref="Q36:Q67" si="29">+O36/P36</f>
        <v>#REF!</v>
      </c>
      <c r="R36" s="71"/>
      <c r="S36" s="70" t="e">
        <f t="shared" ref="S36:S67" si="30">VLOOKUP(A36,SNAP_DEMO,4,FALSE)</f>
        <v>#REF!</v>
      </c>
      <c r="T36" s="70" t="e">
        <f t="shared" ref="T36:T67" si="31">VLOOKUP(A36,Pop,9,FALSE)</f>
        <v>#REF!</v>
      </c>
      <c r="U36" s="71" t="e">
        <f t="shared" ref="U36:U67" si="32">+S36/T36</f>
        <v>#REF!</v>
      </c>
      <c r="V36" s="71"/>
      <c r="W36" s="70" t="e">
        <f t="shared" ref="W36:W67" si="33">VLOOKUP(A36,SNAP_DEMO,5,FALSE)</f>
        <v>#REF!</v>
      </c>
      <c r="X36" s="70" t="e">
        <f t="shared" ref="X36:X67" si="34">VLOOKUP(A36,Pop,10,FALSE)</f>
        <v>#REF!</v>
      </c>
      <c r="Y36" s="71" t="e">
        <f t="shared" ref="Y36:Y67" si="35">+W36/X36</f>
        <v>#REF!</v>
      </c>
    </row>
    <row r="37" spans="1:25" ht="16.5" customHeight="1">
      <c r="A37" s="60" t="s">
        <v>87</v>
      </c>
      <c r="B37" s="61" t="s">
        <v>88</v>
      </c>
      <c r="C37" s="69" t="e">
        <f t="shared" si="18"/>
        <v>#REF!</v>
      </c>
      <c r="D37" s="69" t="e">
        <f t="shared" si="19"/>
        <v>#REF!</v>
      </c>
      <c r="E37" s="71" t="e">
        <f t="shared" si="20"/>
        <v>#REF!</v>
      </c>
      <c r="F37" s="71"/>
      <c r="G37" s="69" t="e">
        <f t="shared" si="21"/>
        <v>#REF!</v>
      </c>
      <c r="H37" s="69" t="e">
        <f t="shared" si="22"/>
        <v>#REF!</v>
      </c>
      <c r="I37" s="71" t="e">
        <f t="shared" si="23"/>
        <v>#REF!</v>
      </c>
      <c r="J37" s="71"/>
      <c r="K37" s="69" t="e">
        <f t="shared" si="24"/>
        <v>#REF!</v>
      </c>
      <c r="L37" s="69" t="e">
        <f t="shared" si="25"/>
        <v>#REF!</v>
      </c>
      <c r="M37" s="71" t="e">
        <f t="shared" si="26"/>
        <v>#REF!</v>
      </c>
      <c r="N37" s="83"/>
      <c r="O37" s="80" t="e">
        <f t="shared" si="27"/>
        <v>#REF!</v>
      </c>
      <c r="P37" s="70" t="e">
        <f t="shared" si="28"/>
        <v>#REF!</v>
      </c>
      <c r="Q37" s="71" t="e">
        <f t="shared" si="29"/>
        <v>#REF!</v>
      </c>
      <c r="R37" s="71"/>
      <c r="S37" s="70" t="e">
        <f t="shared" si="30"/>
        <v>#REF!</v>
      </c>
      <c r="T37" s="70" t="e">
        <f t="shared" si="31"/>
        <v>#REF!</v>
      </c>
      <c r="U37" s="71" t="e">
        <f t="shared" si="32"/>
        <v>#REF!</v>
      </c>
      <c r="V37" s="71"/>
      <c r="W37" s="70" t="e">
        <f t="shared" si="33"/>
        <v>#REF!</v>
      </c>
      <c r="X37" s="70" t="e">
        <f t="shared" si="34"/>
        <v>#REF!</v>
      </c>
      <c r="Y37" s="71" t="e">
        <f t="shared" si="35"/>
        <v>#REF!</v>
      </c>
    </row>
    <row r="38" spans="1:25" ht="16.5" customHeight="1">
      <c r="A38" s="60" t="s">
        <v>93</v>
      </c>
      <c r="B38" s="61" t="s">
        <v>94</v>
      </c>
      <c r="C38" s="69" t="e">
        <f t="shared" si="18"/>
        <v>#REF!</v>
      </c>
      <c r="D38" s="69" t="e">
        <f t="shared" si="19"/>
        <v>#REF!</v>
      </c>
      <c r="E38" s="71" t="e">
        <f t="shared" si="20"/>
        <v>#REF!</v>
      </c>
      <c r="F38" s="71"/>
      <c r="G38" s="69" t="e">
        <f t="shared" si="21"/>
        <v>#REF!</v>
      </c>
      <c r="H38" s="69" t="e">
        <f t="shared" si="22"/>
        <v>#REF!</v>
      </c>
      <c r="I38" s="71" t="e">
        <f t="shared" si="23"/>
        <v>#REF!</v>
      </c>
      <c r="J38" s="71"/>
      <c r="K38" s="69" t="e">
        <f t="shared" si="24"/>
        <v>#REF!</v>
      </c>
      <c r="L38" s="69" t="e">
        <f t="shared" si="25"/>
        <v>#REF!</v>
      </c>
      <c r="M38" s="71" t="e">
        <f t="shared" si="26"/>
        <v>#REF!</v>
      </c>
      <c r="N38" s="83"/>
      <c r="O38" s="80" t="e">
        <f t="shared" si="27"/>
        <v>#REF!</v>
      </c>
      <c r="P38" s="70" t="e">
        <f t="shared" si="28"/>
        <v>#REF!</v>
      </c>
      <c r="Q38" s="71" t="e">
        <f t="shared" si="29"/>
        <v>#REF!</v>
      </c>
      <c r="R38" s="71"/>
      <c r="S38" s="70" t="e">
        <f t="shared" si="30"/>
        <v>#REF!</v>
      </c>
      <c r="T38" s="70" t="e">
        <f t="shared" si="31"/>
        <v>#REF!</v>
      </c>
      <c r="U38" s="71" t="e">
        <f t="shared" si="32"/>
        <v>#REF!</v>
      </c>
      <c r="V38" s="71"/>
      <c r="W38" s="70" t="e">
        <f t="shared" si="33"/>
        <v>#REF!</v>
      </c>
      <c r="X38" s="70" t="e">
        <f t="shared" si="34"/>
        <v>#REF!</v>
      </c>
      <c r="Y38" s="71" t="e">
        <f t="shared" si="35"/>
        <v>#REF!</v>
      </c>
    </row>
    <row r="39" spans="1:25" ht="16.5" customHeight="1">
      <c r="A39" s="60" t="s">
        <v>95</v>
      </c>
      <c r="B39" s="61" t="s">
        <v>96</v>
      </c>
      <c r="C39" s="69" t="e">
        <f t="shared" si="18"/>
        <v>#REF!</v>
      </c>
      <c r="D39" s="69" t="e">
        <f t="shared" si="19"/>
        <v>#REF!</v>
      </c>
      <c r="E39" s="71" t="e">
        <f t="shared" si="20"/>
        <v>#REF!</v>
      </c>
      <c r="F39" s="71"/>
      <c r="G39" s="69" t="e">
        <f t="shared" si="21"/>
        <v>#REF!</v>
      </c>
      <c r="H39" s="69" t="e">
        <f t="shared" si="22"/>
        <v>#REF!</v>
      </c>
      <c r="I39" s="71" t="e">
        <f t="shared" si="23"/>
        <v>#REF!</v>
      </c>
      <c r="J39" s="71"/>
      <c r="K39" s="69" t="e">
        <f t="shared" si="24"/>
        <v>#REF!</v>
      </c>
      <c r="L39" s="69" t="e">
        <f t="shared" si="25"/>
        <v>#REF!</v>
      </c>
      <c r="M39" s="71" t="e">
        <f t="shared" si="26"/>
        <v>#REF!</v>
      </c>
      <c r="N39" s="83"/>
      <c r="O39" s="80" t="e">
        <f t="shared" si="27"/>
        <v>#REF!</v>
      </c>
      <c r="P39" s="70" t="e">
        <f t="shared" si="28"/>
        <v>#REF!</v>
      </c>
      <c r="Q39" s="71" t="e">
        <f t="shared" si="29"/>
        <v>#REF!</v>
      </c>
      <c r="R39" s="71"/>
      <c r="S39" s="70" t="e">
        <f t="shared" si="30"/>
        <v>#REF!</v>
      </c>
      <c r="T39" s="70" t="e">
        <f t="shared" si="31"/>
        <v>#REF!</v>
      </c>
      <c r="U39" s="71" t="e">
        <f t="shared" si="32"/>
        <v>#REF!</v>
      </c>
      <c r="V39" s="71"/>
      <c r="W39" s="70" t="e">
        <f t="shared" si="33"/>
        <v>#REF!</v>
      </c>
      <c r="X39" s="70" t="e">
        <f t="shared" si="34"/>
        <v>#REF!</v>
      </c>
      <c r="Y39" s="71" t="e">
        <f t="shared" si="35"/>
        <v>#REF!</v>
      </c>
    </row>
    <row r="40" spans="1:25" ht="16.5" customHeight="1">
      <c r="A40" s="60" t="s">
        <v>97</v>
      </c>
      <c r="B40" s="61" t="s">
        <v>98</v>
      </c>
      <c r="C40" s="69" t="e">
        <f t="shared" si="18"/>
        <v>#REF!</v>
      </c>
      <c r="D40" s="69" t="e">
        <f t="shared" si="19"/>
        <v>#REF!</v>
      </c>
      <c r="E40" s="71" t="e">
        <f t="shared" si="20"/>
        <v>#REF!</v>
      </c>
      <c r="F40" s="71"/>
      <c r="G40" s="69" t="e">
        <f t="shared" si="21"/>
        <v>#REF!</v>
      </c>
      <c r="H40" s="69" t="e">
        <f t="shared" si="22"/>
        <v>#REF!</v>
      </c>
      <c r="I40" s="71" t="e">
        <f t="shared" si="23"/>
        <v>#REF!</v>
      </c>
      <c r="J40" s="71"/>
      <c r="K40" s="69" t="e">
        <f t="shared" si="24"/>
        <v>#REF!</v>
      </c>
      <c r="L40" s="69" t="e">
        <f t="shared" si="25"/>
        <v>#REF!</v>
      </c>
      <c r="M40" s="71" t="e">
        <f t="shared" si="26"/>
        <v>#REF!</v>
      </c>
      <c r="N40" s="83"/>
      <c r="O40" s="80" t="e">
        <f t="shared" si="27"/>
        <v>#REF!</v>
      </c>
      <c r="P40" s="70" t="e">
        <f t="shared" si="28"/>
        <v>#REF!</v>
      </c>
      <c r="Q40" s="71" t="e">
        <f t="shared" si="29"/>
        <v>#REF!</v>
      </c>
      <c r="R40" s="71"/>
      <c r="S40" s="70" t="e">
        <f t="shared" si="30"/>
        <v>#REF!</v>
      </c>
      <c r="T40" s="70" t="e">
        <f t="shared" si="31"/>
        <v>#REF!</v>
      </c>
      <c r="U40" s="71" t="e">
        <f t="shared" si="32"/>
        <v>#REF!</v>
      </c>
      <c r="V40" s="71"/>
      <c r="W40" s="70" t="e">
        <f t="shared" si="33"/>
        <v>#REF!</v>
      </c>
      <c r="X40" s="70" t="e">
        <f t="shared" si="34"/>
        <v>#REF!</v>
      </c>
      <c r="Y40" s="71" t="e">
        <f t="shared" si="35"/>
        <v>#REF!</v>
      </c>
    </row>
    <row r="41" spans="1:25" ht="16.5" customHeight="1">
      <c r="A41" s="60" t="s">
        <v>99</v>
      </c>
      <c r="B41" s="61" t="s">
        <v>100</v>
      </c>
      <c r="C41" s="69" t="e">
        <f t="shared" si="18"/>
        <v>#REF!</v>
      </c>
      <c r="D41" s="69" t="e">
        <f t="shared" si="19"/>
        <v>#REF!</v>
      </c>
      <c r="E41" s="71" t="e">
        <f t="shared" si="20"/>
        <v>#REF!</v>
      </c>
      <c r="F41" s="71"/>
      <c r="G41" s="69" t="e">
        <f t="shared" si="21"/>
        <v>#REF!</v>
      </c>
      <c r="H41" s="69" t="e">
        <f t="shared" si="22"/>
        <v>#REF!</v>
      </c>
      <c r="I41" s="71" t="e">
        <f t="shared" si="23"/>
        <v>#REF!</v>
      </c>
      <c r="J41" s="71"/>
      <c r="K41" s="69" t="e">
        <f t="shared" si="24"/>
        <v>#REF!</v>
      </c>
      <c r="L41" s="69" t="e">
        <f t="shared" si="25"/>
        <v>#REF!</v>
      </c>
      <c r="M41" s="71" t="e">
        <f t="shared" si="26"/>
        <v>#REF!</v>
      </c>
      <c r="N41" s="83"/>
      <c r="O41" s="80" t="e">
        <f t="shared" si="27"/>
        <v>#REF!</v>
      </c>
      <c r="P41" s="70" t="e">
        <f t="shared" si="28"/>
        <v>#REF!</v>
      </c>
      <c r="Q41" s="71" t="e">
        <f t="shared" si="29"/>
        <v>#REF!</v>
      </c>
      <c r="R41" s="71"/>
      <c r="S41" s="70" t="e">
        <f t="shared" si="30"/>
        <v>#REF!</v>
      </c>
      <c r="T41" s="70" t="e">
        <f t="shared" si="31"/>
        <v>#REF!</v>
      </c>
      <c r="U41" s="71" t="e">
        <f t="shared" si="32"/>
        <v>#REF!</v>
      </c>
      <c r="V41" s="71"/>
      <c r="W41" s="70" t="e">
        <f t="shared" si="33"/>
        <v>#REF!</v>
      </c>
      <c r="X41" s="70" t="e">
        <f t="shared" si="34"/>
        <v>#REF!</v>
      </c>
      <c r="Y41" s="71" t="e">
        <f t="shared" si="35"/>
        <v>#REF!</v>
      </c>
    </row>
    <row r="42" spans="1:25" ht="16.5" customHeight="1">
      <c r="A42" s="60" t="s">
        <v>101</v>
      </c>
      <c r="B42" s="61" t="s">
        <v>102</v>
      </c>
      <c r="C42" s="69" t="e">
        <f t="shared" si="18"/>
        <v>#REF!</v>
      </c>
      <c r="D42" s="69" t="e">
        <f t="shared" si="19"/>
        <v>#REF!</v>
      </c>
      <c r="E42" s="71" t="e">
        <f t="shared" si="20"/>
        <v>#REF!</v>
      </c>
      <c r="F42" s="71"/>
      <c r="G42" s="69" t="e">
        <f t="shared" si="21"/>
        <v>#REF!</v>
      </c>
      <c r="H42" s="69" t="e">
        <f t="shared" si="22"/>
        <v>#REF!</v>
      </c>
      <c r="I42" s="71" t="e">
        <f t="shared" si="23"/>
        <v>#REF!</v>
      </c>
      <c r="J42" s="71"/>
      <c r="K42" s="69" t="e">
        <f t="shared" si="24"/>
        <v>#REF!</v>
      </c>
      <c r="L42" s="69" t="e">
        <f t="shared" si="25"/>
        <v>#REF!</v>
      </c>
      <c r="M42" s="71" t="e">
        <f t="shared" si="26"/>
        <v>#REF!</v>
      </c>
      <c r="N42" s="83"/>
      <c r="O42" s="80" t="e">
        <f t="shared" si="27"/>
        <v>#REF!</v>
      </c>
      <c r="P42" s="70" t="e">
        <f t="shared" si="28"/>
        <v>#REF!</v>
      </c>
      <c r="Q42" s="71" t="e">
        <f t="shared" si="29"/>
        <v>#REF!</v>
      </c>
      <c r="R42" s="71"/>
      <c r="S42" s="70" t="e">
        <f t="shared" si="30"/>
        <v>#REF!</v>
      </c>
      <c r="T42" s="70" t="e">
        <f t="shared" si="31"/>
        <v>#REF!</v>
      </c>
      <c r="U42" s="71" t="e">
        <f t="shared" si="32"/>
        <v>#REF!</v>
      </c>
      <c r="V42" s="71"/>
      <c r="W42" s="70" t="e">
        <f t="shared" si="33"/>
        <v>#REF!</v>
      </c>
      <c r="X42" s="70" t="e">
        <f t="shared" si="34"/>
        <v>#REF!</v>
      </c>
      <c r="Y42" s="71" t="e">
        <f t="shared" si="35"/>
        <v>#REF!</v>
      </c>
    </row>
    <row r="43" spans="1:25" ht="16.5" customHeight="1">
      <c r="A43" s="60" t="s">
        <v>103</v>
      </c>
      <c r="B43" s="76" t="s">
        <v>104</v>
      </c>
      <c r="C43" s="69" t="e">
        <f t="shared" si="18"/>
        <v>#REF!</v>
      </c>
      <c r="D43" s="69" t="e">
        <f t="shared" si="19"/>
        <v>#REF!</v>
      </c>
      <c r="E43" s="71" t="e">
        <f t="shared" si="20"/>
        <v>#REF!</v>
      </c>
      <c r="F43" s="71"/>
      <c r="G43" s="69" t="e">
        <f t="shared" si="21"/>
        <v>#REF!</v>
      </c>
      <c r="H43" s="69" t="e">
        <f t="shared" si="22"/>
        <v>#REF!</v>
      </c>
      <c r="I43" s="71" t="e">
        <f t="shared" si="23"/>
        <v>#REF!</v>
      </c>
      <c r="J43" s="71"/>
      <c r="K43" s="69" t="e">
        <f t="shared" si="24"/>
        <v>#REF!</v>
      </c>
      <c r="L43" s="69" t="e">
        <f t="shared" si="25"/>
        <v>#REF!</v>
      </c>
      <c r="M43" s="71" t="e">
        <f t="shared" si="26"/>
        <v>#REF!</v>
      </c>
      <c r="N43" s="83"/>
      <c r="O43" s="80" t="e">
        <f t="shared" si="27"/>
        <v>#REF!</v>
      </c>
      <c r="P43" s="70" t="e">
        <f t="shared" si="28"/>
        <v>#REF!</v>
      </c>
      <c r="Q43" s="71" t="e">
        <f t="shared" si="29"/>
        <v>#REF!</v>
      </c>
      <c r="R43" s="71"/>
      <c r="S43" s="70" t="e">
        <f t="shared" si="30"/>
        <v>#REF!</v>
      </c>
      <c r="T43" s="70" t="e">
        <f t="shared" si="31"/>
        <v>#REF!</v>
      </c>
      <c r="U43" s="71" t="e">
        <f t="shared" si="32"/>
        <v>#REF!</v>
      </c>
      <c r="V43" s="71"/>
      <c r="W43" s="70" t="e">
        <f t="shared" si="33"/>
        <v>#REF!</v>
      </c>
      <c r="X43" s="70" t="e">
        <f t="shared" si="34"/>
        <v>#REF!</v>
      </c>
      <c r="Y43" s="71" t="e">
        <f t="shared" si="35"/>
        <v>#REF!</v>
      </c>
    </row>
    <row r="44" spans="1:25" ht="16.5" customHeight="1">
      <c r="A44" s="60" t="s">
        <v>105</v>
      </c>
      <c r="B44" s="76" t="s">
        <v>388</v>
      </c>
      <c r="C44" s="69" t="e">
        <f t="shared" si="18"/>
        <v>#REF!</v>
      </c>
      <c r="D44" s="69" t="e">
        <f t="shared" si="19"/>
        <v>#REF!</v>
      </c>
      <c r="E44" s="71" t="e">
        <f t="shared" si="20"/>
        <v>#REF!</v>
      </c>
      <c r="F44" s="71"/>
      <c r="G44" s="69" t="e">
        <f t="shared" si="21"/>
        <v>#REF!</v>
      </c>
      <c r="H44" s="69" t="e">
        <f t="shared" si="22"/>
        <v>#REF!</v>
      </c>
      <c r="I44" s="71" t="e">
        <f t="shared" si="23"/>
        <v>#REF!</v>
      </c>
      <c r="J44" s="71"/>
      <c r="K44" s="69" t="e">
        <f t="shared" si="24"/>
        <v>#REF!</v>
      </c>
      <c r="L44" s="69" t="e">
        <f t="shared" si="25"/>
        <v>#REF!</v>
      </c>
      <c r="M44" s="71" t="e">
        <f t="shared" si="26"/>
        <v>#REF!</v>
      </c>
      <c r="N44" s="83"/>
      <c r="O44" s="80" t="e">
        <f t="shared" si="27"/>
        <v>#REF!</v>
      </c>
      <c r="P44" s="70" t="e">
        <f t="shared" si="28"/>
        <v>#REF!</v>
      </c>
      <c r="Q44" s="71" t="e">
        <f t="shared" si="29"/>
        <v>#REF!</v>
      </c>
      <c r="R44" s="71"/>
      <c r="S44" s="70" t="e">
        <f t="shared" si="30"/>
        <v>#REF!</v>
      </c>
      <c r="T44" s="70" t="e">
        <f t="shared" si="31"/>
        <v>#REF!</v>
      </c>
      <c r="U44" s="71" t="e">
        <f t="shared" si="32"/>
        <v>#REF!</v>
      </c>
      <c r="V44" s="71"/>
      <c r="W44" s="70" t="e">
        <f t="shared" si="33"/>
        <v>#REF!</v>
      </c>
      <c r="X44" s="70" t="e">
        <f t="shared" si="34"/>
        <v>#REF!</v>
      </c>
      <c r="Y44" s="71" t="e">
        <f t="shared" si="35"/>
        <v>#REF!</v>
      </c>
    </row>
    <row r="45" spans="1:25" ht="16.5" customHeight="1">
      <c r="A45" s="60" t="s">
        <v>109</v>
      </c>
      <c r="B45" s="61" t="s">
        <v>110</v>
      </c>
      <c r="C45" s="69" t="e">
        <f t="shared" si="18"/>
        <v>#REF!</v>
      </c>
      <c r="D45" s="69" t="e">
        <f t="shared" si="19"/>
        <v>#REF!</v>
      </c>
      <c r="E45" s="71" t="e">
        <f t="shared" si="20"/>
        <v>#REF!</v>
      </c>
      <c r="F45" s="71"/>
      <c r="G45" s="69" t="e">
        <f t="shared" si="21"/>
        <v>#REF!</v>
      </c>
      <c r="H45" s="69" t="e">
        <f t="shared" si="22"/>
        <v>#REF!</v>
      </c>
      <c r="I45" s="71" t="e">
        <f t="shared" si="23"/>
        <v>#REF!</v>
      </c>
      <c r="J45" s="71"/>
      <c r="K45" s="69" t="e">
        <f t="shared" si="24"/>
        <v>#REF!</v>
      </c>
      <c r="L45" s="69" t="e">
        <f t="shared" si="25"/>
        <v>#REF!</v>
      </c>
      <c r="M45" s="71" t="e">
        <f t="shared" si="26"/>
        <v>#REF!</v>
      </c>
      <c r="N45" s="83"/>
      <c r="O45" s="80" t="e">
        <f t="shared" si="27"/>
        <v>#REF!</v>
      </c>
      <c r="P45" s="70" t="e">
        <f t="shared" si="28"/>
        <v>#REF!</v>
      </c>
      <c r="Q45" s="71" t="e">
        <f t="shared" si="29"/>
        <v>#REF!</v>
      </c>
      <c r="R45" s="71"/>
      <c r="S45" s="70" t="e">
        <f t="shared" si="30"/>
        <v>#REF!</v>
      </c>
      <c r="T45" s="70" t="e">
        <f t="shared" si="31"/>
        <v>#REF!</v>
      </c>
      <c r="U45" s="71" t="e">
        <f t="shared" si="32"/>
        <v>#REF!</v>
      </c>
      <c r="V45" s="71"/>
      <c r="W45" s="70" t="e">
        <f t="shared" si="33"/>
        <v>#REF!</v>
      </c>
      <c r="X45" s="70" t="e">
        <f t="shared" si="34"/>
        <v>#REF!</v>
      </c>
      <c r="Y45" s="71" t="e">
        <f t="shared" si="35"/>
        <v>#REF!</v>
      </c>
    </row>
    <row r="46" spans="1:25" ht="16.5" customHeight="1">
      <c r="A46" s="60" t="s">
        <v>111</v>
      </c>
      <c r="B46" s="61" t="s">
        <v>112</v>
      </c>
      <c r="C46" s="69" t="e">
        <f t="shared" si="18"/>
        <v>#REF!</v>
      </c>
      <c r="D46" s="69" t="e">
        <f t="shared" si="19"/>
        <v>#REF!</v>
      </c>
      <c r="E46" s="71" t="e">
        <f t="shared" si="20"/>
        <v>#REF!</v>
      </c>
      <c r="F46" s="71"/>
      <c r="G46" s="69" t="e">
        <f t="shared" si="21"/>
        <v>#REF!</v>
      </c>
      <c r="H46" s="69" t="e">
        <f t="shared" si="22"/>
        <v>#REF!</v>
      </c>
      <c r="I46" s="71" t="e">
        <f t="shared" si="23"/>
        <v>#REF!</v>
      </c>
      <c r="J46" s="71"/>
      <c r="K46" s="69" t="e">
        <f t="shared" si="24"/>
        <v>#REF!</v>
      </c>
      <c r="L46" s="69" t="e">
        <f t="shared" si="25"/>
        <v>#REF!</v>
      </c>
      <c r="M46" s="71" t="e">
        <f t="shared" si="26"/>
        <v>#REF!</v>
      </c>
      <c r="N46" s="83"/>
      <c r="O46" s="80" t="e">
        <f t="shared" si="27"/>
        <v>#REF!</v>
      </c>
      <c r="P46" s="70" t="e">
        <f t="shared" si="28"/>
        <v>#REF!</v>
      </c>
      <c r="Q46" s="71" t="e">
        <f t="shared" si="29"/>
        <v>#REF!</v>
      </c>
      <c r="R46" s="71"/>
      <c r="S46" s="70" t="e">
        <f t="shared" si="30"/>
        <v>#REF!</v>
      </c>
      <c r="T46" s="70" t="e">
        <f t="shared" si="31"/>
        <v>#REF!</v>
      </c>
      <c r="U46" s="71" t="e">
        <f t="shared" si="32"/>
        <v>#REF!</v>
      </c>
      <c r="V46" s="71"/>
      <c r="W46" s="70" t="e">
        <f t="shared" si="33"/>
        <v>#REF!</v>
      </c>
      <c r="X46" s="70" t="e">
        <f t="shared" si="34"/>
        <v>#REF!</v>
      </c>
      <c r="Y46" s="71" t="e">
        <f t="shared" si="35"/>
        <v>#REF!</v>
      </c>
    </row>
    <row r="47" spans="1:25" ht="16.5" customHeight="1">
      <c r="A47" s="60" t="s">
        <v>113</v>
      </c>
      <c r="B47" s="76" t="s">
        <v>367</v>
      </c>
      <c r="C47" s="69" t="e">
        <f t="shared" si="18"/>
        <v>#REF!</v>
      </c>
      <c r="D47" s="69" t="e">
        <f t="shared" si="19"/>
        <v>#REF!</v>
      </c>
      <c r="E47" s="71" t="e">
        <f t="shared" si="20"/>
        <v>#REF!</v>
      </c>
      <c r="F47" s="71"/>
      <c r="G47" s="69" t="e">
        <f t="shared" si="21"/>
        <v>#REF!</v>
      </c>
      <c r="H47" s="69" t="e">
        <f t="shared" si="22"/>
        <v>#REF!</v>
      </c>
      <c r="I47" s="71" t="e">
        <f t="shared" si="23"/>
        <v>#REF!</v>
      </c>
      <c r="J47" s="71"/>
      <c r="K47" s="69" t="e">
        <f t="shared" si="24"/>
        <v>#REF!</v>
      </c>
      <c r="L47" s="69" t="e">
        <f t="shared" si="25"/>
        <v>#REF!</v>
      </c>
      <c r="M47" s="71" t="e">
        <f t="shared" si="26"/>
        <v>#REF!</v>
      </c>
      <c r="N47" s="83"/>
      <c r="O47" s="80" t="e">
        <f t="shared" si="27"/>
        <v>#REF!</v>
      </c>
      <c r="P47" s="70" t="e">
        <f t="shared" si="28"/>
        <v>#REF!</v>
      </c>
      <c r="Q47" s="71" t="e">
        <f t="shared" si="29"/>
        <v>#REF!</v>
      </c>
      <c r="R47" s="71"/>
      <c r="S47" s="70" t="e">
        <f t="shared" si="30"/>
        <v>#REF!</v>
      </c>
      <c r="T47" s="70" t="e">
        <f t="shared" si="31"/>
        <v>#REF!</v>
      </c>
      <c r="U47" s="71" t="e">
        <f t="shared" si="32"/>
        <v>#REF!</v>
      </c>
      <c r="V47" s="71"/>
      <c r="W47" s="70" t="e">
        <f t="shared" si="33"/>
        <v>#REF!</v>
      </c>
      <c r="X47" s="70" t="e">
        <f t="shared" si="34"/>
        <v>#REF!</v>
      </c>
      <c r="Y47" s="71" t="e">
        <f t="shared" si="35"/>
        <v>#REF!</v>
      </c>
    </row>
    <row r="48" spans="1:25" ht="16.5" customHeight="1">
      <c r="A48" s="60" t="s">
        <v>115</v>
      </c>
      <c r="B48" s="76" t="s">
        <v>116</v>
      </c>
      <c r="C48" s="69" t="e">
        <f t="shared" si="18"/>
        <v>#REF!</v>
      </c>
      <c r="D48" s="69" t="e">
        <f t="shared" si="19"/>
        <v>#REF!</v>
      </c>
      <c r="E48" s="71" t="e">
        <f t="shared" si="20"/>
        <v>#REF!</v>
      </c>
      <c r="F48" s="71"/>
      <c r="G48" s="69" t="e">
        <f t="shared" si="21"/>
        <v>#REF!</v>
      </c>
      <c r="H48" s="69" t="e">
        <f t="shared" si="22"/>
        <v>#REF!</v>
      </c>
      <c r="I48" s="71" t="e">
        <f t="shared" si="23"/>
        <v>#REF!</v>
      </c>
      <c r="J48" s="71"/>
      <c r="K48" s="69" t="e">
        <f t="shared" si="24"/>
        <v>#REF!</v>
      </c>
      <c r="L48" s="69" t="e">
        <f t="shared" si="25"/>
        <v>#REF!</v>
      </c>
      <c r="M48" s="71" t="e">
        <f t="shared" si="26"/>
        <v>#REF!</v>
      </c>
      <c r="N48" s="83"/>
      <c r="O48" s="80" t="e">
        <f t="shared" si="27"/>
        <v>#REF!</v>
      </c>
      <c r="P48" s="70" t="e">
        <f t="shared" si="28"/>
        <v>#REF!</v>
      </c>
      <c r="Q48" s="71" t="e">
        <f t="shared" si="29"/>
        <v>#REF!</v>
      </c>
      <c r="R48" s="71"/>
      <c r="S48" s="70" t="e">
        <f t="shared" si="30"/>
        <v>#REF!</v>
      </c>
      <c r="T48" s="70" t="e">
        <f t="shared" si="31"/>
        <v>#REF!</v>
      </c>
      <c r="U48" s="71" t="e">
        <f t="shared" si="32"/>
        <v>#REF!</v>
      </c>
      <c r="V48" s="71"/>
      <c r="W48" s="70" t="e">
        <f t="shared" si="33"/>
        <v>#REF!</v>
      </c>
      <c r="X48" s="70" t="e">
        <f t="shared" si="34"/>
        <v>#REF!</v>
      </c>
      <c r="Y48" s="71" t="e">
        <f t="shared" si="35"/>
        <v>#REF!</v>
      </c>
    </row>
    <row r="49" spans="1:25" ht="16.5" customHeight="1">
      <c r="A49" s="60" t="s">
        <v>119</v>
      </c>
      <c r="B49" s="61" t="s">
        <v>120</v>
      </c>
      <c r="C49" s="69" t="e">
        <f t="shared" si="18"/>
        <v>#REF!</v>
      </c>
      <c r="D49" s="69" t="e">
        <f t="shared" si="19"/>
        <v>#REF!</v>
      </c>
      <c r="E49" s="71" t="e">
        <f t="shared" si="20"/>
        <v>#REF!</v>
      </c>
      <c r="F49" s="71"/>
      <c r="G49" s="69" t="e">
        <f t="shared" si="21"/>
        <v>#REF!</v>
      </c>
      <c r="H49" s="69" t="e">
        <f t="shared" si="22"/>
        <v>#REF!</v>
      </c>
      <c r="I49" s="71" t="e">
        <f t="shared" si="23"/>
        <v>#REF!</v>
      </c>
      <c r="J49" s="71"/>
      <c r="K49" s="69" t="e">
        <f t="shared" si="24"/>
        <v>#REF!</v>
      </c>
      <c r="L49" s="69" t="e">
        <f t="shared" si="25"/>
        <v>#REF!</v>
      </c>
      <c r="M49" s="71" t="e">
        <f t="shared" si="26"/>
        <v>#REF!</v>
      </c>
      <c r="N49" s="83"/>
      <c r="O49" s="80" t="e">
        <f t="shared" si="27"/>
        <v>#REF!</v>
      </c>
      <c r="P49" s="70" t="e">
        <f t="shared" si="28"/>
        <v>#REF!</v>
      </c>
      <c r="Q49" s="71" t="e">
        <f t="shared" si="29"/>
        <v>#REF!</v>
      </c>
      <c r="R49" s="71"/>
      <c r="S49" s="70" t="e">
        <f t="shared" si="30"/>
        <v>#REF!</v>
      </c>
      <c r="T49" s="70" t="e">
        <f t="shared" si="31"/>
        <v>#REF!</v>
      </c>
      <c r="U49" s="71" t="e">
        <f t="shared" si="32"/>
        <v>#REF!</v>
      </c>
      <c r="V49" s="71"/>
      <c r="W49" s="70" t="e">
        <f t="shared" si="33"/>
        <v>#REF!</v>
      </c>
      <c r="X49" s="70" t="e">
        <f t="shared" si="34"/>
        <v>#REF!</v>
      </c>
      <c r="Y49" s="71" t="e">
        <f t="shared" si="35"/>
        <v>#REF!</v>
      </c>
    </row>
    <row r="50" spans="1:25" ht="16.5" customHeight="1">
      <c r="A50" s="60" t="s">
        <v>121</v>
      </c>
      <c r="B50" s="61" t="s">
        <v>122</v>
      </c>
      <c r="C50" s="69" t="e">
        <f t="shared" si="18"/>
        <v>#REF!</v>
      </c>
      <c r="D50" s="69" t="e">
        <f t="shared" si="19"/>
        <v>#REF!</v>
      </c>
      <c r="E50" s="71" t="e">
        <f t="shared" si="20"/>
        <v>#REF!</v>
      </c>
      <c r="F50" s="71"/>
      <c r="G50" s="69" t="e">
        <f t="shared" si="21"/>
        <v>#REF!</v>
      </c>
      <c r="H50" s="69" t="e">
        <f t="shared" si="22"/>
        <v>#REF!</v>
      </c>
      <c r="I50" s="71" t="e">
        <f t="shared" si="23"/>
        <v>#REF!</v>
      </c>
      <c r="J50" s="71"/>
      <c r="K50" s="69" t="e">
        <f t="shared" si="24"/>
        <v>#REF!</v>
      </c>
      <c r="L50" s="69" t="e">
        <f t="shared" si="25"/>
        <v>#REF!</v>
      </c>
      <c r="M50" s="71" t="e">
        <f t="shared" si="26"/>
        <v>#REF!</v>
      </c>
      <c r="N50" s="83"/>
      <c r="O50" s="80" t="e">
        <f t="shared" si="27"/>
        <v>#REF!</v>
      </c>
      <c r="P50" s="70" t="e">
        <f t="shared" si="28"/>
        <v>#REF!</v>
      </c>
      <c r="Q50" s="71" t="e">
        <f t="shared" si="29"/>
        <v>#REF!</v>
      </c>
      <c r="R50" s="71"/>
      <c r="S50" s="70" t="e">
        <f t="shared" si="30"/>
        <v>#REF!</v>
      </c>
      <c r="T50" s="70" t="e">
        <f t="shared" si="31"/>
        <v>#REF!</v>
      </c>
      <c r="U50" s="71" t="e">
        <f t="shared" si="32"/>
        <v>#REF!</v>
      </c>
      <c r="V50" s="71"/>
      <c r="W50" s="70" t="e">
        <f t="shared" si="33"/>
        <v>#REF!</v>
      </c>
      <c r="X50" s="70" t="e">
        <f t="shared" si="34"/>
        <v>#REF!</v>
      </c>
      <c r="Y50" s="71" t="e">
        <f t="shared" si="35"/>
        <v>#REF!</v>
      </c>
    </row>
    <row r="51" spans="1:25" ht="16.5" customHeight="1">
      <c r="A51" s="60" t="s">
        <v>123</v>
      </c>
      <c r="B51" s="61" t="s">
        <v>284</v>
      </c>
      <c r="C51" s="69" t="e">
        <f t="shared" si="18"/>
        <v>#REF!</v>
      </c>
      <c r="D51" s="69" t="e">
        <f t="shared" si="19"/>
        <v>#REF!</v>
      </c>
      <c r="E51" s="71" t="e">
        <f t="shared" si="20"/>
        <v>#REF!</v>
      </c>
      <c r="F51" s="71"/>
      <c r="G51" s="69" t="e">
        <f t="shared" si="21"/>
        <v>#REF!</v>
      </c>
      <c r="H51" s="69" t="e">
        <f t="shared" si="22"/>
        <v>#REF!</v>
      </c>
      <c r="I51" s="71" t="e">
        <f t="shared" si="23"/>
        <v>#REF!</v>
      </c>
      <c r="J51" s="71"/>
      <c r="K51" s="69" t="e">
        <f t="shared" si="24"/>
        <v>#REF!</v>
      </c>
      <c r="L51" s="69" t="e">
        <f t="shared" si="25"/>
        <v>#REF!</v>
      </c>
      <c r="M51" s="71" t="e">
        <f t="shared" si="26"/>
        <v>#REF!</v>
      </c>
      <c r="N51" s="83"/>
      <c r="O51" s="80" t="e">
        <f t="shared" si="27"/>
        <v>#REF!</v>
      </c>
      <c r="P51" s="70" t="e">
        <f t="shared" si="28"/>
        <v>#REF!</v>
      </c>
      <c r="Q51" s="71" t="e">
        <f t="shared" si="29"/>
        <v>#REF!</v>
      </c>
      <c r="R51" s="71"/>
      <c r="S51" s="70" t="e">
        <f t="shared" si="30"/>
        <v>#REF!</v>
      </c>
      <c r="T51" s="70" t="e">
        <f t="shared" si="31"/>
        <v>#REF!</v>
      </c>
      <c r="U51" s="71" t="e">
        <f t="shared" si="32"/>
        <v>#REF!</v>
      </c>
      <c r="V51" s="71"/>
      <c r="W51" s="70" t="e">
        <f t="shared" si="33"/>
        <v>#REF!</v>
      </c>
      <c r="X51" s="70" t="e">
        <f t="shared" si="34"/>
        <v>#REF!</v>
      </c>
      <c r="Y51" s="71" t="e">
        <f t="shared" si="35"/>
        <v>#REF!</v>
      </c>
    </row>
    <row r="52" spans="1:25" ht="16.5" customHeight="1">
      <c r="A52" s="60" t="s">
        <v>125</v>
      </c>
      <c r="B52" s="61" t="s">
        <v>126</v>
      </c>
      <c r="C52" s="69" t="e">
        <f t="shared" si="18"/>
        <v>#REF!</v>
      </c>
      <c r="D52" s="69" t="e">
        <f t="shared" si="19"/>
        <v>#REF!</v>
      </c>
      <c r="E52" s="71" t="e">
        <f t="shared" si="20"/>
        <v>#REF!</v>
      </c>
      <c r="F52" s="71"/>
      <c r="G52" s="69" t="e">
        <f t="shared" si="21"/>
        <v>#REF!</v>
      </c>
      <c r="H52" s="69" t="e">
        <f t="shared" si="22"/>
        <v>#REF!</v>
      </c>
      <c r="I52" s="71" t="e">
        <f t="shared" si="23"/>
        <v>#REF!</v>
      </c>
      <c r="J52" s="71"/>
      <c r="K52" s="69" t="e">
        <f t="shared" si="24"/>
        <v>#REF!</v>
      </c>
      <c r="L52" s="69" t="e">
        <f t="shared" si="25"/>
        <v>#REF!</v>
      </c>
      <c r="M52" s="71" t="e">
        <f t="shared" si="26"/>
        <v>#REF!</v>
      </c>
      <c r="N52" s="83"/>
      <c r="O52" s="80" t="e">
        <f t="shared" si="27"/>
        <v>#REF!</v>
      </c>
      <c r="P52" s="70" t="e">
        <f t="shared" si="28"/>
        <v>#REF!</v>
      </c>
      <c r="Q52" s="71" t="e">
        <f t="shared" si="29"/>
        <v>#REF!</v>
      </c>
      <c r="R52" s="71"/>
      <c r="S52" s="70" t="e">
        <f t="shared" si="30"/>
        <v>#REF!</v>
      </c>
      <c r="T52" s="70" t="e">
        <f t="shared" si="31"/>
        <v>#REF!</v>
      </c>
      <c r="U52" s="71" t="e">
        <f t="shared" si="32"/>
        <v>#REF!</v>
      </c>
      <c r="V52" s="71"/>
      <c r="W52" s="70" t="e">
        <f t="shared" si="33"/>
        <v>#REF!</v>
      </c>
      <c r="X52" s="70" t="e">
        <f t="shared" si="34"/>
        <v>#REF!</v>
      </c>
      <c r="Y52" s="71" t="e">
        <f t="shared" si="35"/>
        <v>#REF!</v>
      </c>
    </row>
    <row r="53" spans="1:25" ht="16.5" customHeight="1">
      <c r="A53" s="60" t="s">
        <v>127</v>
      </c>
      <c r="B53" s="61" t="s">
        <v>128</v>
      </c>
      <c r="C53" s="69" t="e">
        <f t="shared" si="18"/>
        <v>#REF!</v>
      </c>
      <c r="D53" s="69" t="e">
        <f t="shared" si="19"/>
        <v>#REF!</v>
      </c>
      <c r="E53" s="71" t="e">
        <f t="shared" si="20"/>
        <v>#REF!</v>
      </c>
      <c r="F53" s="71"/>
      <c r="G53" s="69" t="e">
        <f t="shared" si="21"/>
        <v>#REF!</v>
      </c>
      <c r="H53" s="69" t="e">
        <f t="shared" si="22"/>
        <v>#REF!</v>
      </c>
      <c r="I53" s="71" t="e">
        <f t="shared" si="23"/>
        <v>#REF!</v>
      </c>
      <c r="J53" s="71"/>
      <c r="K53" s="69" t="e">
        <f t="shared" si="24"/>
        <v>#REF!</v>
      </c>
      <c r="L53" s="69" t="e">
        <f t="shared" si="25"/>
        <v>#REF!</v>
      </c>
      <c r="M53" s="71" t="e">
        <f t="shared" si="26"/>
        <v>#REF!</v>
      </c>
      <c r="N53" s="83"/>
      <c r="O53" s="80" t="e">
        <f t="shared" si="27"/>
        <v>#REF!</v>
      </c>
      <c r="P53" s="70" t="e">
        <f t="shared" si="28"/>
        <v>#REF!</v>
      </c>
      <c r="Q53" s="71" t="e">
        <f t="shared" si="29"/>
        <v>#REF!</v>
      </c>
      <c r="R53" s="71"/>
      <c r="S53" s="70" t="e">
        <f t="shared" si="30"/>
        <v>#REF!</v>
      </c>
      <c r="T53" s="70" t="e">
        <f t="shared" si="31"/>
        <v>#REF!</v>
      </c>
      <c r="U53" s="71" t="e">
        <f t="shared" si="32"/>
        <v>#REF!</v>
      </c>
      <c r="V53" s="71"/>
      <c r="W53" s="70" t="e">
        <f t="shared" si="33"/>
        <v>#REF!</v>
      </c>
      <c r="X53" s="70" t="e">
        <f t="shared" si="34"/>
        <v>#REF!</v>
      </c>
      <c r="Y53" s="71" t="e">
        <f t="shared" si="35"/>
        <v>#REF!</v>
      </c>
    </row>
    <row r="54" spans="1:25" ht="16.5" customHeight="1">
      <c r="A54" s="60" t="s">
        <v>129</v>
      </c>
      <c r="B54" s="61" t="s">
        <v>130</v>
      </c>
      <c r="C54" s="69" t="e">
        <f t="shared" si="18"/>
        <v>#REF!</v>
      </c>
      <c r="D54" s="69" t="e">
        <f t="shared" si="19"/>
        <v>#REF!</v>
      </c>
      <c r="E54" s="71" t="e">
        <f t="shared" si="20"/>
        <v>#REF!</v>
      </c>
      <c r="F54" s="71"/>
      <c r="G54" s="69" t="e">
        <f t="shared" si="21"/>
        <v>#REF!</v>
      </c>
      <c r="H54" s="69" t="e">
        <f t="shared" si="22"/>
        <v>#REF!</v>
      </c>
      <c r="I54" s="71" t="e">
        <f t="shared" si="23"/>
        <v>#REF!</v>
      </c>
      <c r="J54" s="71"/>
      <c r="K54" s="69" t="e">
        <f t="shared" si="24"/>
        <v>#REF!</v>
      </c>
      <c r="L54" s="69" t="e">
        <f t="shared" si="25"/>
        <v>#REF!</v>
      </c>
      <c r="M54" s="71" t="e">
        <f t="shared" si="26"/>
        <v>#REF!</v>
      </c>
      <c r="N54" s="83"/>
      <c r="O54" s="80" t="e">
        <f t="shared" si="27"/>
        <v>#REF!</v>
      </c>
      <c r="P54" s="70" t="e">
        <f t="shared" si="28"/>
        <v>#REF!</v>
      </c>
      <c r="Q54" s="71" t="e">
        <f t="shared" si="29"/>
        <v>#REF!</v>
      </c>
      <c r="R54" s="71"/>
      <c r="S54" s="70" t="e">
        <f t="shared" si="30"/>
        <v>#REF!</v>
      </c>
      <c r="T54" s="70" t="e">
        <f t="shared" si="31"/>
        <v>#REF!</v>
      </c>
      <c r="U54" s="71" t="e">
        <f t="shared" si="32"/>
        <v>#REF!</v>
      </c>
      <c r="V54" s="71"/>
      <c r="W54" s="70" t="e">
        <f t="shared" si="33"/>
        <v>#REF!</v>
      </c>
      <c r="X54" s="70" t="e">
        <f t="shared" si="34"/>
        <v>#REF!</v>
      </c>
      <c r="Y54" s="71" t="e">
        <f t="shared" si="35"/>
        <v>#REF!</v>
      </c>
    </row>
    <row r="55" spans="1:25" ht="16.5" customHeight="1">
      <c r="A55" s="60" t="s">
        <v>131</v>
      </c>
      <c r="B55" s="76" t="s">
        <v>132</v>
      </c>
      <c r="C55" s="69" t="e">
        <f t="shared" si="18"/>
        <v>#REF!</v>
      </c>
      <c r="D55" s="69" t="e">
        <f t="shared" si="19"/>
        <v>#REF!</v>
      </c>
      <c r="E55" s="71" t="e">
        <f t="shared" si="20"/>
        <v>#REF!</v>
      </c>
      <c r="F55" s="71"/>
      <c r="G55" s="69" t="e">
        <f t="shared" si="21"/>
        <v>#REF!</v>
      </c>
      <c r="H55" s="69" t="e">
        <f t="shared" si="22"/>
        <v>#REF!</v>
      </c>
      <c r="I55" s="71" t="e">
        <f t="shared" si="23"/>
        <v>#REF!</v>
      </c>
      <c r="J55" s="71"/>
      <c r="K55" s="69" t="e">
        <f t="shared" si="24"/>
        <v>#REF!</v>
      </c>
      <c r="L55" s="69" t="e">
        <f t="shared" si="25"/>
        <v>#REF!</v>
      </c>
      <c r="M55" s="71" t="e">
        <f t="shared" si="26"/>
        <v>#REF!</v>
      </c>
      <c r="N55" s="83"/>
      <c r="O55" s="80" t="e">
        <f t="shared" si="27"/>
        <v>#REF!</v>
      </c>
      <c r="P55" s="70" t="e">
        <f t="shared" si="28"/>
        <v>#REF!</v>
      </c>
      <c r="Q55" s="71" t="e">
        <f t="shared" si="29"/>
        <v>#REF!</v>
      </c>
      <c r="R55" s="71"/>
      <c r="S55" s="70" t="e">
        <f t="shared" si="30"/>
        <v>#REF!</v>
      </c>
      <c r="T55" s="70" t="e">
        <f t="shared" si="31"/>
        <v>#REF!</v>
      </c>
      <c r="U55" s="71" t="e">
        <f t="shared" si="32"/>
        <v>#REF!</v>
      </c>
      <c r="V55" s="71"/>
      <c r="W55" s="70" t="e">
        <f t="shared" si="33"/>
        <v>#REF!</v>
      </c>
      <c r="X55" s="70" t="e">
        <f t="shared" si="34"/>
        <v>#REF!</v>
      </c>
      <c r="Y55" s="71" t="e">
        <f t="shared" si="35"/>
        <v>#REF!</v>
      </c>
    </row>
    <row r="56" spans="1:25" ht="16.5" customHeight="1">
      <c r="A56" s="60" t="s">
        <v>133</v>
      </c>
      <c r="B56" s="61" t="s">
        <v>134</v>
      </c>
      <c r="C56" s="69" t="e">
        <f t="shared" si="18"/>
        <v>#REF!</v>
      </c>
      <c r="D56" s="69" t="e">
        <f t="shared" si="19"/>
        <v>#REF!</v>
      </c>
      <c r="E56" s="71" t="e">
        <f t="shared" si="20"/>
        <v>#REF!</v>
      </c>
      <c r="F56" s="71"/>
      <c r="G56" s="69" t="e">
        <f t="shared" si="21"/>
        <v>#REF!</v>
      </c>
      <c r="H56" s="69" t="e">
        <f t="shared" si="22"/>
        <v>#REF!</v>
      </c>
      <c r="I56" s="71" t="e">
        <f t="shared" si="23"/>
        <v>#REF!</v>
      </c>
      <c r="J56" s="71"/>
      <c r="K56" s="69" t="e">
        <f t="shared" si="24"/>
        <v>#REF!</v>
      </c>
      <c r="L56" s="69" t="e">
        <f t="shared" si="25"/>
        <v>#REF!</v>
      </c>
      <c r="M56" s="71" t="e">
        <f t="shared" si="26"/>
        <v>#REF!</v>
      </c>
      <c r="N56" s="83"/>
      <c r="O56" s="80" t="e">
        <f t="shared" si="27"/>
        <v>#REF!</v>
      </c>
      <c r="P56" s="70" t="e">
        <f t="shared" si="28"/>
        <v>#REF!</v>
      </c>
      <c r="Q56" s="71" t="e">
        <f t="shared" si="29"/>
        <v>#REF!</v>
      </c>
      <c r="R56" s="71"/>
      <c r="S56" s="70" t="e">
        <f t="shared" si="30"/>
        <v>#REF!</v>
      </c>
      <c r="T56" s="70" t="e">
        <f t="shared" si="31"/>
        <v>#REF!</v>
      </c>
      <c r="U56" s="71" t="e">
        <f t="shared" si="32"/>
        <v>#REF!</v>
      </c>
      <c r="V56" s="71"/>
      <c r="W56" s="70" t="e">
        <f t="shared" si="33"/>
        <v>#REF!</v>
      </c>
      <c r="X56" s="70" t="e">
        <f t="shared" si="34"/>
        <v>#REF!</v>
      </c>
      <c r="Y56" s="71" t="e">
        <f t="shared" si="35"/>
        <v>#REF!</v>
      </c>
    </row>
    <row r="57" spans="1:25" ht="16.5" customHeight="1">
      <c r="A57" s="60" t="s">
        <v>135</v>
      </c>
      <c r="B57" s="61" t="s">
        <v>136</v>
      </c>
      <c r="C57" s="69" t="e">
        <f t="shared" si="18"/>
        <v>#REF!</v>
      </c>
      <c r="D57" s="69" t="e">
        <f t="shared" si="19"/>
        <v>#REF!</v>
      </c>
      <c r="E57" s="71" t="e">
        <f t="shared" si="20"/>
        <v>#REF!</v>
      </c>
      <c r="F57" s="71"/>
      <c r="G57" s="69" t="e">
        <f t="shared" si="21"/>
        <v>#REF!</v>
      </c>
      <c r="H57" s="69" t="e">
        <f t="shared" si="22"/>
        <v>#REF!</v>
      </c>
      <c r="I57" s="71" t="e">
        <f t="shared" si="23"/>
        <v>#REF!</v>
      </c>
      <c r="J57" s="71"/>
      <c r="K57" s="69" t="e">
        <f t="shared" si="24"/>
        <v>#REF!</v>
      </c>
      <c r="L57" s="69" t="e">
        <f t="shared" si="25"/>
        <v>#REF!</v>
      </c>
      <c r="M57" s="71" t="e">
        <f t="shared" si="26"/>
        <v>#REF!</v>
      </c>
      <c r="N57" s="83"/>
      <c r="O57" s="80" t="e">
        <f t="shared" si="27"/>
        <v>#REF!</v>
      </c>
      <c r="P57" s="70" t="e">
        <f t="shared" si="28"/>
        <v>#REF!</v>
      </c>
      <c r="Q57" s="71" t="e">
        <f t="shared" si="29"/>
        <v>#REF!</v>
      </c>
      <c r="R57" s="71"/>
      <c r="S57" s="70" t="e">
        <f t="shared" si="30"/>
        <v>#REF!</v>
      </c>
      <c r="T57" s="70" t="e">
        <f t="shared" si="31"/>
        <v>#REF!</v>
      </c>
      <c r="U57" s="71" t="e">
        <f t="shared" si="32"/>
        <v>#REF!</v>
      </c>
      <c r="V57" s="71"/>
      <c r="W57" s="70" t="e">
        <f t="shared" si="33"/>
        <v>#REF!</v>
      </c>
      <c r="X57" s="70" t="e">
        <f t="shared" si="34"/>
        <v>#REF!</v>
      </c>
      <c r="Y57" s="71" t="e">
        <f t="shared" si="35"/>
        <v>#REF!</v>
      </c>
    </row>
    <row r="58" spans="1:25" ht="16.5" customHeight="1">
      <c r="A58" s="60" t="s">
        <v>137</v>
      </c>
      <c r="B58" s="76" t="s">
        <v>138</v>
      </c>
      <c r="C58" s="69" t="e">
        <f t="shared" si="18"/>
        <v>#REF!</v>
      </c>
      <c r="D58" s="69" t="e">
        <f t="shared" si="19"/>
        <v>#REF!</v>
      </c>
      <c r="E58" s="71" t="e">
        <f t="shared" si="20"/>
        <v>#REF!</v>
      </c>
      <c r="F58" s="71"/>
      <c r="G58" s="69" t="e">
        <f t="shared" si="21"/>
        <v>#REF!</v>
      </c>
      <c r="H58" s="69" t="e">
        <f t="shared" si="22"/>
        <v>#REF!</v>
      </c>
      <c r="I58" s="71" t="e">
        <f t="shared" si="23"/>
        <v>#REF!</v>
      </c>
      <c r="J58" s="71"/>
      <c r="K58" s="69" t="e">
        <f t="shared" si="24"/>
        <v>#REF!</v>
      </c>
      <c r="L58" s="69" t="e">
        <f t="shared" si="25"/>
        <v>#REF!</v>
      </c>
      <c r="M58" s="71" t="e">
        <f t="shared" si="26"/>
        <v>#REF!</v>
      </c>
      <c r="N58" s="83"/>
      <c r="O58" s="80" t="e">
        <f t="shared" si="27"/>
        <v>#REF!</v>
      </c>
      <c r="P58" s="70" t="e">
        <f t="shared" si="28"/>
        <v>#REF!</v>
      </c>
      <c r="Q58" s="71" t="e">
        <f t="shared" si="29"/>
        <v>#REF!</v>
      </c>
      <c r="R58" s="71"/>
      <c r="S58" s="70" t="e">
        <f t="shared" si="30"/>
        <v>#REF!</v>
      </c>
      <c r="T58" s="70" t="e">
        <f t="shared" si="31"/>
        <v>#REF!</v>
      </c>
      <c r="U58" s="71" t="e">
        <f t="shared" si="32"/>
        <v>#REF!</v>
      </c>
      <c r="V58" s="71"/>
      <c r="W58" s="70" t="e">
        <f t="shared" si="33"/>
        <v>#REF!</v>
      </c>
      <c r="X58" s="70" t="e">
        <f t="shared" si="34"/>
        <v>#REF!</v>
      </c>
      <c r="Y58" s="71" t="e">
        <f t="shared" si="35"/>
        <v>#REF!</v>
      </c>
    </row>
    <row r="59" spans="1:25" ht="16.5" customHeight="1">
      <c r="A59" s="60" t="s">
        <v>141</v>
      </c>
      <c r="B59" s="61" t="s">
        <v>142</v>
      </c>
      <c r="C59" s="69" t="e">
        <f t="shared" si="18"/>
        <v>#REF!</v>
      </c>
      <c r="D59" s="69" t="e">
        <f t="shared" si="19"/>
        <v>#REF!</v>
      </c>
      <c r="E59" s="71" t="e">
        <f t="shared" si="20"/>
        <v>#REF!</v>
      </c>
      <c r="F59" s="71"/>
      <c r="G59" s="69" t="e">
        <f t="shared" si="21"/>
        <v>#REF!</v>
      </c>
      <c r="H59" s="69" t="e">
        <f t="shared" si="22"/>
        <v>#REF!</v>
      </c>
      <c r="I59" s="71" t="e">
        <f t="shared" si="23"/>
        <v>#REF!</v>
      </c>
      <c r="J59" s="71"/>
      <c r="K59" s="69" t="e">
        <f t="shared" si="24"/>
        <v>#REF!</v>
      </c>
      <c r="L59" s="69" t="e">
        <f t="shared" si="25"/>
        <v>#REF!</v>
      </c>
      <c r="M59" s="71" t="e">
        <f t="shared" si="26"/>
        <v>#REF!</v>
      </c>
      <c r="N59" s="83"/>
      <c r="O59" s="80" t="e">
        <f t="shared" si="27"/>
        <v>#REF!</v>
      </c>
      <c r="P59" s="70" t="e">
        <f t="shared" si="28"/>
        <v>#REF!</v>
      </c>
      <c r="Q59" s="71" t="e">
        <f t="shared" si="29"/>
        <v>#REF!</v>
      </c>
      <c r="R59" s="71"/>
      <c r="S59" s="70" t="e">
        <f t="shared" si="30"/>
        <v>#REF!</v>
      </c>
      <c r="T59" s="70" t="e">
        <f t="shared" si="31"/>
        <v>#REF!</v>
      </c>
      <c r="U59" s="71" t="e">
        <f t="shared" si="32"/>
        <v>#REF!</v>
      </c>
      <c r="V59" s="71"/>
      <c r="W59" s="70" t="e">
        <f t="shared" si="33"/>
        <v>#REF!</v>
      </c>
      <c r="X59" s="70" t="e">
        <f t="shared" si="34"/>
        <v>#REF!</v>
      </c>
      <c r="Y59" s="71" t="e">
        <f t="shared" si="35"/>
        <v>#REF!</v>
      </c>
    </row>
    <row r="60" spans="1:25" ht="16.5" customHeight="1">
      <c r="A60" s="60" t="s">
        <v>147</v>
      </c>
      <c r="B60" s="61" t="s">
        <v>148</v>
      </c>
      <c r="C60" s="69" t="e">
        <f t="shared" si="18"/>
        <v>#REF!</v>
      </c>
      <c r="D60" s="69" t="e">
        <f t="shared" si="19"/>
        <v>#REF!</v>
      </c>
      <c r="E60" s="71" t="e">
        <f t="shared" si="20"/>
        <v>#REF!</v>
      </c>
      <c r="F60" s="71"/>
      <c r="G60" s="69" t="e">
        <f t="shared" si="21"/>
        <v>#REF!</v>
      </c>
      <c r="H60" s="69" t="e">
        <f t="shared" si="22"/>
        <v>#REF!</v>
      </c>
      <c r="I60" s="71" t="e">
        <f t="shared" si="23"/>
        <v>#REF!</v>
      </c>
      <c r="J60" s="71"/>
      <c r="K60" s="69" t="e">
        <f t="shared" si="24"/>
        <v>#REF!</v>
      </c>
      <c r="L60" s="69" t="e">
        <f t="shared" si="25"/>
        <v>#REF!</v>
      </c>
      <c r="M60" s="71" t="e">
        <f t="shared" si="26"/>
        <v>#REF!</v>
      </c>
      <c r="N60" s="83"/>
      <c r="O60" s="80" t="e">
        <f t="shared" si="27"/>
        <v>#REF!</v>
      </c>
      <c r="P60" s="70" t="e">
        <f t="shared" si="28"/>
        <v>#REF!</v>
      </c>
      <c r="Q60" s="71" t="e">
        <f t="shared" si="29"/>
        <v>#REF!</v>
      </c>
      <c r="R60" s="71"/>
      <c r="S60" s="70" t="e">
        <f t="shared" si="30"/>
        <v>#REF!</v>
      </c>
      <c r="T60" s="70" t="e">
        <f t="shared" si="31"/>
        <v>#REF!</v>
      </c>
      <c r="U60" s="71" t="e">
        <f t="shared" si="32"/>
        <v>#REF!</v>
      </c>
      <c r="V60" s="71"/>
      <c r="W60" s="70" t="e">
        <f t="shared" si="33"/>
        <v>#REF!</v>
      </c>
      <c r="X60" s="70" t="e">
        <f t="shared" si="34"/>
        <v>#REF!</v>
      </c>
      <c r="Y60" s="71" t="e">
        <f t="shared" si="35"/>
        <v>#REF!</v>
      </c>
    </row>
    <row r="61" spans="1:25" ht="16.5" customHeight="1">
      <c r="A61" s="60" t="s">
        <v>149</v>
      </c>
      <c r="B61" s="61" t="s">
        <v>150</v>
      </c>
      <c r="C61" s="69" t="e">
        <f t="shared" si="18"/>
        <v>#REF!</v>
      </c>
      <c r="D61" s="69" t="e">
        <f t="shared" si="19"/>
        <v>#REF!</v>
      </c>
      <c r="E61" s="71" t="e">
        <f t="shared" si="20"/>
        <v>#REF!</v>
      </c>
      <c r="F61" s="71"/>
      <c r="G61" s="69" t="e">
        <f t="shared" si="21"/>
        <v>#REF!</v>
      </c>
      <c r="H61" s="69" t="e">
        <f t="shared" si="22"/>
        <v>#REF!</v>
      </c>
      <c r="I61" s="71" t="e">
        <f t="shared" si="23"/>
        <v>#REF!</v>
      </c>
      <c r="J61" s="71"/>
      <c r="K61" s="69" t="e">
        <f t="shared" si="24"/>
        <v>#REF!</v>
      </c>
      <c r="L61" s="69" t="e">
        <f t="shared" si="25"/>
        <v>#REF!</v>
      </c>
      <c r="M61" s="71" t="e">
        <f t="shared" si="26"/>
        <v>#REF!</v>
      </c>
      <c r="N61" s="83"/>
      <c r="O61" s="80" t="e">
        <f t="shared" si="27"/>
        <v>#REF!</v>
      </c>
      <c r="P61" s="70" t="e">
        <f t="shared" si="28"/>
        <v>#REF!</v>
      </c>
      <c r="Q61" s="71" t="e">
        <f t="shared" si="29"/>
        <v>#REF!</v>
      </c>
      <c r="R61" s="71"/>
      <c r="S61" s="70" t="e">
        <f t="shared" si="30"/>
        <v>#REF!</v>
      </c>
      <c r="T61" s="70" t="e">
        <f t="shared" si="31"/>
        <v>#REF!</v>
      </c>
      <c r="U61" s="71" t="e">
        <f t="shared" si="32"/>
        <v>#REF!</v>
      </c>
      <c r="V61" s="71"/>
      <c r="W61" s="70" t="e">
        <f t="shared" si="33"/>
        <v>#REF!</v>
      </c>
      <c r="X61" s="70" t="e">
        <f t="shared" si="34"/>
        <v>#REF!</v>
      </c>
      <c r="Y61" s="71" t="e">
        <f t="shared" si="35"/>
        <v>#REF!</v>
      </c>
    </row>
    <row r="62" spans="1:25" ht="16.5" customHeight="1">
      <c r="A62" s="60" t="s">
        <v>151</v>
      </c>
      <c r="B62" s="76" t="s">
        <v>152</v>
      </c>
      <c r="C62" s="69" t="e">
        <f t="shared" si="18"/>
        <v>#REF!</v>
      </c>
      <c r="D62" s="69" t="e">
        <f t="shared" si="19"/>
        <v>#REF!</v>
      </c>
      <c r="E62" s="71" t="e">
        <f t="shared" si="20"/>
        <v>#REF!</v>
      </c>
      <c r="F62" s="71"/>
      <c r="G62" s="69" t="e">
        <f t="shared" si="21"/>
        <v>#REF!</v>
      </c>
      <c r="H62" s="69" t="e">
        <f t="shared" si="22"/>
        <v>#REF!</v>
      </c>
      <c r="I62" s="71" t="e">
        <f t="shared" si="23"/>
        <v>#REF!</v>
      </c>
      <c r="J62" s="71"/>
      <c r="K62" s="69" t="e">
        <f t="shared" si="24"/>
        <v>#REF!</v>
      </c>
      <c r="L62" s="69" t="e">
        <f t="shared" si="25"/>
        <v>#REF!</v>
      </c>
      <c r="M62" s="71" t="e">
        <f t="shared" si="26"/>
        <v>#REF!</v>
      </c>
      <c r="N62" s="83"/>
      <c r="O62" s="80" t="e">
        <f t="shared" si="27"/>
        <v>#REF!</v>
      </c>
      <c r="P62" s="70" t="e">
        <f t="shared" si="28"/>
        <v>#REF!</v>
      </c>
      <c r="Q62" s="71" t="e">
        <f t="shared" si="29"/>
        <v>#REF!</v>
      </c>
      <c r="R62" s="71"/>
      <c r="S62" s="70" t="e">
        <f t="shared" si="30"/>
        <v>#REF!</v>
      </c>
      <c r="T62" s="70" t="e">
        <f t="shared" si="31"/>
        <v>#REF!</v>
      </c>
      <c r="U62" s="71" t="e">
        <f t="shared" si="32"/>
        <v>#REF!</v>
      </c>
      <c r="V62" s="71"/>
      <c r="W62" s="70" t="e">
        <f t="shared" si="33"/>
        <v>#REF!</v>
      </c>
      <c r="X62" s="70" t="e">
        <f t="shared" si="34"/>
        <v>#REF!</v>
      </c>
      <c r="Y62" s="71" t="e">
        <f t="shared" si="35"/>
        <v>#REF!</v>
      </c>
    </row>
    <row r="63" spans="1:25" ht="16.5" customHeight="1">
      <c r="A63" s="60" t="s">
        <v>153</v>
      </c>
      <c r="B63" s="61" t="s">
        <v>154</v>
      </c>
      <c r="C63" s="69" t="e">
        <f t="shared" si="18"/>
        <v>#REF!</v>
      </c>
      <c r="D63" s="69" t="e">
        <f t="shared" si="19"/>
        <v>#REF!</v>
      </c>
      <c r="E63" s="71" t="e">
        <f t="shared" si="20"/>
        <v>#REF!</v>
      </c>
      <c r="F63" s="71"/>
      <c r="G63" s="69" t="e">
        <f t="shared" si="21"/>
        <v>#REF!</v>
      </c>
      <c r="H63" s="69" t="e">
        <f t="shared" si="22"/>
        <v>#REF!</v>
      </c>
      <c r="I63" s="71" t="e">
        <f t="shared" si="23"/>
        <v>#REF!</v>
      </c>
      <c r="J63" s="71"/>
      <c r="K63" s="69" t="e">
        <f t="shared" si="24"/>
        <v>#REF!</v>
      </c>
      <c r="L63" s="69" t="e">
        <f t="shared" si="25"/>
        <v>#REF!</v>
      </c>
      <c r="M63" s="71" t="e">
        <f t="shared" si="26"/>
        <v>#REF!</v>
      </c>
      <c r="N63" s="83"/>
      <c r="O63" s="80" t="e">
        <f t="shared" si="27"/>
        <v>#REF!</v>
      </c>
      <c r="P63" s="70" t="e">
        <f t="shared" si="28"/>
        <v>#REF!</v>
      </c>
      <c r="Q63" s="71" t="e">
        <f t="shared" si="29"/>
        <v>#REF!</v>
      </c>
      <c r="R63" s="71"/>
      <c r="S63" s="70" t="e">
        <f t="shared" si="30"/>
        <v>#REF!</v>
      </c>
      <c r="T63" s="70" t="e">
        <f t="shared" si="31"/>
        <v>#REF!</v>
      </c>
      <c r="U63" s="71" t="e">
        <f t="shared" si="32"/>
        <v>#REF!</v>
      </c>
      <c r="V63" s="71"/>
      <c r="W63" s="70" t="e">
        <f t="shared" si="33"/>
        <v>#REF!</v>
      </c>
      <c r="X63" s="70" t="e">
        <f t="shared" si="34"/>
        <v>#REF!</v>
      </c>
      <c r="Y63" s="71" t="e">
        <f t="shared" si="35"/>
        <v>#REF!</v>
      </c>
    </row>
    <row r="64" spans="1:25" ht="16.5" customHeight="1">
      <c r="A64" s="60" t="s">
        <v>155</v>
      </c>
      <c r="B64" s="76" t="s">
        <v>156</v>
      </c>
      <c r="C64" s="69" t="e">
        <f t="shared" si="18"/>
        <v>#REF!</v>
      </c>
      <c r="D64" s="69" t="e">
        <f t="shared" si="19"/>
        <v>#REF!</v>
      </c>
      <c r="E64" s="71" t="e">
        <f t="shared" si="20"/>
        <v>#REF!</v>
      </c>
      <c r="F64" s="71"/>
      <c r="G64" s="69" t="e">
        <f t="shared" si="21"/>
        <v>#REF!</v>
      </c>
      <c r="H64" s="69" t="e">
        <f t="shared" si="22"/>
        <v>#REF!</v>
      </c>
      <c r="I64" s="71" t="e">
        <f t="shared" si="23"/>
        <v>#REF!</v>
      </c>
      <c r="J64" s="71"/>
      <c r="K64" s="69" t="e">
        <f t="shared" si="24"/>
        <v>#REF!</v>
      </c>
      <c r="L64" s="69" t="e">
        <f t="shared" si="25"/>
        <v>#REF!</v>
      </c>
      <c r="M64" s="71" t="e">
        <f t="shared" si="26"/>
        <v>#REF!</v>
      </c>
      <c r="N64" s="83"/>
      <c r="O64" s="80" t="e">
        <f t="shared" si="27"/>
        <v>#REF!</v>
      </c>
      <c r="P64" s="70" t="e">
        <f t="shared" si="28"/>
        <v>#REF!</v>
      </c>
      <c r="Q64" s="71" t="e">
        <f t="shared" si="29"/>
        <v>#REF!</v>
      </c>
      <c r="R64" s="71"/>
      <c r="S64" s="70" t="e">
        <f t="shared" si="30"/>
        <v>#REF!</v>
      </c>
      <c r="T64" s="70" t="e">
        <f t="shared" si="31"/>
        <v>#REF!</v>
      </c>
      <c r="U64" s="71" t="e">
        <f t="shared" si="32"/>
        <v>#REF!</v>
      </c>
      <c r="V64" s="71"/>
      <c r="W64" s="70" t="e">
        <f t="shared" si="33"/>
        <v>#REF!</v>
      </c>
      <c r="X64" s="70" t="e">
        <f t="shared" si="34"/>
        <v>#REF!</v>
      </c>
      <c r="Y64" s="71" t="e">
        <f t="shared" si="35"/>
        <v>#REF!</v>
      </c>
    </row>
    <row r="65" spans="1:25" ht="16.5" customHeight="1">
      <c r="A65" s="60" t="s">
        <v>157</v>
      </c>
      <c r="B65" s="61" t="s">
        <v>158</v>
      </c>
      <c r="C65" s="69" t="e">
        <f t="shared" si="18"/>
        <v>#REF!</v>
      </c>
      <c r="D65" s="69" t="e">
        <f t="shared" si="19"/>
        <v>#REF!</v>
      </c>
      <c r="E65" s="71" t="e">
        <f t="shared" si="20"/>
        <v>#REF!</v>
      </c>
      <c r="F65" s="71"/>
      <c r="G65" s="69" t="e">
        <f t="shared" si="21"/>
        <v>#REF!</v>
      </c>
      <c r="H65" s="69" t="e">
        <f t="shared" si="22"/>
        <v>#REF!</v>
      </c>
      <c r="I65" s="71" t="e">
        <f t="shared" si="23"/>
        <v>#REF!</v>
      </c>
      <c r="J65" s="71"/>
      <c r="K65" s="69" t="e">
        <f t="shared" si="24"/>
        <v>#REF!</v>
      </c>
      <c r="L65" s="69" t="e">
        <f t="shared" si="25"/>
        <v>#REF!</v>
      </c>
      <c r="M65" s="71" t="e">
        <f t="shared" si="26"/>
        <v>#REF!</v>
      </c>
      <c r="N65" s="83"/>
      <c r="O65" s="80" t="e">
        <f t="shared" si="27"/>
        <v>#REF!</v>
      </c>
      <c r="P65" s="70" t="e">
        <f t="shared" si="28"/>
        <v>#REF!</v>
      </c>
      <c r="Q65" s="71" t="e">
        <f t="shared" si="29"/>
        <v>#REF!</v>
      </c>
      <c r="R65" s="71"/>
      <c r="S65" s="70" t="e">
        <f t="shared" si="30"/>
        <v>#REF!</v>
      </c>
      <c r="T65" s="70" t="e">
        <f t="shared" si="31"/>
        <v>#REF!</v>
      </c>
      <c r="U65" s="71" t="e">
        <f t="shared" si="32"/>
        <v>#REF!</v>
      </c>
      <c r="V65" s="71"/>
      <c r="W65" s="70" t="e">
        <f t="shared" si="33"/>
        <v>#REF!</v>
      </c>
      <c r="X65" s="70" t="e">
        <f t="shared" si="34"/>
        <v>#REF!</v>
      </c>
      <c r="Y65" s="71" t="e">
        <f t="shared" si="35"/>
        <v>#REF!</v>
      </c>
    </row>
    <row r="66" spans="1:25" ht="16.5" customHeight="1">
      <c r="A66" s="60" t="s">
        <v>163</v>
      </c>
      <c r="B66" s="76" t="s">
        <v>164</v>
      </c>
      <c r="C66" s="69" t="e">
        <f t="shared" si="18"/>
        <v>#REF!</v>
      </c>
      <c r="D66" s="69" t="e">
        <f t="shared" si="19"/>
        <v>#REF!</v>
      </c>
      <c r="E66" s="71" t="e">
        <f t="shared" si="20"/>
        <v>#REF!</v>
      </c>
      <c r="F66" s="71"/>
      <c r="G66" s="69" t="e">
        <f t="shared" si="21"/>
        <v>#REF!</v>
      </c>
      <c r="H66" s="69" t="e">
        <f t="shared" si="22"/>
        <v>#REF!</v>
      </c>
      <c r="I66" s="71" t="e">
        <f t="shared" si="23"/>
        <v>#REF!</v>
      </c>
      <c r="J66" s="71"/>
      <c r="K66" s="69" t="e">
        <f t="shared" si="24"/>
        <v>#REF!</v>
      </c>
      <c r="L66" s="69" t="e">
        <f t="shared" si="25"/>
        <v>#REF!</v>
      </c>
      <c r="M66" s="71" t="e">
        <f t="shared" si="26"/>
        <v>#REF!</v>
      </c>
      <c r="N66" s="83"/>
      <c r="O66" s="80" t="e">
        <f t="shared" si="27"/>
        <v>#REF!</v>
      </c>
      <c r="P66" s="70" t="e">
        <f t="shared" si="28"/>
        <v>#REF!</v>
      </c>
      <c r="Q66" s="71" t="e">
        <f t="shared" si="29"/>
        <v>#REF!</v>
      </c>
      <c r="R66" s="71"/>
      <c r="S66" s="70" t="e">
        <f t="shared" si="30"/>
        <v>#REF!</v>
      </c>
      <c r="T66" s="70" t="e">
        <f t="shared" si="31"/>
        <v>#REF!</v>
      </c>
      <c r="U66" s="71" t="e">
        <f t="shared" si="32"/>
        <v>#REF!</v>
      </c>
      <c r="V66" s="71"/>
      <c r="W66" s="70" t="e">
        <f t="shared" si="33"/>
        <v>#REF!</v>
      </c>
      <c r="X66" s="70" t="e">
        <f t="shared" si="34"/>
        <v>#REF!</v>
      </c>
      <c r="Y66" s="71" t="e">
        <f t="shared" si="35"/>
        <v>#REF!</v>
      </c>
    </row>
    <row r="67" spans="1:25" ht="16.5" customHeight="1">
      <c r="A67" s="60" t="s">
        <v>165</v>
      </c>
      <c r="B67" s="61" t="s">
        <v>166</v>
      </c>
      <c r="C67" s="69" t="e">
        <f t="shared" si="18"/>
        <v>#REF!</v>
      </c>
      <c r="D67" s="69" t="e">
        <f t="shared" si="19"/>
        <v>#REF!</v>
      </c>
      <c r="E67" s="71" t="e">
        <f t="shared" si="20"/>
        <v>#REF!</v>
      </c>
      <c r="F67" s="71"/>
      <c r="G67" s="69" t="e">
        <f t="shared" si="21"/>
        <v>#REF!</v>
      </c>
      <c r="H67" s="69" t="e">
        <f t="shared" si="22"/>
        <v>#REF!</v>
      </c>
      <c r="I67" s="71" t="e">
        <f t="shared" si="23"/>
        <v>#REF!</v>
      </c>
      <c r="J67" s="71"/>
      <c r="K67" s="69" t="e">
        <f t="shared" si="24"/>
        <v>#REF!</v>
      </c>
      <c r="L67" s="69" t="e">
        <f t="shared" si="25"/>
        <v>#REF!</v>
      </c>
      <c r="M67" s="71" t="e">
        <f t="shared" si="26"/>
        <v>#REF!</v>
      </c>
      <c r="N67" s="83"/>
      <c r="O67" s="80" t="e">
        <f t="shared" si="27"/>
        <v>#REF!</v>
      </c>
      <c r="P67" s="70" t="e">
        <f t="shared" si="28"/>
        <v>#REF!</v>
      </c>
      <c r="Q67" s="71" t="e">
        <f t="shared" si="29"/>
        <v>#REF!</v>
      </c>
      <c r="R67" s="71"/>
      <c r="S67" s="70" t="e">
        <f t="shared" si="30"/>
        <v>#REF!</v>
      </c>
      <c r="T67" s="70" t="e">
        <f t="shared" si="31"/>
        <v>#REF!</v>
      </c>
      <c r="U67" s="71" t="e">
        <f t="shared" si="32"/>
        <v>#REF!</v>
      </c>
      <c r="V67" s="71"/>
      <c r="W67" s="70" t="e">
        <f t="shared" si="33"/>
        <v>#REF!</v>
      </c>
      <c r="X67" s="70" t="e">
        <f t="shared" si="34"/>
        <v>#REF!</v>
      </c>
      <c r="Y67" s="71" t="e">
        <f t="shared" si="35"/>
        <v>#REF!</v>
      </c>
    </row>
    <row r="68" spans="1:25" ht="16.5" customHeight="1">
      <c r="A68" s="60" t="s">
        <v>169</v>
      </c>
      <c r="B68" s="76" t="s">
        <v>170</v>
      </c>
      <c r="C68" s="69" t="e">
        <f t="shared" ref="C68:C99" si="36">VLOOKUP(A68,SNAP_DEMO,10,FALSE)</f>
        <v>#REF!</v>
      </c>
      <c r="D68" s="69" t="e">
        <f t="shared" ref="D68:D99" si="37">VLOOKUP(A68,Pop,14,FALSE)</f>
        <v>#REF!</v>
      </c>
      <c r="E68" s="71" t="e">
        <f t="shared" ref="E68:E99" si="38">+C68/D68</f>
        <v>#REF!</v>
      </c>
      <c r="F68" s="71"/>
      <c r="G68" s="69" t="e">
        <f t="shared" ref="G68:G99" si="39">VLOOKUP(A68,SNAP_DEMO,11,FALSE)</f>
        <v>#REF!</v>
      </c>
      <c r="H68" s="69" t="e">
        <f t="shared" ref="H68:H99" si="40">VLOOKUP(A68,Pop,15,FALSE)</f>
        <v>#REF!</v>
      </c>
      <c r="I68" s="71" t="e">
        <f t="shared" ref="I68:I99" si="41">+G68/H68</f>
        <v>#REF!</v>
      </c>
      <c r="J68" s="71"/>
      <c r="K68" s="69" t="e">
        <f t="shared" ref="K68:K99" si="42">VLOOKUP(A68,SNAP_DEMO,12,FALSE)</f>
        <v>#REF!</v>
      </c>
      <c r="L68" s="69" t="e">
        <f t="shared" ref="L68:L99" si="43">VLOOKUP(A68,Pop,16,FALSE)</f>
        <v>#REF!</v>
      </c>
      <c r="M68" s="71" t="e">
        <f t="shared" ref="M68:M99" si="44">+K68/L68</f>
        <v>#REF!</v>
      </c>
      <c r="N68" s="83"/>
      <c r="O68" s="80" t="e">
        <f t="shared" ref="O68:O99" si="45">VLOOKUP(A68,SNAP_DEMO,3,FALSE)</f>
        <v>#REF!</v>
      </c>
      <c r="P68" s="70" t="e">
        <f t="shared" ref="P68:P99" si="46">VLOOKUP(A68,Pop,8,FALSE)</f>
        <v>#REF!</v>
      </c>
      <c r="Q68" s="71" t="e">
        <f t="shared" ref="Q68:Q99" si="47">+O68/P68</f>
        <v>#REF!</v>
      </c>
      <c r="R68" s="71"/>
      <c r="S68" s="70" t="e">
        <f t="shared" ref="S68:S99" si="48">VLOOKUP(A68,SNAP_DEMO,4,FALSE)</f>
        <v>#REF!</v>
      </c>
      <c r="T68" s="70" t="e">
        <f t="shared" ref="T68:T99" si="49">VLOOKUP(A68,Pop,9,FALSE)</f>
        <v>#REF!</v>
      </c>
      <c r="U68" s="71" t="e">
        <f t="shared" ref="U68:U99" si="50">+S68/T68</f>
        <v>#REF!</v>
      </c>
      <c r="V68" s="71"/>
      <c r="W68" s="70" t="e">
        <f t="shared" ref="W68:W99" si="51">VLOOKUP(A68,SNAP_DEMO,5,FALSE)</f>
        <v>#REF!</v>
      </c>
      <c r="X68" s="70" t="e">
        <f t="shared" ref="X68:X99" si="52">VLOOKUP(A68,Pop,10,FALSE)</f>
        <v>#REF!</v>
      </c>
      <c r="Y68" s="71" t="e">
        <f t="shared" ref="Y68:Y99" si="53">+W68/X68</f>
        <v>#REF!</v>
      </c>
    </row>
    <row r="69" spans="1:25" ht="16.5" customHeight="1">
      <c r="A69" s="60" t="s">
        <v>171</v>
      </c>
      <c r="B69" s="61" t="s">
        <v>172</v>
      </c>
      <c r="C69" s="69" t="e">
        <f t="shared" si="36"/>
        <v>#REF!</v>
      </c>
      <c r="D69" s="69" t="e">
        <f t="shared" si="37"/>
        <v>#REF!</v>
      </c>
      <c r="E69" s="71" t="e">
        <f t="shared" si="38"/>
        <v>#REF!</v>
      </c>
      <c r="F69" s="71"/>
      <c r="G69" s="69" t="e">
        <f t="shared" si="39"/>
        <v>#REF!</v>
      </c>
      <c r="H69" s="69" t="e">
        <f t="shared" si="40"/>
        <v>#REF!</v>
      </c>
      <c r="I69" s="71" t="e">
        <f t="shared" si="41"/>
        <v>#REF!</v>
      </c>
      <c r="J69" s="71"/>
      <c r="K69" s="69" t="e">
        <f t="shared" si="42"/>
        <v>#REF!</v>
      </c>
      <c r="L69" s="69" t="e">
        <f t="shared" si="43"/>
        <v>#REF!</v>
      </c>
      <c r="M69" s="71" t="e">
        <f t="shared" si="44"/>
        <v>#REF!</v>
      </c>
      <c r="N69" s="83"/>
      <c r="O69" s="80" t="e">
        <f t="shared" si="45"/>
        <v>#REF!</v>
      </c>
      <c r="P69" s="70" t="e">
        <f t="shared" si="46"/>
        <v>#REF!</v>
      </c>
      <c r="Q69" s="71" t="e">
        <f t="shared" si="47"/>
        <v>#REF!</v>
      </c>
      <c r="R69" s="71"/>
      <c r="S69" s="70" t="e">
        <f t="shared" si="48"/>
        <v>#REF!</v>
      </c>
      <c r="T69" s="70" t="e">
        <f t="shared" si="49"/>
        <v>#REF!</v>
      </c>
      <c r="U69" s="71" t="e">
        <f t="shared" si="50"/>
        <v>#REF!</v>
      </c>
      <c r="V69" s="71"/>
      <c r="W69" s="70" t="e">
        <f t="shared" si="51"/>
        <v>#REF!</v>
      </c>
      <c r="X69" s="70" t="e">
        <f t="shared" si="52"/>
        <v>#REF!</v>
      </c>
      <c r="Y69" s="71" t="e">
        <f t="shared" si="53"/>
        <v>#REF!</v>
      </c>
    </row>
    <row r="70" spans="1:25" ht="16.5" customHeight="1">
      <c r="A70" s="60" t="s">
        <v>173</v>
      </c>
      <c r="B70" s="61" t="s">
        <v>174</v>
      </c>
      <c r="C70" s="69" t="e">
        <f t="shared" si="36"/>
        <v>#REF!</v>
      </c>
      <c r="D70" s="69" t="e">
        <f t="shared" si="37"/>
        <v>#REF!</v>
      </c>
      <c r="E70" s="71" t="e">
        <f t="shared" si="38"/>
        <v>#REF!</v>
      </c>
      <c r="F70" s="71"/>
      <c r="G70" s="69" t="e">
        <f t="shared" si="39"/>
        <v>#REF!</v>
      </c>
      <c r="H70" s="69" t="e">
        <f t="shared" si="40"/>
        <v>#REF!</v>
      </c>
      <c r="I70" s="71" t="e">
        <f t="shared" si="41"/>
        <v>#REF!</v>
      </c>
      <c r="J70" s="71"/>
      <c r="K70" s="69" t="e">
        <f t="shared" si="42"/>
        <v>#REF!</v>
      </c>
      <c r="L70" s="69" t="e">
        <f t="shared" si="43"/>
        <v>#REF!</v>
      </c>
      <c r="M70" s="71" t="e">
        <f t="shared" si="44"/>
        <v>#REF!</v>
      </c>
      <c r="N70" s="83"/>
      <c r="O70" s="80" t="e">
        <f t="shared" si="45"/>
        <v>#REF!</v>
      </c>
      <c r="P70" s="70" t="e">
        <f t="shared" si="46"/>
        <v>#REF!</v>
      </c>
      <c r="Q70" s="71" t="e">
        <f t="shared" si="47"/>
        <v>#REF!</v>
      </c>
      <c r="R70" s="71"/>
      <c r="S70" s="70" t="e">
        <f t="shared" si="48"/>
        <v>#REF!</v>
      </c>
      <c r="T70" s="70" t="e">
        <f t="shared" si="49"/>
        <v>#REF!</v>
      </c>
      <c r="U70" s="71" t="e">
        <f t="shared" si="50"/>
        <v>#REF!</v>
      </c>
      <c r="V70" s="71"/>
      <c r="W70" s="70" t="e">
        <f t="shared" si="51"/>
        <v>#REF!</v>
      </c>
      <c r="X70" s="70" t="e">
        <f t="shared" si="52"/>
        <v>#REF!</v>
      </c>
      <c r="Y70" s="71" t="e">
        <f t="shared" si="53"/>
        <v>#REF!</v>
      </c>
    </row>
    <row r="71" spans="1:25" ht="16.5" customHeight="1">
      <c r="A71" s="60" t="s">
        <v>175</v>
      </c>
      <c r="B71" s="61" t="s">
        <v>176</v>
      </c>
      <c r="C71" s="69" t="e">
        <f t="shared" si="36"/>
        <v>#REF!</v>
      </c>
      <c r="D71" s="69" t="e">
        <f t="shared" si="37"/>
        <v>#REF!</v>
      </c>
      <c r="E71" s="71" t="e">
        <f t="shared" si="38"/>
        <v>#REF!</v>
      </c>
      <c r="F71" s="71"/>
      <c r="G71" s="69" t="e">
        <f t="shared" si="39"/>
        <v>#REF!</v>
      </c>
      <c r="H71" s="69" t="e">
        <f t="shared" si="40"/>
        <v>#REF!</v>
      </c>
      <c r="I71" s="71" t="e">
        <f t="shared" si="41"/>
        <v>#REF!</v>
      </c>
      <c r="J71" s="71"/>
      <c r="K71" s="69" t="e">
        <f t="shared" si="42"/>
        <v>#REF!</v>
      </c>
      <c r="L71" s="69" t="e">
        <f t="shared" si="43"/>
        <v>#REF!</v>
      </c>
      <c r="M71" s="71" t="e">
        <f t="shared" si="44"/>
        <v>#REF!</v>
      </c>
      <c r="N71" s="83"/>
      <c r="O71" s="80" t="e">
        <f t="shared" si="45"/>
        <v>#REF!</v>
      </c>
      <c r="P71" s="70" t="e">
        <f t="shared" si="46"/>
        <v>#REF!</v>
      </c>
      <c r="Q71" s="71" t="e">
        <f t="shared" si="47"/>
        <v>#REF!</v>
      </c>
      <c r="R71" s="71"/>
      <c r="S71" s="70" t="e">
        <f t="shared" si="48"/>
        <v>#REF!</v>
      </c>
      <c r="T71" s="70" t="e">
        <f t="shared" si="49"/>
        <v>#REF!</v>
      </c>
      <c r="U71" s="71" t="e">
        <f t="shared" si="50"/>
        <v>#REF!</v>
      </c>
      <c r="V71" s="71"/>
      <c r="W71" s="70" t="e">
        <f t="shared" si="51"/>
        <v>#REF!</v>
      </c>
      <c r="X71" s="70" t="e">
        <f t="shared" si="52"/>
        <v>#REF!</v>
      </c>
      <c r="Y71" s="71" t="e">
        <f t="shared" si="53"/>
        <v>#REF!</v>
      </c>
    </row>
    <row r="72" spans="1:25" ht="16.5" customHeight="1">
      <c r="A72" s="60" t="s">
        <v>179</v>
      </c>
      <c r="B72" s="76" t="s">
        <v>180</v>
      </c>
      <c r="C72" s="69" t="e">
        <f t="shared" si="36"/>
        <v>#REF!</v>
      </c>
      <c r="D72" s="69" t="e">
        <f t="shared" si="37"/>
        <v>#REF!</v>
      </c>
      <c r="E72" s="71" t="e">
        <f t="shared" si="38"/>
        <v>#REF!</v>
      </c>
      <c r="F72" s="71"/>
      <c r="G72" s="69" t="e">
        <f t="shared" si="39"/>
        <v>#REF!</v>
      </c>
      <c r="H72" s="69" t="e">
        <f t="shared" si="40"/>
        <v>#REF!</v>
      </c>
      <c r="I72" s="71" t="e">
        <f t="shared" si="41"/>
        <v>#REF!</v>
      </c>
      <c r="J72" s="71"/>
      <c r="K72" s="69" t="e">
        <f t="shared" si="42"/>
        <v>#REF!</v>
      </c>
      <c r="L72" s="69" t="e">
        <f t="shared" si="43"/>
        <v>#REF!</v>
      </c>
      <c r="M72" s="71" t="e">
        <f t="shared" si="44"/>
        <v>#REF!</v>
      </c>
      <c r="N72" s="83"/>
      <c r="O72" s="80" t="e">
        <f t="shared" si="45"/>
        <v>#REF!</v>
      </c>
      <c r="P72" s="70" t="e">
        <f t="shared" si="46"/>
        <v>#REF!</v>
      </c>
      <c r="Q72" s="71" t="e">
        <f t="shared" si="47"/>
        <v>#REF!</v>
      </c>
      <c r="R72" s="71"/>
      <c r="S72" s="70" t="e">
        <f t="shared" si="48"/>
        <v>#REF!</v>
      </c>
      <c r="T72" s="70" t="e">
        <f t="shared" si="49"/>
        <v>#REF!</v>
      </c>
      <c r="U72" s="71" t="e">
        <f t="shared" si="50"/>
        <v>#REF!</v>
      </c>
      <c r="V72" s="71"/>
      <c r="W72" s="70" t="e">
        <f t="shared" si="51"/>
        <v>#REF!</v>
      </c>
      <c r="X72" s="70" t="e">
        <f t="shared" si="52"/>
        <v>#REF!</v>
      </c>
      <c r="Y72" s="71" t="e">
        <f t="shared" si="53"/>
        <v>#REF!</v>
      </c>
    </row>
    <row r="73" spans="1:25" ht="16.5" customHeight="1">
      <c r="A73" s="60" t="s">
        <v>183</v>
      </c>
      <c r="B73" s="61" t="s">
        <v>184</v>
      </c>
      <c r="C73" s="69" t="e">
        <f t="shared" si="36"/>
        <v>#REF!</v>
      </c>
      <c r="D73" s="69" t="e">
        <f t="shared" si="37"/>
        <v>#REF!</v>
      </c>
      <c r="E73" s="71" t="e">
        <f t="shared" si="38"/>
        <v>#REF!</v>
      </c>
      <c r="F73" s="71"/>
      <c r="G73" s="69" t="e">
        <f t="shared" si="39"/>
        <v>#REF!</v>
      </c>
      <c r="H73" s="69" t="e">
        <f t="shared" si="40"/>
        <v>#REF!</v>
      </c>
      <c r="I73" s="71" t="e">
        <f t="shared" si="41"/>
        <v>#REF!</v>
      </c>
      <c r="J73" s="71"/>
      <c r="K73" s="69" t="e">
        <f t="shared" si="42"/>
        <v>#REF!</v>
      </c>
      <c r="L73" s="69" t="e">
        <f t="shared" si="43"/>
        <v>#REF!</v>
      </c>
      <c r="M73" s="71" t="e">
        <f t="shared" si="44"/>
        <v>#REF!</v>
      </c>
      <c r="N73" s="83"/>
      <c r="O73" s="80" t="e">
        <f t="shared" si="45"/>
        <v>#REF!</v>
      </c>
      <c r="P73" s="70" t="e">
        <f t="shared" si="46"/>
        <v>#REF!</v>
      </c>
      <c r="Q73" s="71" t="e">
        <f t="shared" si="47"/>
        <v>#REF!</v>
      </c>
      <c r="R73" s="71"/>
      <c r="S73" s="70" t="e">
        <f t="shared" si="48"/>
        <v>#REF!</v>
      </c>
      <c r="T73" s="70" t="e">
        <f t="shared" si="49"/>
        <v>#REF!</v>
      </c>
      <c r="U73" s="71" t="e">
        <f t="shared" si="50"/>
        <v>#REF!</v>
      </c>
      <c r="V73" s="71"/>
      <c r="W73" s="70" t="e">
        <f t="shared" si="51"/>
        <v>#REF!</v>
      </c>
      <c r="X73" s="70" t="e">
        <f t="shared" si="52"/>
        <v>#REF!</v>
      </c>
      <c r="Y73" s="71" t="e">
        <f t="shared" si="53"/>
        <v>#REF!</v>
      </c>
    </row>
    <row r="74" spans="1:25" ht="16.5" customHeight="1">
      <c r="A74" s="60" t="s">
        <v>185</v>
      </c>
      <c r="B74" s="61" t="s">
        <v>186</v>
      </c>
      <c r="C74" s="69" t="e">
        <f t="shared" si="36"/>
        <v>#REF!</v>
      </c>
      <c r="D74" s="69" t="e">
        <f t="shared" si="37"/>
        <v>#REF!</v>
      </c>
      <c r="E74" s="71" t="e">
        <f t="shared" si="38"/>
        <v>#REF!</v>
      </c>
      <c r="F74" s="71"/>
      <c r="G74" s="69" t="e">
        <f t="shared" si="39"/>
        <v>#REF!</v>
      </c>
      <c r="H74" s="69" t="e">
        <f t="shared" si="40"/>
        <v>#REF!</v>
      </c>
      <c r="I74" s="71" t="e">
        <f t="shared" si="41"/>
        <v>#REF!</v>
      </c>
      <c r="J74" s="71"/>
      <c r="K74" s="69" t="e">
        <f t="shared" si="42"/>
        <v>#REF!</v>
      </c>
      <c r="L74" s="69" t="e">
        <f t="shared" si="43"/>
        <v>#REF!</v>
      </c>
      <c r="M74" s="71" t="e">
        <f t="shared" si="44"/>
        <v>#REF!</v>
      </c>
      <c r="N74" s="83"/>
      <c r="O74" s="80" t="e">
        <f t="shared" si="45"/>
        <v>#REF!</v>
      </c>
      <c r="P74" s="70" t="e">
        <f t="shared" si="46"/>
        <v>#REF!</v>
      </c>
      <c r="Q74" s="71" t="e">
        <f t="shared" si="47"/>
        <v>#REF!</v>
      </c>
      <c r="R74" s="71"/>
      <c r="S74" s="70" t="e">
        <f t="shared" si="48"/>
        <v>#REF!</v>
      </c>
      <c r="T74" s="70" t="e">
        <f t="shared" si="49"/>
        <v>#REF!</v>
      </c>
      <c r="U74" s="71" t="e">
        <f t="shared" si="50"/>
        <v>#REF!</v>
      </c>
      <c r="V74" s="71"/>
      <c r="W74" s="70" t="e">
        <f t="shared" si="51"/>
        <v>#REF!</v>
      </c>
      <c r="X74" s="70" t="e">
        <f t="shared" si="52"/>
        <v>#REF!</v>
      </c>
      <c r="Y74" s="71" t="e">
        <f t="shared" si="53"/>
        <v>#REF!</v>
      </c>
    </row>
    <row r="75" spans="1:25" ht="16.5" customHeight="1">
      <c r="A75" s="60" t="s">
        <v>187</v>
      </c>
      <c r="B75" s="61" t="s">
        <v>188</v>
      </c>
      <c r="C75" s="69" t="e">
        <f t="shared" si="36"/>
        <v>#REF!</v>
      </c>
      <c r="D75" s="69" t="e">
        <f t="shared" si="37"/>
        <v>#REF!</v>
      </c>
      <c r="E75" s="71" t="e">
        <f t="shared" si="38"/>
        <v>#REF!</v>
      </c>
      <c r="F75" s="71"/>
      <c r="G75" s="69" t="e">
        <f t="shared" si="39"/>
        <v>#REF!</v>
      </c>
      <c r="H75" s="69" t="e">
        <f t="shared" si="40"/>
        <v>#REF!</v>
      </c>
      <c r="I75" s="71" t="e">
        <f t="shared" si="41"/>
        <v>#REF!</v>
      </c>
      <c r="J75" s="71"/>
      <c r="K75" s="69" t="e">
        <f t="shared" si="42"/>
        <v>#REF!</v>
      </c>
      <c r="L75" s="69" t="e">
        <f t="shared" si="43"/>
        <v>#REF!</v>
      </c>
      <c r="M75" s="71" t="e">
        <f t="shared" si="44"/>
        <v>#REF!</v>
      </c>
      <c r="N75" s="83"/>
      <c r="O75" s="80" t="e">
        <f t="shared" si="45"/>
        <v>#REF!</v>
      </c>
      <c r="P75" s="70" t="e">
        <f t="shared" si="46"/>
        <v>#REF!</v>
      </c>
      <c r="Q75" s="71" t="e">
        <f t="shared" si="47"/>
        <v>#REF!</v>
      </c>
      <c r="R75" s="71"/>
      <c r="S75" s="70" t="e">
        <f t="shared" si="48"/>
        <v>#REF!</v>
      </c>
      <c r="T75" s="70" t="e">
        <f t="shared" si="49"/>
        <v>#REF!</v>
      </c>
      <c r="U75" s="71" t="e">
        <f t="shared" si="50"/>
        <v>#REF!</v>
      </c>
      <c r="V75" s="71"/>
      <c r="W75" s="70" t="e">
        <f t="shared" si="51"/>
        <v>#REF!</v>
      </c>
      <c r="X75" s="70" t="e">
        <f t="shared" si="52"/>
        <v>#REF!</v>
      </c>
      <c r="Y75" s="71" t="e">
        <f t="shared" si="53"/>
        <v>#REF!</v>
      </c>
    </row>
    <row r="76" spans="1:25" ht="16.5" customHeight="1">
      <c r="A76" s="60" t="s">
        <v>189</v>
      </c>
      <c r="B76" s="61" t="s">
        <v>190</v>
      </c>
      <c r="C76" s="69" t="e">
        <f t="shared" si="36"/>
        <v>#REF!</v>
      </c>
      <c r="D76" s="69" t="e">
        <f t="shared" si="37"/>
        <v>#REF!</v>
      </c>
      <c r="E76" s="71" t="e">
        <f t="shared" si="38"/>
        <v>#REF!</v>
      </c>
      <c r="F76" s="71"/>
      <c r="G76" s="69" t="e">
        <f t="shared" si="39"/>
        <v>#REF!</v>
      </c>
      <c r="H76" s="69" t="e">
        <f t="shared" si="40"/>
        <v>#REF!</v>
      </c>
      <c r="I76" s="71" t="e">
        <f t="shared" si="41"/>
        <v>#REF!</v>
      </c>
      <c r="J76" s="71"/>
      <c r="K76" s="69" t="e">
        <f t="shared" si="42"/>
        <v>#REF!</v>
      </c>
      <c r="L76" s="69" t="e">
        <f t="shared" si="43"/>
        <v>#REF!</v>
      </c>
      <c r="M76" s="71" t="e">
        <f t="shared" si="44"/>
        <v>#REF!</v>
      </c>
      <c r="N76" s="83"/>
      <c r="O76" s="80" t="e">
        <f t="shared" si="45"/>
        <v>#REF!</v>
      </c>
      <c r="P76" s="70" t="e">
        <f t="shared" si="46"/>
        <v>#REF!</v>
      </c>
      <c r="Q76" s="71" t="e">
        <f t="shared" si="47"/>
        <v>#REF!</v>
      </c>
      <c r="R76" s="71"/>
      <c r="S76" s="70" t="e">
        <f t="shared" si="48"/>
        <v>#REF!</v>
      </c>
      <c r="T76" s="70" t="e">
        <f t="shared" si="49"/>
        <v>#REF!</v>
      </c>
      <c r="U76" s="71" t="e">
        <f t="shared" si="50"/>
        <v>#REF!</v>
      </c>
      <c r="V76" s="71"/>
      <c r="W76" s="70" t="e">
        <f t="shared" si="51"/>
        <v>#REF!</v>
      </c>
      <c r="X76" s="70" t="e">
        <f t="shared" si="52"/>
        <v>#REF!</v>
      </c>
      <c r="Y76" s="71" t="e">
        <f t="shared" si="53"/>
        <v>#REF!</v>
      </c>
    </row>
    <row r="77" spans="1:25" ht="16.5" customHeight="1">
      <c r="A77" s="60" t="s">
        <v>191</v>
      </c>
      <c r="B77" s="61" t="s">
        <v>192</v>
      </c>
      <c r="C77" s="69" t="e">
        <f t="shared" si="36"/>
        <v>#REF!</v>
      </c>
      <c r="D77" s="69" t="e">
        <f t="shared" si="37"/>
        <v>#REF!</v>
      </c>
      <c r="E77" s="71" t="e">
        <f t="shared" si="38"/>
        <v>#REF!</v>
      </c>
      <c r="F77" s="71"/>
      <c r="G77" s="69" t="e">
        <f t="shared" si="39"/>
        <v>#REF!</v>
      </c>
      <c r="H77" s="69" t="e">
        <f t="shared" si="40"/>
        <v>#REF!</v>
      </c>
      <c r="I77" s="71" t="e">
        <f t="shared" si="41"/>
        <v>#REF!</v>
      </c>
      <c r="J77" s="71"/>
      <c r="K77" s="69" t="e">
        <f t="shared" si="42"/>
        <v>#REF!</v>
      </c>
      <c r="L77" s="69" t="e">
        <f t="shared" si="43"/>
        <v>#REF!</v>
      </c>
      <c r="M77" s="71" t="e">
        <f t="shared" si="44"/>
        <v>#REF!</v>
      </c>
      <c r="N77" s="83"/>
      <c r="O77" s="80" t="e">
        <f t="shared" si="45"/>
        <v>#REF!</v>
      </c>
      <c r="P77" s="70" t="e">
        <f t="shared" si="46"/>
        <v>#REF!</v>
      </c>
      <c r="Q77" s="71" t="e">
        <f t="shared" si="47"/>
        <v>#REF!</v>
      </c>
      <c r="R77" s="71"/>
      <c r="S77" s="70" t="e">
        <f t="shared" si="48"/>
        <v>#REF!</v>
      </c>
      <c r="T77" s="70" t="e">
        <f t="shared" si="49"/>
        <v>#REF!</v>
      </c>
      <c r="U77" s="71" t="e">
        <f t="shared" si="50"/>
        <v>#REF!</v>
      </c>
      <c r="V77" s="71"/>
      <c r="W77" s="70" t="e">
        <f t="shared" si="51"/>
        <v>#REF!</v>
      </c>
      <c r="X77" s="70" t="e">
        <f t="shared" si="52"/>
        <v>#REF!</v>
      </c>
      <c r="Y77" s="71" t="e">
        <f t="shared" si="53"/>
        <v>#REF!</v>
      </c>
    </row>
    <row r="78" spans="1:25" ht="16.5" customHeight="1">
      <c r="A78" s="60" t="s">
        <v>195</v>
      </c>
      <c r="B78" s="61" t="s">
        <v>196</v>
      </c>
      <c r="C78" s="69" t="e">
        <f t="shared" si="36"/>
        <v>#REF!</v>
      </c>
      <c r="D78" s="69" t="e">
        <f t="shared" si="37"/>
        <v>#REF!</v>
      </c>
      <c r="E78" s="71" t="e">
        <f t="shared" si="38"/>
        <v>#REF!</v>
      </c>
      <c r="F78" s="71"/>
      <c r="G78" s="69" t="e">
        <f t="shared" si="39"/>
        <v>#REF!</v>
      </c>
      <c r="H78" s="69" t="e">
        <f t="shared" si="40"/>
        <v>#REF!</v>
      </c>
      <c r="I78" s="71" t="e">
        <f t="shared" si="41"/>
        <v>#REF!</v>
      </c>
      <c r="J78" s="71"/>
      <c r="K78" s="69" t="e">
        <f t="shared" si="42"/>
        <v>#REF!</v>
      </c>
      <c r="L78" s="69" t="e">
        <f t="shared" si="43"/>
        <v>#REF!</v>
      </c>
      <c r="M78" s="71" t="e">
        <f t="shared" si="44"/>
        <v>#REF!</v>
      </c>
      <c r="N78" s="83"/>
      <c r="O78" s="80" t="e">
        <f t="shared" si="45"/>
        <v>#REF!</v>
      </c>
      <c r="P78" s="70" t="e">
        <f t="shared" si="46"/>
        <v>#REF!</v>
      </c>
      <c r="Q78" s="71" t="e">
        <f t="shared" si="47"/>
        <v>#REF!</v>
      </c>
      <c r="R78" s="71"/>
      <c r="S78" s="70" t="e">
        <f t="shared" si="48"/>
        <v>#REF!</v>
      </c>
      <c r="T78" s="70" t="e">
        <f t="shared" si="49"/>
        <v>#REF!</v>
      </c>
      <c r="U78" s="71" t="e">
        <f t="shared" si="50"/>
        <v>#REF!</v>
      </c>
      <c r="V78" s="71"/>
      <c r="W78" s="70" t="e">
        <f t="shared" si="51"/>
        <v>#REF!</v>
      </c>
      <c r="X78" s="70" t="e">
        <f t="shared" si="52"/>
        <v>#REF!</v>
      </c>
      <c r="Y78" s="71" t="e">
        <f t="shared" si="53"/>
        <v>#REF!</v>
      </c>
    </row>
    <row r="79" spans="1:25" ht="16.5" customHeight="1">
      <c r="A79" s="60" t="s">
        <v>199</v>
      </c>
      <c r="B79" s="76" t="s">
        <v>200</v>
      </c>
      <c r="C79" s="69" t="e">
        <f t="shared" si="36"/>
        <v>#REF!</v>
      </c>
      <c r="D79" s="69" t="e">
        <f t="shared" si="37"/>
        <v>#REF!</v>
      </c>
      <c r="E79" s="71" t="e">
        <f t="shared" si="38"/>
        <v>#REF!</v>
      </c>
      <c r="F79" s="71"/>
      <c r="G79" s="69" t="e">
        <f t="shared" si="39"/>
        <v>#REF!</v>
      </c>
      <c r="H79" s="69" t="e">
        <f t="shared" si="40"/>
        <v>#REF!</v>
      </c>
      <c r="I79" s="71" t="e">
        <f t="shared" si="41"/>
        <v>#REF!</v>
      </c>
      <c r="J79" s="71"/>
      <c r="K79" s="69" t="e">
        <f t="shared" si="42"/>
        <v>#REF!</v>
      </c>
      <c r="L79" s="69" t="e">
        <f t="shared" si="43"/>
        <v>#REF!</v>
      </c>
      <c r="M79" s="71" t="e">
        <f t="shared" si="44"/>
        <v>#REF!</v>
      </c>
      <c r="N79" s="83"/>
      <c r="O79" s="80" t="e">
        <f t="shared" si="45"/>
        <v>#REF!</v>
      </c>
      <c r="P79" s="70" t="e">
        <f t="shared" si="46"/>
        <v>#REF!</v>
      </c>
      <c r="Q79" s="71" t="e">
        <f t="shared" si="47"/>
        <v>#REF!</v>
      </c>
      <c r="R79" s="71"/>
      <c r="S79" s="70" t="e">
        <f t="shared" si="48"/>
        <v>#REF!</v>
      </c>
      <c r="T79" s="70" t="e">
        <f t="shared" si="49"/>
        <v>#REF!</v>
      </c>
      <c r="U79" s="71" t="e">
        <f t="shared" si="50"/>
        <v>#REF!</v>
      </c>
      <c r="V79" s="71"/>
      <c r="W79" s="70" t="e">
        <f t="shared" si="51"/>
        <v>#REF!</v>
      </c>
      <c r="X79" s="70" t="e">
        <f t="shared" si="52"/>
        <v>#REF!</v>
      </c>
      <c r="Y79" s="71" t="e">
        <f t="shared" si="53"/>
        <v>#REF!</v>
      </c>
    </row>
    <row r="80" spans="1:25" ht="16.5" customHeight="1">
      <c r="A80" s="60" t="s">
        <v>203</v>
      </c>
      <c r="B80" s="61" t="s">
        <v>204</v>
      </c>
      <c r="C80" s="69" t="e">
        <f t="shared" si="36"/>
        <v>#REF!</v>
      </c>
      <c r="D80" s="69" t="e">
        <f t="shared" si="37"/>
        <v>#REF!</v>
      </c>
      <c r="E80" s="71" t="e">
        <f t="shared" si="38"/>
        <v>#REF!</v>
      </c>
      <c r="F80" s="71"/>
      <c r="G80" s="69" t="e">
        <f t="shared" si="39"/>
        <v>#REF!</v>
      </c>
      <c r="H80" s="69" t="e">
        <f t="shared" si="40"/>
        <v>#REF!</v>
      </c>
      <c r="I80" s="71" t="e">
        <f t="shared" si="41"/>
        <v>#REF!</v>
      </c>
      <c r="J80" s="71"/>
      <c r="K80" s="69" t="e">
        <f t="shared" si="42"/>
        <v>#REF!</v>
      </c>
      <c r="L80" s="69" t="e">
        <f t="shared" si="43"/>
        <v>#REF!</v>
      </c>
      <c r="M80" s="71" t="e">
        <f t="shared" si="44"/>
        <v>#REF!</v>
      </c>
      <c r="N80" s="83"/>
      <c r="O80" s="80" t="e">
        <f t="shared" si="45"/>
        <v>#REF!</v>
      </c>
      <c r="P80" s="70" t="e">
        <f t="shared" si="46"/>
        <v>#REF!</v>
      </c>
      <c r="Q80" s="71" t="e">
        <f t="shared" si="47"/>
        <v>#REF!</v>
      </c>
      <c r="R80" s="71"/>
      <c r="S80" s="70" t="e">
        <f t="shared" si="48"/>
        <v>#REF!</v>
      </c>
      <c r="T80" s="70" t="e">
        <f t="shared" si="49"/>
        <v>#REF!</v>
      </c>
      <c r="U80" s="71" t="e">
        <f t="shared" si="50"/>
        <v>#REF!</v>
      </c>
      <c r="V80" s="71"/>
      <c r="W80" s="70" t="e">
        <f t="shared" si="51"/>
        <v>#REF!</v>
      </c>
      <c r="X80" s="70" t="e">
        <f t="shared" si="52"/>
        <v>#REF!</v>
      </c>
      <c r="Y80" s="71" t="e">
        <f t="shared" si="53"/>
        <v>#REF!</v>
      </c>
    </row>
    <row r="81" spans="1:25" ht="16.5" customHeight="1">
      <c r="A81" s="60" t="s">
        <v>205</v>
      </c>
      <c r="B81" s="61" t="s">
        <v>206</v>
      </c>
      <c r="C81" s="69" t="e">
        <f t="shared" si="36"/>
        <v>#REF!</v>
      </c>
      <c r="D81" s="69" t="e">
        <f t="shared" si="37"/>
        <v>#REF!</v>
      </c>
      <c r="E81" s="71" t="e">
        <f t="shared" si="38"/>
        <v>#REF!</v>
      </c>
      <c r="F81" s="71"/>
      <c r="G81" s="69" t="e">
        <f t="shared" si="39"/>
        <v>#REF!</v>
      </c>
      <c r="H81" s="69" t="e">
        <f t="shared" si="40"/>
        <v>#REF!</v>
      </c>
      <c r="I81" s="71" t="e">
        <f t="shared" si="41"/>
        <v>#REF!</v>
      </c>
      <c r="J81" s="71"/>
      <c r="K81" s="69" t="e">
        <f t="shared" si="42"/>
        <v>#REF!</v>
      </c>
      <c r="L81" s="69" t="e">
        <f t="shared" si="43"/>
        <v>#REF!</v>
      </c>
      <c r="M81" s="71" t="e">
        <f t="shared" si="44"/>
        <v>#REF!</v>
      </c>
      <c r="N81" s="83"/>
      <c r="O81" s="80" t="e">
        <f t="shared" si="45"/>
        <v>#REF!</v>
      </c>
      <c r="P81" s="70" t="e">
        <f t="shared" si="46"/>
        <v>#REF!</v>
      </c>
      <c r="Q81" s="71" t="e">
        <f t="shared" si="47"/>
        <v>#REF!</v>
      </c>
      <c r="R81" s="71"/>
      <c r="S81" s="70" t="e">
        <f t="shared" si="48"/>
        <v>#REF!</v>
      </c>
      <c r="T81" s="70" t="e">
        <f t="shared" si="49"/>
        <v>#REF!</v>
      </c>
      <c r="U81" s="71" t="e">
        <f t="shared" si="50"/>
        <v>#REF!</v>
      </c>
      <c r="V81" s="71"/>
      <c r="W81" s="70" t="e">
        <f t="shared" si="51"/>
        <v>#REF!</v>
      </c>
      <c r="X81" s="70" t="e">
        <f t="shared" si="52"/>
        <v>#REF!</v>
      </c>
      <c r="Y81" s="71" t="e">
        <f t="shared" si="53"/>
        <v>#REF!</v>
      </c>
    </row>
    <row r="82" spans="1:25" ht="16.5" customHeight="1">
      <c r="A82" s="60" t="s">
        <v>207</v>
      </c>
      <c r="B82" s="76" t="s">
        <v>208</v>
      </c>
      <c r="C82" s="69" t="e">
        <f t="shared" si="36"/>
        <v>#REF!</v>
      </c>
      <c r="D82" s="69" t="e">
        <f t="shared" si="37"/>
        <v>#REF!</v>
      </c>
      <c r="E82" s="71" t="e">
        <f t="shared" si="38"/>
        <v>#REF!</v>
      </c>
      <c r="F82" s="71"/>
      <c r="G82" s="69" t="e">
        <f t="shared" si="39"/>
        <v>#REF!</v>
      </c>
      <c r="H82" s="69" t="e">
        <f t="shared" si="40"/>
        <v>#REF!</v>
      </c>
      <c r="I82" s="71" t="e">
        <f t="shared" si="41"/>
        <v>#REF!</v>
      </c>
      <c r="J82" s="71"/>
      <c r="K82" s="69" t="e">
        <f t="shared" si="42"/>
        <v>#REF!</v>
      </c>
      <c r="L82" s="69" t="e">
        <f t="shared" si="43"/>
        <v>#REF!</v>
      </c>
      <c r="M82" s="71" t="e">
        <f t="shared" si="44"/>
        <v>#REF!</v>
      </c>
      <c r="N82" s="83"/>
      <c r="O82" s="80" t="e">
        <f t="shared" si="45"/>
        <v>#REF!</v>
      </c>
      <c r="P82" s="70" t="e">
        <f t="shared" si="46"/>
        <v>#REF!</v>
      </c>
      <c r="Q82" s="71" t="e">
        <f t="shared" si="47"/>
        <v>#REF!</v>
      </c>
      <c r="R82" s="71"/>
      <c r="S82" s="70" t="e">
        <f t="shared" si="48"/>
        <v>#REF!</v>
      </c>
      <c r="T82" s="70" t="e">
        <f t="shared" si="49"/>
        <v>#REF!</v>
      </c>
      <c r="U82" s="71" t="e">
        <f t="shared" si="50"/>
        <v>#REF!</v>
      </c>
      <c r="V82" s="71"/>
      <c r="W82" s="70" t="e">
        <f t="shared" si="51"/>
        <v>#REF!</v>
      </c>
      <c r="X82" s="70" t="e">
        <f t="shared" si="52"/>
        <v>#REF!</v>
      </c>
      <c r="Y82" s="71" t="e">
        <f t="shared" si="53"/>
        <v>#REF!</v>
      </c>
    </row>
    <row r="83" spans="1:25" ht="16.5" customHeight="1">
      <c r="A83" s="60" t="s">
        <v>209</v>
      </c>
      <c r="B83" s="76" t="s">
        <v>210</v>
      </c>
      <c r="C83" s="69" t="e">
        <f t="shared" si="36"/>
        <v>#REF!</v>
      </c>
      <c r="D83" s="69" t="e">
        <f t="shared" si="37"/>
        <v>#REF!</v>
      </c>
      <c r="E83" s="71" t="e">
        <f t="shared" si="38"/>
        <v>#REF!</v>
      </c>
      <c r="F83" s="71"/>
      <c r="G83" s="69" t="e">
        <f t="shared" si="39"/>
        <v>#REF!</v>
      </c>
      <c r="H83" s="69" t="e">
        <f t="shared" si="40"/>
        <v>#REF!</v>
      </c>
      <c r="I83" s="71" t="e">
        <f t="shared" si="41"/>
        <v>#REF!</v>
      </c>
      <c r="J83" s="71"/>
      <c r="K83" s="69" t="e">
        <f t="shared" si="42"/>
        <v>#REF!</v>
      </c>
      <c r="L83" s="69" t="e">
        <f t="shared" si="43"/>
        <v>#REF!</v>
      </c>
      <c r="M83" s="71" t="e">
        <f t="shared" si="44"/>
        <v>#REF!</v>
      </c>
      <c r="N83" s="83"/>
      <c r="O83" s="80" t="e">
        <f t="shared" si="45"/>
        <v>#REF!</v>
      </c>
      <c r="P83" s="70" t="e">
        <f t="shared" si="46"/>
        <v>#REF!</v>
      </c>
      <c r="Q83" s="71" t="e">
        <f t="shared" si="47"/>
        <v>#REF!</v>
      </c>
      <c r="R83" s="71"/>
      <c r="S83" s="70" t="e">
        <f t="shared" si="48"/>
        <v>#REF!</v>
      </c>
      <c r="T83" s="70" t="e">
        <f t="shared" si="49"/>
        <v>#REF!</v>
      </c>
      <c r="U83" s="71" t="e">
        <f t="shared" si="50"/>
        <v>#REF!</v>
      </c>
      <c r="V83" s="71"/>
      <c r="W83" s="70" t="e">
        <f t="shared" si="51"/>
        <v>#REF!</v>
      </c>
      <c r="X83" s="70" t="e">
        <f t="shared" si="52"/>
        <v>#REF!</v>
      </c>
      <c r="Y83" s="71" t="e">
        <f t="shared" si="53"/>
        <v>#REF!</v>
      </c>
    </row>
    <row r="84" spans="1:25" ht="16.5" customHeight="1">
      <c r="A84" s="60" t="s">
        <v>211</v>
      </c>
      <c r="B84" s="76" t="s">
        <v>212</v>
      </c>
      <c r="C84" s="69" t="e">
        <f t="shared" si="36"/>
        <v>#REF!</v>
      </c>
      <c r="D84" s="69" t="e">
        <f t="shared" si="37"/>
        <v>#REF!</v>
      </c>
      <c r="E84" s="71" t="e">
        <f t="shared" si="38"/>
        <v>#REF!</v>
      </c>
      <c r="F84" s="71"/>
      <c r="G84" s="69" t="e">
        <f t="shared" si="39"/>
        <v>#REF!</v>
      </c>
      <c r="H84" s="69" t="e">
        <f t="shared" si="40"/>
        <v>#REF!</v>
      </c>
      <c r="I84" s="71" t="e">
        <f t="shared" si="41"/>
        <v>#REF!</v>
      </c>
      <c r="J84" s="71"/>
      <c r="K84" s="69" t="e">
        <f t="shared" si="42"/>
        <v>#REF!</v>
      </c>
      <c r="L84" s="69" t="e">
        <f t="shared" si="43"/>
        <v>#REF!</v>
      </c>
      <c r="M84" s="71" t="e">
        <f t="shared" si="44"/>
        <v>#REF!</v>
      </c>
      <c r="N84" s="83"/>
      <c r="O84" s="80" t="e">
        <f t="shared" si="45"/>
        <v>#REF!</v>
      </c>
      <c r="P84" s="70" t="e">
        <f t="shared" si="46"/>
        <v>#REF!</v>
      </c>
      <c r="Q84" s="71" t="e">
        <f t="shared" si="47"/>
        <v>#REF!</v>
      </c>
      <c r="R84" s="71"/>
      <c r="S84" s="70" t="e">
        <f t="shared" si="48"/>
        <v>#REF!</v>
      </c>
      <c r="T84" s="70" t="e">
        <f t="shared" si="49"/>
        <v>#REF!</v>
      </c>
      <c r="U84" s="71" t="e">
        <f t="shared" si="50"/>
        <v>#REF!</v>
      </c>
      <c r="V84" s="71"/>
      <c r="W84" s="70" t="e">
        <f t="shared" si="51"/>
        <v>#REF!</v>
      </c>
      <c r="X84" s="70" t="e">
        <f t="shared" si="52"/>
        <v>#REF!</v>
      </c>
      <c r="Y84" s="71" t="e">
        <f t="shared" si="53"/>
        <v>#REF!</v>
      </c>
    </row>
    <row r="85" spans="1:25" ht="16.5" customHeight="1">
      <c r="A85" s="60" t="s">
        <v>213</v>
      </c>
      <c r="B85" s="76" t="s">
        <v>214</v>
      </c>
      <c r="C85" s="69" t="e">
        <f t="shared" si="36"/>
        <v>#REF!</v>
      </c>
      <c r="D85" s="69" t="e">
        <f t="shared" si="37"/>
        <v>#REF!</v>
      </c>
      <c r="E85" s="71" t="e">
        <f t="shared" si="38"/>
        <v>#REF!</v>
      </c>
      <c r="F85" s="71"/>
      <c r="G85" s="69" t="e">
        <f t="shared" si="39"/>
        <v>#REF!</v>
      </c>
      <c r="H85" s="69" t="e">
        <f t="shared" si="40"/>
        <v>#REF!</v>
      </c>
      <c r="I85" s="71" t="e">
        <f t="shared" si="41"/>
        <v>#REF!</v>
      </c>
      <c r="J85" s="71"/>
      <c r="K85" s="69" t="e">
        <f t="shared" si="42"/>
        <v>#REF!</v>
      </c>
      <c r="L85" s="69" t="e">
        <f t="shared" si="43"/>
        <v>#REF!</v>
      </c>
      <c r="M85" s="71" t="e">
        <f t="shared" si="44"/>
        <v>#REF!</v>
      </c>
      <c r="N85" s="83"/>
      <c r="O85" s="80" t="e">
        <f t="shared" si="45"/>
        <v>#REF!</v>
      </c>
      <c r="P85" s="70" t="e">
        <f t="shared" si="46"/>
        <v>#REF!</v>
      </c>
      <c r="Q85" s="71" t="e">
        <f t="shared" si="47"/>
        <v>#REF!</v>
      </c>
      <c r="R85" s="71"/>
      <c r="S85" s="70" t="e">
        <f t="shared" si="48"/>
        <v>#REF!</v>
      </c>
      <c r="T85" s="70" t="e">
        <f t="shared" si="49"/>
        <v>#REF!</v>
      </c>
      <c r="U85" s="71" t="e">
        <f t="shared" si="50"/>
        <v>#REF!</v>
      </c>
      <c r="V85" s="71"/>
      <c r="W85" s="70" t="e">
        <f t="shared" si="51"/>
        <v>#REF!</v>
      </c>
      <c r="X85" s="70" t="e">
        <f t="shared" si="52"/>
        <v>#REF!</v>
      </c>
      <c r="Y85" s="71" t="e">
        <f t="shared" si="53"/>
        <v>#REF!</v>
      </c>
    </row>
    <row r="86" spans="1:25" ht="16.5" customHeight="1">
      <c r="A86" s="60" t="s">
        <v>215</v>
      </c>
      <c r="B86" s="76" t="s">
        <v>216</v>
      </c>
      <c r="C86" s="69" t="e">
        <f t="shared" si="36"/>
        <v>#REF!</v>
      </c>
      <c r="D86" s="69" t="e">
        <f t="shared" si="37"/>
        <v>#REF!</v>
      </c>
      <c r="E86" s="71" t="e">
        <f t="shared" si="38"/>
        <v>#REF!</v>
      </c>
      <c r="F86" s="71"/>
      <c r="G86" s="69" t="e">
        <f t="shared" si="39"/>
        <v>#REF!</v>
      </c>
      <c r="H86" s="69" t="e">
        <f t="shared" si="40"/>
        <v>#REF!</v>
      </c>
      <c r="I86" s="71" t="e">
        <f t="shared" si="41"/>
        <v>#REF!</v>
      </c>
      <c r="J86" s="71"/>
      <c r="K86" s="69" t="e">
        <f t="shared" si="42"/>
        <v>#REF!</v>
      </c>
      <c r="L86" s="69" t="e">
        <f t="shared" si="43"/>
        <v>#REF!</v>
      </c>
      <c r="M86" s="71" t="e">
        <f t="shared" si="44"/>
        <v>#REF!</v>
      </c>
      <c r="N86" s="83"/>
      <c r="O86" s="80" t="e">
        <f t="shared" si="45"/>
        <v>#REF!</v>
      </c>
      <c r="P86" s="70" t="e">
        <f t="shared" si="46"/>
        <v>#REF!</v>
      </c>
      <c r="Q86" s="71" t="e">
        <f t="shared" si="47"/>
        <v>#REF!</v>
      </c>
      <c r="R86" s="71"/>
      <c r="S86" s="70" t="e">
        <f t="shared" si="48"/>
        <v>#REF!</v>
      </c>
      <c r="T86" s="70" t="e">
        <f t="shared" si="49"/>
        <v>#REF!</v>
      </c>
      <c r="U86" s="71" t="e">
        <f t="shared" si="50"/>
        <v>#REF!</v>
      </c>
      <c r="V86" s="71"/>
      <c r="W86" s="70" t="e">
        <f t="shared" si="51"/>
        <v>#REF!</v>
      </c>
      <c r="X86" s="70" t="e">
        <f t="shared" si="52"/>
        <v>#REF!</v>
      </c>
      <c r="Y86" s="71" t="e">
        <f t="shared" si="53"/>
        <v>#REF!</v>
      </c>
    </row>
    <row r="87" spans="1:25" ht="16.5" customHeight="1">
      <c r="A87" s="60" t="s">
        <v>217</v>
      </c>
      <c r="B87" s="76" t="s">
        <v>218</v>
      </c>
      <c r="C87" s="69" t="e">
        <f t="shared" si="36"/>
        <v>#REF!</v>
      </c>
      <c r="D87" s="69" t="e">
        <f t="shared" si="37"/>
        <v>#REF!</v>
      </c>
      <c r="E87" s="71" t="e">
        <f t="shared" si="38"/>
        <v>#REF!</v>
      </c>
      <c r="F87" s="71"/>
      <c r="G87" s="69" t="e">
        <f t="shared" si="39"/>
        <v>#REF!</v>
      </c>
      <c r="H87" s="69" t="e">
        <f t="shared" si="40"/>
        <v>#REF!</v>
      </c>
      <c r="I87" s="71" t="e">
        <f t="shared" si="41"/>
        <v>#REF!</v>
      </c>
      <c r="J87" s="71"/>
      <c r="K87" s="69" t="e">
        <f t="shared" si="42"/>
        <v>#REF!</v>
      </c>
      <c r="L87" s="69" t="e">
        <f t="shared" si="43"/>
        <v>#REF!</v>
      </c>
      <c r="M87" s="71" t="e">
        <f t="shared" si="44"/>
        <v>#REF!</v>
      </c>
      <c r="N87" s="83"/>
      <c r="O87" s="80" t="e">
        <f t="shared" si="45"/>
        <v>#REF!</v>
      </c>
      <c r="P87" s="70" t="e">
        <f t="shared" si="46"/>
        <v>#REF!</v>
      </c>
      <c r="Q87" s="71" t="e">
        <f t="shared" si="47"/>
        <v>#REF!</v>
      </c>
      <c r="R87" s="71"/>
      <c r="S87" s="70" t="e">
        <f t="shared" si="48"/>
        <v>#REF!</v>
      </c>
      <c r="T87" s="70" t="e">
        <f t="shared" si="49"/>
        <v>#REF!</v>
      </c>
      <c r="U87" s="71" t="e">
        <f t="shared" si="50"/>
        <v>#REF!</v>
      </c>
      <c r="V87" s="71"/>
      <c r="W87" s="70" t="e">
        <f t="shared" si="51"/>
        <v>#REF!</v>
      </c>
      <c r="X87" s="70" t="e">
        <f t="shared" si="52"/>
        <v>#REF!</v>
      </c>
      <c r="Y87" s="71" t="e">
        <f t="shared" si="53"/>
        <v>#REF!</v>
      </c>
    </row>
    <row r="88" spans="1:25" ht="16.5" customHeight="1">
      <c r="A88" s="60" t="s">
        <v>219</v>
      </c>
      <c r="B88" s="61" t="s">
        <v>220</v>
      </c>
      <c r="C88" s="69" t="e">
        <f t="shared" si="36"/>
        <v>#REF!</v>
      </c>
      <c r="D88" s="69" t="e">
        <f t="shared" si="37"/>
        <v>#REF!</v>
      </c>
      <c r="E88" s="71" t="e">
        <f t="shared" si="38"/>
        <v>#REF!</v>
      </c>
      <c r="F88" s="71"/>
      <c r="G88" s="69" t="e">
        <f t="shared" si="39"/>
        <v>#REF!</v>
      </c>
      <c r="H88" s="69" t="e">
        <f t="shared" si="40"/>
        <v>#REF!</v>
      </c>
      <c r="I88" s="71" t="e">
        <f t="shared" si="41"/>
        <v>#REF!</v>
      </c>
      <c r="J88" s="71"/>
      <c r="K88" s="69" t="e">
        <f t="shared" si="42"/>
        <v>#REF!</v>
      </c>
      <c r="L88" s="69" t="e">
        <f t="shared" si="43"/>
        <v>#REF!</v>
      </c>
      <c r="M88" s="71" t="e">
        <f t="shared" si="44"/>
        <v>#REF!</v>
      </c>
      <c r="N88" s="83"/>
      <c r="O88" s="80" t="e">
        <f t="shared" si="45"/>
        <v>#REF!</v>
      </c>
      <c r="P88" s="70" t="e">
        <f t="shared" si="46"/>
        <v>#REF!</v>
      </c>
      <c r="Q88" s="71" t="e">
        <f t="shared" si="47"/>
        <v>#REF!</v>
      </c>
      <c r="R88" s="71"/>
      <c r="S88" s="70" t="e">
        <f t="shared" si="48"/>
        <v>#REF!</v>
      </c>
      <c r="T88" s="70" t="e">
        <f t="shared" si="49"/>
        <v>#REF!</v>
      </c>
      <c r="U88" s="71" t="e">
        <f t="shared" si="50"/>
        <v>#REF!</v>
      </c>
      <c r="V88" s="71"/>
      <c r="W88" s="70" t="e">
        <f t="shared" si="51"/>
        <v>#REF!</v>
      </c>
      <c r="X88" s="70" t="e">
        <f t="shared" si="52"/>
        <v>#REF!</v>
      </c>
      <c r="Y88" s="71" t="e">
        <f t="shared" si="53"/>
        <v>#REF!</v>
      </c>
    </row>
    <row r="89" spans="1:25" ht="16.5" customHeight="1">
      <c r="A89" s="60" t="s">
        <v>221</v>
      </c>
      <c r="B89" s="61" t="s">
        <v>222</v>
      </c>
      <c r="C89" s="69" t="e">
        <f t="shared" si="36"/>
        <v>#REF!</v>
      </c>
      <c r="D89" s="69" t="e">
        <f t="shared" si="37"/>
        <v>#REF!</v>
      </c>
      <c r="E89" s="71" t="e">
        <f t="shared" si="38"/>
        <v>#REF!</v>
      </c>
      <c r="F89" s="71"/>
      <c r="G89" s="69" t="e">
        <f t="shared" si="39"/>
        <v>#REF!</v>
      </c>
      <c r="H89" s="69" t="e">
        <f t="shared" si="40"/>
        <v>#REF!</v>
      </c>
      <c r="I89" s="71" t="e">
        <f t="shared" si="41"/>
        <v>#REF!</v>
      </c>
      <c r="J89" s="71"/>
      <c r="K89" s="69" t="e">
        <f t="shared" si="42"/>
        <v>#REF!</v>
      </c>
      <c r="L89" s="69" t="e">
        <f t="shared" si="43"/>
        <v>#REF!</v>
      </c>
      <c r="M89" s="71" t="e">
        <f t="shared" si="44"/>
        <v>#REF!</v>
      </c>
      <c r="N89" s="83"/>
      <c r="O89" s="80" t="e">
        <f t="shared" si="45"/>
        <v>#REF!</v>
      </c>
      <c r="P89" s="70" t="e">
        <f t="shared" si="46"/>
        <v>#REF!</v>
      </c>
      <c r="Q89" s="71" t="e">
        <f t="shared" si="47"/>
        <v>#REF!</v>
      </c>
      <c r="R89" s="71"/>
      <c r="S89" s="70" t="e">
        <f t="shared" si="48"/>
        <v>#REF!</v>
      </c>
      <c r="T89" s="70" t="e">
        <f t="shared" si="49"/>
        <v>#REF!</v>
      </c>
      <c r="U89" s="71" t="e">
        <f t="shared" si="50"/>
        <v>#REF!</v>
      </c>
      <c r="V89" s="71"/>
      <c r="W89" s="70" t="e">
        <f t="shared" si="51"/>
        <v>#REF!</v>
      </c>
      <c r="X89" s="70" t="e">
        <f t="shared" si="52"/>
        <v>#REF!</v>
      </c>
      <c r="Y89" s="71" t="e">
        <f t="shared" si="53"/>
        <v>#REF!</v>
      </c>
    </row>
    <row r="90" spans="1:25" ht="16.5" customHeight="1">
      <c r="A90" s="60" t="s">
        <v>225</v>
      </c>
      <c r="B90" s="61" t="s">
        <v>226</v>
      </c>
      <c r="C90" s="69" t="e">
        <f t="shared" si="36"/>
        <v>#REF!</v>
      </c>
      <c r="D90" s="69" t="e">
        <f t="shared" si="37"/>
        <v>#REF!</v>
      </c>
      <c r="E90" s="71" t="e">
        <f t="shared" si="38"/>
        <v>#REF!</v>
      </c>
      <c r="F90" s="71"/>
      <c r="G90" s="69" t="e">
        <f t="shared" si="39"/>
        <v>#REF!</v>
      </c>
      <c r="H90" s="69" t="e">
        <f t="shared" si="40"/>
        <v>#REF!</v>
      </c>
      <c r="I90" s="71" t="e">
        <f t="shared" si="41"/>
        <v>#REF!</v>
      </c>
      <c r="J90" s="71"/>
      <c r="K90" s="69" t="e">
        <f t="shared" si="42"/>
        <v>#REF!</v>
      </c>
      <c r="L90" s="69" t="e">
        <f t="shared" si="43"/>
        <v>#REF!</v>
      </c>
      <c r="M90" s="71" t="e">
        <f t="shared" si="44"/>
        <v>#REF!</v>
      </c>
      <c r="N90" s="83"/>
      <c r="O90" s="80" t="e">
        <f t="shared" si="45"/>
        <v>#REF!</v>
      </c>
      <c r="P90" s="70" t="e">
        <f t="shared" si="46"/>
        <v>#REF!</v>
      </c>
      <c r="Q90" s="71" t="e">
        <f t="shared" si="47"/>
        <v>#REF!</v>
      </c>
      <c r="R90" s="71"/>
      <c r="S90" s="70" t="e">
        <f t="shared" si="48"/>
        <v>#REF!</v>
      </c>
      <c r="T90" s="70" t="e">
        <f t="shared" si="49"/>
        <v>#REF!</v>
      </c>
      <c r="U90" s="71" t="e">
        <f t="shared" si="50"/>
        <v>#REF!</v>
      </c>
      <c r="V90" s="71"/>
      <c r="W90" s="70" t="e">
        <f t="shared" si="51"/>
        <v>#REF!</v>
      </c>
      <c r="X90" s="70" t="e">
        <f t="shared" si="52"/>
        <v>#REF!</v>
      </c>
      <c r="Y90" s="71" t="e">
        <f t="shared" si="53"/>
        <v>#REF!</v>
      </c>
    </row>
    <row r="91" spans="1:25" ht="16.5" customHeight="1">
      <c r="A91" s="60" t="s">
        <v>227</v>
      </c>
      <c r="B91" s="76" t="s">
        <v>228</v>
      </c>
      <c r="C91" s="69" t="e">
        <f t="shared" si="36"/>
        <v>#REF!</v>
      </c>
      <c r="D91" s="69" t="e">
        <f t="shared" si="37"/>
        <v>#REF!</v>
      </c>
      <c r="E91" s="71" t="e">
        <f t="shared" si="38"/>
        <v>#REF!</v>
      </c>
      <c r="F91" s="71"/>
      <c r="G91" s="69" t="e">
        <f t="shared" si="39"/>
        <v>#REF!</v>
      </c>
      <c r="H91" s="69" t="e">
        <f t="shared" si="40"/>
        <v>#REF!</v>
      </c>
      <c r="I91" s="71" t="e">
        <f t="shared" si="41"/>
        <v>#REF!</v>
      </c>
      <c r="J91" s="71"/>
      <c r="K91" s="69" t="e">
        <f t="shared" si="42"/>
        <v>#REF!</v>
      </c>
      <c r="L91" s="69" t="e">
        <f t="shared" si="43"/>
        <v>#REF!</v>
      </c>
      <c r="M91" s="71" t="e">
        <f t="shared" si="44"/>
        <v>#REF!</v>
      </c>
      <c r="N91" s="83"/>
      <c r="O91" s="80" t="e">
        <f t="shared" si="45"/>
        <v>#REF!</v>
      </c>
      <c r="P91" s="70" t="e">
        <f t="shared" si="46"/>
        <v>#REF!</v>
      </c>
      <c r="Q91" s="71" t="e">
        <f t="shared" si="47"/>
        <v>#REF!</v>
      </c>
      <c r="R91" s="71"/>
      <c r="S91" s="70" t="e">
        <f t="shared" si="48"/>
        <v>#REF!</v>
      </c>
      <c r="T91" s="70" t="e">
        <f t="shared" si="49"/>
        <v>#REF!</v>
      </c>
      <c r="U91" s="71" t="e">
        <f t="shared" si="50"/>
        <v>#REF!</v>
      </c>
      <c r="V91" s="71"/>
      <c r="W91" s="70" t="e">
        <f t="shared" si="51"/>
        <v>#REF!</v>
      </c>
      <c r="X91" s="70" t="e">
        <f t="shared" si="52"/>
        <v>#REF!</v>
      </c>
      <c r="Y91" s="71" t="e">
        <f t="shared" si="53"/>
        <v>#REF!</v>
      </c>
    </row>
    <row r="92" spans="1:25" ht="16.5" customHeight="1">
      <c r="A92" s="60" t="s">
        <v>229</v>
      </c>
      <c r="B92" s="76" t="s">
        <v>230</v>
      </c>
      <c r="C92" s="69" t="e">
        <f t="shared" si="36"/>
        <v>#REF!</v>
      </c>
      <c r="D92" s="69" t="e">
        <f t="shared" si="37"/>
        <v>#REF!</v>
      </c>
      <c r="E92" s="71" t="e">
        <f t="shared" si="38"/>
        <v>#REF!</v>
      </c>
      <c r="F92" s="71"/>
      <c r="G92" s="69" t="e">
        <f t="shared" si="39"/>
        <v>#REF!</v>
      </c>
      <c r="H92" s="69" t="e">
        <f t="shared" si="40"/>
        <v>#REF!</v>
      </c>
      <c r="I92" s="71" t="e">
        <f t="shared" si="41"/>
        <v>#REF!</v>
      </c>
      <c r="J92" s="71"/>
      <c r="K92" s="69" t="e">
        <f t="shared" si="42"/>
        <v>#REF!</v>
      </c>
      <c r="L92" s="69" t="e">
        <f t="shared" si="43"/>
        <v>#REF!</v>
      </c>
      <c r="M92" s="71" t="e">
        <f t="shared" si="44"/>
        <v>#REF!</v>
      </c>
      <c r="N92" s="83"/>
      <c r="O92" s="80" t="e">
        <f t="shared" si="45"/>
        <v>#REF!</v>
      </c>
      <c r="P92" s="70" t="e">
        <f t="shared" si="46"/>
        <v>#REF!</v>
      </c>
      <c r="Q92" s="71" t="e">
        <f t="shared" si="47"/>
        <v>#REF!</v>
      </c>
      <c r="R92" s="71"/>
      <c r="S92" s="70" t="e">
        <f t="shared" si="48"/>
        <v>#REF!</v>
      </c>
      <c r="T92" s="70" t="e">
        <f t="shared" si="49"/>
        <v>#REF!</v>
      </c>
      <c r="U92" s="71" t="e">
        <f t="shared" si="50"/>
        <v>#REF!</v>
      </c>
      <c r="V92" s="71"/>
      <c r="W92" s="70" t="e">
        <f t="shared" si="51"/>
        <v>#REF!</v>
      </c>
      <c r="X92" s="70" t="e">
        <f t="shared" si="52"/>
        <v>#REF!</v>
      </c>
      <c r="Y92" s="71" t="e">
        <f t="shared" si="53"/>
        <v>#REF!</v>
      </c>
    </row>
    <row r="93" spans="1:25" ht="16.5" customHeight="1">
      <c r="A93" s="60" t="s">
        <v>233</v>
      </c>
      <c r="B93" s="76" t="s">
        <v>234</v>
      </c>
      <c r="C93" s="69" t="e">
        <f t="shared" si="36"/>
        <v>#REF!</v>
      </c>
      <c r="D93" s="69" t="e">
        <f t="shared" si="37"/>
        <v>#REF!</v>
      </c>
      <c r="E93" s="71" t="e">
        <f t="shared" si="38"/>
        <v>#REF!</v>
      </c>
      <c r="F93" s="71"/>
      <c r="G93" s="69" t="e">
        <f t="shared" si="39"/>
        <v>#REF!</v>
      </c>
      <c r="H93" s="69" t="e">
        <f t="shared" si="40"/>
        <v>#REF!</v>
      </c>
      <c r="I93" s="71" t="e">
        <f t="shared" si="41"/>
        <v>#REF!</v>
      </c>
      <c r="J93" s="71"/>
      <c r="K93" s="69" t="e">
        <f t="shared" si="42"/>
        <v>#REF!</v>
      </c>
      <c r="L93" s="69" t="e">
        <f t="shared" si="43"/>
        <v>#REF!</v>
      </c>
      <c r="M93" s="71" t="e">
        <f t="shared" si="44"/>
        <v>#REF!</v>
      </c>
      <c r="N93" s="83"/>
      <c r="O93" s="80" t="e">
        <f t="shared" si="45"/>
        <v>#REF!</v>
      </c>
      <c r="P93" s="70" t="e">
        <f t="shared" si="46"/>
        <v>#REF!</v>
      </c>
      <c r="Q93" s="71" t="e">
        <f t="shared" si="47"/>
        <v>#REF!</v>
      </c>
      <c r="R93" s="71"/>
      <c r="S93" s="70" t="e">
        <f t="shared" si="48"/>
        <v>#REF!</v>
      </c>
      <c r="T93" s="70" t="e">
        <f t="shared" si="49"/>
        <v>#REF!</v>
      </c>
      <c r="U93" s="71" t="e">
        <f t="shared" si="50"/>
        <v>#REF!</v>
      </c>
      <c r="V93" s="71"/>
      <c r="W93" s="70" t="e">
        <f t="shared" si="51"/>
        <v>#REF!</v>
      </c>
      <c r="X93" s="70" t="e">
        <f t="shared" si="52"/>
        <v>#REF!</v>
      </c>
      <c r="Y93" s="71" t="e">
        <f t="shared" si="53"/>
        <v>#REF!</v>
      </c>
    </row>
    <row r="94" spans="1:25" ht="16.5" customHeight="1">
      <c r="A94" s="60" t="s">
        <v>235</v>
      </c>
      <c r="B94" s="61" t="s">
        <v>236</v>
      </c>
      <c r="C94" s="69" t="e">
        <f t="shared" si="36"/>
        <v>#REF!</v>
      </c>
      <c r="D94" s="69" t="e">
        <f t="shared" si="37"/>
        <v>#REF!</v>
      </c>
      <c r="E94" s="71" t="e">
        <f t="shared" si="38"/>
        <v>#REF!</v>
      </c>
      <c r="F94" s="71"/>
      <c r="G94" s="69" t="e">
        <f t="shared" si="39"/>
        <v>#REF!</v>
      </c>
      <c r="H94" s="69" t="e">
        <f t="shared" si="40"/>
        <v>#REF!</v>
      </c>
      <c r="I94" s="71" t="e">
        <f t="shared" si="41"/>
        <v>#REF!</v>
      </c>
      <c r="J94" s="71"/>
      <c r="K94" s="69" t="e">
        <f t="shared" si="42"/>
        <v>#REF!</v>
      </c>
      <c r="L94" s="69" t="e">
        <f t="shared" si="43"/>
        <v>#REF!</v>
      </c>
      <c r="M94" s="71" t="e">
        <f t="shared" si="44"/>
        <v>#REF!</v>
      </c>
      <c r="N94" s="83"/>
      <c r="O94" s="80" t="e">
        <f t="shared" si="45"/>
        <v>#REF!</v>
      </c>
      <c r="P94" s="70" t="e">
        <f t="shared" si="46"/>
        <v>#REF!</v>
      </c>
      <c r="Q94" s="71" t="e">
        <f t="shared" si="47"/>
        <v>#REF!</v>
      </c>
      <c r="R94" s="71"/>
      <c r="S94" s="70" t="e">
        <f t="shared" si="48"/>
        <v>#REF!</v>
      </c>
      <c r="T94" s="70" t="e">
        <f t="shared" si="49"/>
        <v>#REF!</v>
      </c>
      <c r="U94" s="71" t="e">
        <f t="shared" si="50"/>
        <v>#REF!</v>
      </c>
      <c r="V94" s="71"/>
      <c r="W94" s="70" t="e">
        <f t="shared" si="51"/>
        <v>#REF!</v>
      </c>
      <c r="X94" s="70" t="e">
        <f t="shared" si="52"/>
        <v>#REF!</v>
      </c>
      <c r="Y94" s="71" t="e">
        <f t="shared" si="53"/>
        <v>#REF!</v>
      </c>
    </row>
    <row r="95" spans="1:25" ht="16.5" customHeight="1">
      <c r="A95" s="60" t="s">
        <v>237</v>
      </c>
      <c r="B95" s="76" t="s">
        <v>238</v>
      </c>
      <c r="C95" s="69" t="e">
        <f t="shared" si="36"/>
        <v>#REF!</v>
      </c>
      <c r="D95" s="69" t="e">
        <f t="shared" si="37"/>
        <v>#REF!</v>
      </c>
      <c r="E95" s="71" t="e">
        <f t="shared" si="38"/>
        <v>#REF!</v>
      </c>
      <c r="F95" s="71"/>
      <c r="G95" s="69" t="e">
        <f t="shared" si="39"/>
        <v>#REF!</v>
      </c>
      <c r="H95" s="69" t="e">
        <f t="shared" si="40"/>
        <v>#REF!</v>
      </c>
      <c r="I95" s="71" t="e">
        <f t="shared" si="41"/>
        <v>#REF!</v>
      </c>
      <c r="J95" s="71"/>
      <c r="K95" s="69" t="e">
        <f t="shared" si="42"/>
        <v>#REF!</v>
      </c>
      <c r="L95" s="69" t="e">
        <f t="shared" si="43"/>
        <v>#REF!</v>
      </c>
      <c r="M95" s="71" t="e">
        <f t="shared" si="44"/>
        <v>#REF!</v>
      </c>
      <c r="N95" s="83"/>
      <c r="O95" s="80" t="e">
        <f t="shared" si="45"/>
        <v>#REF!</v>
      </c>
      <c r="P95" s="70" t="e">
        <f t="shared" si="46"/>
        <v>#REF!</v>
      </c>
      <c r="Q95" s="71" t="e">
        <f t="shared" si="47"/>
        <v>#REF!</v>
      </c>
      <c r="R95" s="71"/>
      <c r="S95" s="70" t="e">
        <f t="shared" si="48"/>
        <v>#REF!</v>
      </c>
      <c r="T95" s="70" t="e">
        <f t="shared" si="49"/>
        <v>#REF!</v>
      </c>
      <c r="U95" s="71" t="e">
        <f t="shared" si="50"/>
        <v>#REF!</v>
      </c>
      <c r="V95" s="71"/>
      <c r="W95" s="70" t="e">
        <f t="shared" si="51"/>
        <v>#REF!</v>
      </c>
      <c r="X95" s="70" t="e">
        <f t="shared" si="52"/>
        <v>#REF!</v>
      </c>
      <c r="Y95" s="71" t="e">
        <f t="shared" si="53"/>
        <v>#REF!</v>
      </c>
    </row>
    <row r="96" spans="1:25" ht="16.5" customHeight="1">
      <c r="A96" s="60" t="s">
        <v>243</v>
      </c>
      <c r="B96" s="76" t="s">
        <v>244</v>
      </c>
      <c r="C96" s="69" t="e">
        <f t="shared" si="36"/>
        <v>#REF!</v>
      </c>
      <c r="D96" s="69" t="e">
        <f t="shared" si="37"/>
        <v>#REF!</v>
      </c>
      <c r="E96" s="71" t="e">
        <f t="shared" si="38"/>
        <v>#REF!</v>
      </c>
      <c r="F96" s="71"/>
      <c r="G96" s="69" t="e">
        <f t="shared" si="39"/>
        <v>#REF!</v>
      </c>
      <c r="H96" s="69" t="e">
        <f t="shared" si="40"/>
        <v>#REF!</v>
      </c>
      <c r="I96" s="71" t="e">
        <f t="shared" si="41"/>
        <v>#REF!</v>
      </c>
      <c r="J96" s="71"/>
      <c r="K96" s="69" t="e">
        <f t="shared" si="42"/>
        <v>#REF!</v>
      </c>
      <c r="L96" s="69" t="e">
        <f t="shared" si="43"/>
        <v>#REF!</v>
      </c>
      <c r="M96" s="71" t="e">
        <f t="shared" si="44"/>
        <v>#REF!</v>
      </c>
      <c r="N96" s="83"/>
      <c r="O96" s="80" t="e">
        <f t="shared" si="45"/>
        <v>#REF!</v>
      </c>
      <c r="P96" s="70" t="e">
        <f t="shared" si="46"/>
        <v>#REF!</v>
      </c>
      <c r="Q96" s="71" t="e">
        <f t="shared" si="47"/>
        <v>#REF!</v>
      </c>
      <c r="R96" s="71"/>
      <c r="S96" s="70" t="e">
        <f t="shared" si="48"/>
        <v>#REF!</v>
      </c>
      <c r="T96" s="70" t="e">
        <f t="shared" si="49"/>
        <v>#REF!</v>
      </c>
      <c r="U96" s="71" t="e">
        <f t="shared" si="50"/>
        <v>#REF!</v>
      </c>
      <c r="V96" s="71"/>
      <c r="W96" s="70" t="e">
        <f t="shared" si="51"/>
        <v>#REF!</v>
      </c>
      <c r="X96" s="70" t="e">
        <f t="shared" si="52"/>
        <v>#REF!</v>
      </c>
      <c r="Y96" s="71" t="e">
        <f t="shared" si="53"/>
        <v>#REF!</v>
      </c>
    </row>
    <row r="97" spans="1:25" ht="16.5" customHeight="1">
      <c r="A97" s="60" t="s">
        <v>245</v>
      </c>
      <c r="B97" s="76" t="s">
        <v>246</v>
      </c>
      <c r="C97" s="69" t="e">
        <f t="shared" si="36"/>
        <v>#REF!</v>
      </c>
      <c r="D97" s="69" t="e">
        <f t="shared" si="37"/>
        <v>#REF!</v>
      </c>
      <c r="E97" s="71" t="e">
        <f t="shared" si="38"/>
        <v>#REF!</v>
      </c>
      <c r="F97" s="71"/>
      <c r="G97" s="69" t="e">
        <f t="shared" si="39"/>
        <v>#REF!</v>
      </c>
      <c r="H97" s="69" t="e">
        <f t="shared" si="40"/>
        <v>#REF!</v>
      </c>
      <c r="I97" s="71" t="e">
        <f t="shared" si="41"/>
        <v>#REF!</v>
      </c>
      <c r="J97" s="71"/>
      <c r="K97" s="69" t="e">
        <f t="shared" si="42"/>
        <v>#REF!</v>
      </c>
      <c r="L97" s="69" t="e">
        <f t="shared" si="43"/>
        <v>#REF!</v>
      </c>
      <c r="M97" s="71" t="e">
        <f t="shared" si="44"/>
        <v>#REF!</v>
      </c>
      <c r="N97" s="83"/>
      <c r="O97" s="80" t="e">
        <f t="shared" si="45"/>
        <v>#REF!</v>
      </c>
      <c r="P97" s="70" t="e">
        <f t="shared" si="46"/>
        <v>#REF!</v>
      </c>
      <c r="Q97" s="71" t="e">
        <f t="shared" si="47"/>
        <v>#REF!</v>
      </c>
      <c r="R97" s="71"/>
      <c r="S97" s="70" t="e">
        <f t="shared" si="48"/>
        <v>#REF!</v>
      </c>
      <c r="T97" s="70" t="e">
        <f t="shared" si="49"/>
        <v>#REF!</v>
      </c>
      <c r="U97" s="71" t="e">
        <f t="shared" si="50"/>
        <v>#REF!</v>
      </c>
      <c r="V97" s="71"/>
      <c r="W97" s="70" t="e">
        <f t="shared" si="51"/>
        <v>#REF!</v>
      </c>
      <c r="X97" s="70" t="e">
        <f t="shared" si="52"/>
        <v>#REF!</v>
      </c>
      <c r="Y97" s="71" t="e">
        <f t="shared" si="53"/>
        <v>#REF!</v>
      </c>
    </row>
    <row r="98" spans="1:25" ht="16.5" customHeight="1">
      <c r="A98" s="60" t="s">
        <v>247</v>
      </c>
      <c r="B98" s="61" t="s">
        <v>389</v>
      </c>
      <c r="C98" s="69" t="e">
        <f t="shared" si="36"/>
        <v>#REF!</v>
      </c>
      <c r="D98" s="69" t="e">
        <f t="shared" si="37"/>
        <v>#REF!</v>
      </c>
      <c r="E98" s="71" t="e">
        <f t="shared" si="38"/>
        <v>#REF!</v>
      </c>
      <c r="F98" s="71"/>
      <c r="G98" s="69" t="e">
        <f t="shared" si="39"/>
        <v>#REF!</v>
      </c>
      <c r="H98" s="69" t="e">
        <f t="shared" si="40"/>
        <v>#REF!</v>
      </c>
      <c r="I98" s="71" t="e">
        <f t="shared" si="41"/>
        <v>#REF!</v>
      </c>
      <c r="J98" s="71"/>
      <c r="K98" s="69" t="e">
        <f t="shared" si="42"/>
        <v>#REF!</v>
      </c>
      <c r="L98" s="69" t="e">
        <f t="shared" si="43"/>
        <v>#REF!</v>
      </c>
      <c r="M98" s="71" t="e">
        <f t="shared" si="44"/>
        <v>#REF!</v>
      </c>
      <c r="N98" s="83"/>
      <c r="O98" s="80" t="e">
        <f t="shared" si="45"/>
        <v>#REF!</v>
      </c>
      <c r="P98" s="70" t="e">
        <f t="shared" si="46"/>
        <v>#REF!</v>
      </c>
      <c r="Q98" s="71" t="e">
        <f t="shared" si="47"/>
        <v>#REF!</v>
      </c>
      <c r="R98" s="71"/>
      <c r="S98" s="70" t="e">
        <f t="shared" si="48"/>
        <v>#REF!</v>
      </c>
      <c r="T98" s="70" t="e">
        <f t="shared" si="49"/>
        <v>#REF!</v>
      </c>
      <c r="U98" s="71" t="e">
        <f t="shared" si="50"/>
        <v>#REF!</v>
      </c>
      <c r="V98" s="71"/>
      <c r="W98" s="70" t="e">
        <f t="shared" si="51"/>
        <v>#REF!</v>
      </c>
      <c r="X98" s="70" t="e">
        <f t="shared" si="52"/>
        <v>#REF!</v>
      </c>
      <c r="Y98" s="71" t="e">
        <f t="shared" si="53"/>
        <v>#REF!</v>
      </c>
    </row>
    <row r="99" spans="1:25" ht="16.5" customHeight="1">
      <c r="A99" s="60" t="s">
        <v>14</v>
      </c>
      <c r="B99" s="61" t="s">
        <v>15</v>
      </c>
      <c r="C99" s="69" t="e">
        <f t="shared" si="36"/>
        <v>#REF!</v>
      </c>
      <c r="D99" s="69" t="e">
        <f t="shared" si="37"/>
        <v>#REF!</v>
      </c>
      <c r="E99" s="71" t="e">
        <f t="shared" si="38"/>
        <v>#REF!</v>
      </c>
      <c r="F99" s="71"/>
      <c r="G99" s="69" t="e">
        <f t="shared" si="39"/>
        <v>#REF!</v>
      </c>
      <c r="H99" s="69" t="e">
        <f t="shared" si="40"/>
        <v>#REF!</v>
      </c>
      <c r="I99" s="71" t="e">
        <f t="shared" si="41"/>
        <v>#REF!</v>
      </c>
      <c r="J99" s="71"/>
      <c r="K99" s="69" t="e">
        <f t="shared" si="42"/>
        <v>#REF!</v>
      </c>
      <c r="L99" s="69" t="e">
        <f t="shared" si="43"/>
        <v>#REF!</v>
      </c>
      <c r="M99" s="71" t="e">
        <f t="shared" si="44"/>
        <v>#REF!</v>
      </c>
      <c r="N99" s="83"/>
      <c r="O99" s="80" t="e">
        <f t="shared" si="45"/>
        <v>#REF!</v>
      </c>
      <c r="P99" s="70" t="e">
        <f t="shared" si="46"/>
        <v>#REF!</v>
      </c>
      <c r="Q99" s="71" t="e">
        <f t="shared" si="47"/>
        <v>#REF!</v>
      </c>
      <c r="R99" s="71"/>
      <c r="S99" s="70" t="e">
        <f t="shared" si="48"/>
        <v>#REF!</v>
      </c>
      <c r="T99" s="70" t="e">
        <f t="shared" si="49"/>
        <v>#REF!</v>
      </c>
      <c r="U99" s="71" t="e">
        <f t="shared" si="50"/>
        <v>#REF!</v>
      </c>
      <c r="V99" s="71"/>
      <c r="W99" s="70" t="e">
        <f t="shared" si="51"/>
        <v>#REF!</v>
      </c>
      <c r="X99" s="70" t="e">
        <f t="shared" si="52"/>
        <v>#REF!</v>
      </c>
      <c r="Y99" s="71" t="e">
        <f t="shared" si="53"/>
        <v>#REF!</v>
      </c>
    </row>
    <row r="100" spans="1:25" ht="16.5" customHeight="1">
      <c r="A100" s="60" t="s">
        <v>35</v>
      </c>
      <c r="B100" s="61" t="s">
        <v>36</v>
      </c>
      <c r="C100" s="69" t="e">
        <f t="shared" ref="C100:C123" si="54">VLOOKUP(A100,SNAP_DEMO,10,FALSE)</f>
        <v>#REF!</v>
      </c>
      <c r="D100" s="69" t="e">
        <f t="shared" ref="D100:D123" si="55">VLOOKUP(A100,Pop,14,FALSE)</f>
        <v>#REF!</v>
      </c>
      <c r="E100" s="71" t="e">
        <f t="shared" ref="E100:E123" si="56">+C100/D100</f>
        <v>#REF!</v>
      </c>
      <c r="F100" s="71"/>
      <c r="G100" s="69" t="e">
        <f t="shared" ref="G100:G123" si="57">VLOOKUP(A100,SNAP_DEMO,11,FALSE)</f>
        <v>#REF!</v>
      </c>
      <c r="H100" s="69" t="e">
        <f t="shared" ref="H100:H123" si="58">VLOOKUP(A100,Pop,15,FALSE)</f>
        <v>#REF!</v>
      </c>
      <c r="I100" s="71" t="e">
        <f t="shared" ref="I100:I123" si="59">+G100/H100</f>
        <v>#REF!</v>
      </c>
      <c r="J100" s="71"/>
      <c r="K100" s="69" t="e">
        <f t="shared" ref="K100:K123" si="60">VLOOKUP(A100,SNAP_DEMO,12,FALSE)</f>
        <v>#REF!</v>
      </c>
      <c r="L100" s="69" t="e">
        <f t="shared" ref="L100:L123" si="61">VLOOKUP(A100,Pop,16,FALSE)</f>
        <v>#REF!</v>
      </c>
      <c r="M100" s="71" t="e">
        <f t="shared" ref="M100:M123" si="62">+K100/L100</f>
        <v>#REF!</v>
      </c>
      <c r="N100" s="83"/>
      <c r="O100" s="80" t="e">
        <f t="shared" ref="O100:O123" si="63">VLOOKUP(A100,SNAP_DEMO,3,FALSE)</f>
        <v>#REF!</v>
      </c>
      <c r="P100" s="70" t="e">
        <f t="shared" ref="P100:P123" si="64">VLOOKUP(A100,Pop,8,FALSE)</f>
        <v>#REF!</v>
      </c>
      <c r="Q100" s="71" t="e">
        <f t="shared" ref="Q100:Q123" si="65">+O100/P100</f>
        <v>#REF!</v>
      </c>
      <c r="R100" s="71"/>
      <c r="S100" s="70" t="e">
        <f t="shared" ref="S100:S123" si="66">VLOOKUP(A100,SNAP_DEMO,4,FALSE)</f>
        <v>#REF!</v>
      </c>
      <c r="T100" s="70" t="e">
        <f t="shared" ref="T100:T123" si="67">VLOOKUP(A100,Pop,9,FALSE)</f>
        <v>#REF!</v>
      </c>
      <c r="U100" s="71" t="e">
        <f t="shared" ref="U100:U123" si="68">+S100/T100</f>
        <v>#REF!</v>
      </c>
      <c r="V100" s="71"/>
      <c r="W100" s="70" t="e">
        <f t="shared" ref="W100:W123" si="69">VLOOKUP(A100,SNAP_DEMO,5,FALSE)</f>
        <v>#REF!</v>
      </c>
      <c r="X100" s="70" t="e">
        <f t="shared" ref="X100:X123" si="70">VLOOKUP(A100,Pop,10,FALSE)</f>
        <v>#REF!</v>
      </c>
      <c r="Y100" s="71" t="e">
        <f t="shared" ref="Y100:Y123" si="71">+W100/X100</f>
        <v>#REF!</v>
      </c>
    </row>
    <row r="101" spans="1:25" ht="16.5" customHeight="1">
      <c r="A101" s="60" t="s">
        <v>53</v>
      </c>
      <c r="B101" s="61" t="s">
        <v>54</v>
      </c>
      <c r="C101" s="69" t="e">
        <f t="shared" si="54"/>
        <v>#REF!</v>
      </c>
      <c r="D101" s="69" t="e">
        <f t="shared" si="55"/>
        <v>#REF!</v>
      </c>
      <c r="E101" s="71" t="e">
        <f t="shared" si="56"/>
        <v>#REF!</v>
      </c>
      <c r="F101" s="71"/>
      <c r="G101" s="69" t="e">
        <f t="shared" si="57"/>
        <v>#REF!</v>
      </c>
      <c r="H101" s="69" t="e">
        <f t="shared" si="58"/>
        <v>#REF!</v>
      </c>
      <c r="I101" s="71" t="e">
        <f t="shared" si="59"/>
        <v>#REF!</v>
      </c>
      <c r="J101" s="71"/>
      <c r="K101" s="69" t="e">
        <f t="shared" si="60"/>
        <v>#REF!</v>
      </c>
      <c r="L101" s="69" t="e">
        <f t="shared" si="61"/>
        <v>#REF!</v>
      </c>
      <c r="M101" s="71" t="e">
        <f t="shared" si="62"/>
        <v>#REF!</v>
      </c>
      <c r="N101" s="83"/>
      <c r="O101" s="80" t="e">
        <f t="shared" si="63"/>
        <v>#REF!</v>
      </c>
      <c r="P101" s="70" t="e">
        <f t="shared" si="64"/>
        <v>#REF!</v>
      </c>
      <c r="Q101" s="71" t="e">
        <f t="shared" si="65"/>
        <v>#REF!</v>
      </c>
      <c r="R101" s="71"/>
      <c r="S101" s="70" t="e">
        <f t="shared" si="66"/>
        <v>#REF!</v>
      </c>
      <c r="T101" s="70" t="e">
        <f t="shared" si="67"/>
        <v>#REF!</v>
      </c>
      <c r="U101" s="71" t="e">
        <f t="shared" si="68"/>
        <v>#REF!</v>
      </c>
      <c r="V101" s="71"/>
      <c r="W101" s="70" t="e">
        <f t="shared" si="69"/>
        <v>#REF!</v>
      </c>
      <c r="X101" s="70" t="e">
        <f t="shared" si="70"/>
        <v>#REF!</v>
      </c>
      <c r="Y101" s="71" t="e">
        <f t="shared" si="71"/>
        <v>#REF!</v>
      </c>
    </row>
    <row r="102" spans="1:25" ht="16.5" customHeight="1">
      <c r="A102" s="60" t="s">
        <v>55</v>
      </c>
      <c r="B102" s="61" t="s">
        <v>56</v>
      </c>
      <c r="C102" s="69" t="e">
        <f t="shared" si="54"/>
        <v>#REF!</v>
      </c>
      <c r="D102" s="69" t="e">
        <f t="shared" si="55"/>
        <v>#REF!</v>
      </c>
      <c r="E102" s="71" t="e">
        <f t="shared" si="56"/>
        <v>#REF!</v>
      </c>
      <c r="F102" s="71"/>
      <c r="G102" s="69" t="e">
        <f t="shared" si="57"/>
        <v>#REF!</v>
      </c>
      <c r="H102" s="69" t="e">
        <f t="shared" si="58"/>
        <v>#REF!</v>
      </c>
      <c r="I102" s="71" t="e">
        <f t="shared" si="59"/>
        <v>#REF!</v>
      </c>
      <c r="J102" s="71"/>
      <c r="K102" s="69" t="e">
        <f t="shared" si="60"/>
        <v>#REF!</v>
      </c>
      <c r="L102" s="69" t="e">
        <f t="shared" si="61"/>
        <v>#REF!</v>
      </c>
      <c r="M102" s="71" t="e">
        <f t="shared" si="62"/>
        <v>#REF!</v>
      </c>
      <c r="N102" s="83"/>
      <c r="O102" s="80" t="e">
        <f t="shared" si="63"/>
        <v>#REF!</v>
      </c>
      <c r="P102" s="70" t="e">
        <f t="shared" si="64"/>
        <v>#REF!</v>
      </c>
      <c r="Q102" s="71" t="e">
        <f t="shared" si="65"/>
        <v>#REF!</v>
      </c>
      <c r="R102" s="71"/>
      <c r="S102" s="70" t="e">
        <f t="shared" si="66"/>
        <v>#REF!</v>
      </c>
      <c r="T102" s="70" t="e">
        <f t="shared" si="67"/>
        <v>#REF!</v>
      </c>
      <c r="U102" s="71" t="e">
        <f t="shared" si="68"/>
        <v>#REF!</v>
      </c>
      <c r="V102" s="71"/>
      <c r="W102" s="70" t="e">
        <f t="shared" si="69"/>
        <v>#REF!</v>
      </c>
      <c r="X102" s="70" t="e">
        <f t="shared" si="70"/>
        <v>#REF!</v>
      </c>
      <c r="Y102" s="71" t="e">
        <f t="shared" si="71"/>
        <v>#REF!</v>
      </c>
    </row>
    <row r="103" spans="1:25" ht="16.5" customHeight="1">
      <c r="A103" s="60" t="s">
        <v>67</v>
      </c>
      <c r="B103" s="76" t="s">
        <v>68</v>
      </c>
      <c r="C103" s="69" t="e">
        <f t="shared" si="54"/>
        <v>#REF!</v>
      </c>
      <c r="D103" s="69" t="e">
        <f t="shared" si="55"/>
        <v>#REF!</v>
      </c>
      <c r="E103" s="71" t="e">
        <f t="shared" si="56"/>
        <v>#REF!</v>
      </c>
      <c r="F103" s="71"/>
      <c r="G103" s="69" t="e">
        <f t="shared" si="57"/>
        <v>#REF!</v>
      </c>
      <c r="H103" s="69" t="e">
        <f t="shared" si="58"/>
        <v>#REF!</v>
      </c>
      <c r="I103" s="71" t="e">
        <f t="shared" si="59"/>
        <v>#REF!</v>
      </c>
      <c r="J103" s="71"/>
      <c r="K103" s="69" t="e">
        <f t="shared" si="60"/>
        <v>#REF!</v>
      </c>
      <c r="L103" s="69" t="e">
        <f t="shared" si="61"/>
        <v>#REF!</v>
      </c>
      <c r="M103" s="71" t="e">
        <f t="shared" si="62"/>
        <v>#REF!</v>
      </c>
      <c r="N103" s="83"/>
      <c r="O103" s="80" t="e">
        <f t="shared" si="63"/>
        <v>#REF!</v>
      </c>
      <c r="P103" s="70" t="e">
        <f t="shared" si="64"/>
        <v>#REF!</v>
      </c>
      <c r="Q103" s="71" t="e">
        <f t="shared" si="65"/>
        <v>#REF!</v>
      </c>
      <c r="R103" s="71"/>
      <c r="S103" s="70" t="e">
        <f t="shared" si="66"/>
        <v>#REF!</v>
      </c>
      <c r="T103" s="70" t="e">
        <f t="shared" si="67"/>
        <v>#REF!</v>
      </c>
      <c r="U103" s="71" t="e">
        <f t="shared" si="68"/>
        <v>#REF!</v>
      </c>
      <c r="V103" s="71"/>
      <c r="W103" s="70" t="e">
        <f t="shared" si="69"/>
        <v>#REF!</v>
      </c>
      <c r="X103" s="70" t="e">
        <f t="shared" si="70"/>
        <v>#REF!</v>
      </c>
      <c r="Y103" s="71" t="e">
        <f t="shared" si="71"/>
        <v>#REF!</v>
      </c>
    </row>
    <row r="104" spans="1:25" ht="16.5" customHeight="1">
      <c r="A104" s="60" t="s">
        <v>83</v>
      </c>
      <c r="B104" s="76" t="s">
        <v>390</v>
      </c>
      <c r="C104" s="69" t="e">
        <f t="shared" si="54"/>
        <v>#REF!</v>
      </c>
      <c r="D104" s="69" t="e">
        <f t="shared" si="55"/>
        <v>#REF!</v>
      </c>
      <c r="E104" s="71" t="e">
        <f t="shared" si="56"/>
        <v>#REF!</v>
      </c>
      <c r="F104" s="71"/>
      <c r="G104" s="69" t="e">
        <f t="shared" si="57"/>
        <v>#REF!</v>
      </c>
      <c r="H104" s="69" t="e">
        <f t="shared" si="58"/>
        <v>#REF!</v>
      </c>
      <c r="I104" s="71" t="e">
        <f t="shared" si="59"/>
        <v>#REF!</v>
      </c>
      <c r="J104" s="71"/>
      <c r="K104" s="69" t="e">
        <f t="shared" si="60"/>
        <v>#REF!</v>
      </c>
      <c r="L104" s="69" t="e">
        <f t="shared" si="61"/>
        <v>#REF!</v>
      </c>
      <c r="M104" s="71" t="e">
        <f t="shared" si="62"/>
        <v>#REF!</v>
      </c>
      <c r="N104" s="83"/>
      <c r="O104" s="80" t="e">
        <f t="shared" si="63"/>
        <v>#REF!</v>
      </c>
      <c r="P104" s="70" t="e">
        <f t="shared" si="64"/>
        <v>#REF!</v>
      </c>
      <c r="Q104" s="71" t="e">
        <f t="shared" si="65"/>
        <v>#REF!</v>
      </c>
      <c r="R104" s="71"/>
      <c r="S104" s="70" t="e">
        <f t="shared" si="66"/>
        <v>#REF!</v>
      </c>
      <c r="T104" s="70" t="e">
        <f t="shared" si="67"/>
        <v>#REF!</v>
      </c>
      <c r="U104" s="71" t="e">
        <f t="shared" si="68"/>
        <v>#REF!</v>
      </c>
      <c r="V104" s="71"/>
      <c r="W104" s="70" t="e">
        <f t="shared" si="69"/>
        <v>#REF!</v>
      </c>
      <c r="X104" s="70" t="e">
        <f t="shared" si="70"/>
        <v>#REF!</v>
      </c>
      <c r="Y104" s="71" t="e">
        <f t="shared" si="71"/>
        <v>#REF!</v>
      </c>
    </row>
    <row r="105" spans="1:25" ht="16.5" customHeight="1">
      <c r="A105" s="60" t="s">
        <v>89</v>
      </c>
      <c r="B105" s="61" t="s">
        <v>90</v>
      </c>
      <c r="C105" s="69" t="e">
        <f t="shared" si="54"/>
        <v>#REF!</v>
      </c>
      <c r="D105" s="69" t="e">
        <f t="shared" si="55"/>
        <v>#REF!</v>
      </c>
      <c r="E105" s="71" t="e">
        <f t="shared" si="56"/>
        <v>#REF!</v>
      </c>
      <c r="F105" s="71"/>
      <c r="G105" s="69" t="e">
        <f t="shared" si="57"/>
        <v>#REF!</v>
      </c>
      <c r="H105" s="69" t="e">
        <f t="shared" si="58"/>
        <v>#REF!</v>
      </c>
      <c r="I105" s="71" t="e">
        <f t="shared" si="59"/>
        <v>#REF!</v>
      </c>
      <c r="J105" s="71"/>
      <c r="K105" s="69" t="e">
        <f t="shared" si="60"/>
        <v>#REF!</v>
      </c>
      <c r="L105" s="69" t="e">
        <f t="shared" si="61"/>
        <v>#REF!</v>
      </c>
      <c r="M105" s="71" t="e">
        <f t="shared" si="62"/>
        <v>#REF!</v>
      </c>
      <c r="N105" s="83"/>
      <c r="O105" s="80" t="e">
        <f t="shared" si="63"/>
        <v>#REF!</v>
      </c>
      <c r="P105" s="70" t="e">
        <f t="shared" si="64"/>
        <v>#REF!</v>
      </c>
      <c r="Q105" s="71" t="e">
        <f t="shared" si="65"/>
        <v>#REF!</v>
      </c>
      <c r="R105" s="71"/>
      <c r="S105" s="70" t="e">
        <f t="shared" si="66"/>
        <v>#REF!</v>
      </c>
      <c r="T105" s="70" t="e">
        <f t="shared" si="67"/>
        <v>#REF!</v>
      </c>
      <c r="U105" s="71" t="e">
        <f t="shared" si="68"/>
        <v>#REF!</v>
      </c>
      <c r="V105" s="71"/>
      <c r="W105" s="70" t="e">
        <f t="shared" si="69"/>
        <v>#REF!</v>
      </c>
      <c r="X105" s="70" t="e">
        <f t="shared" si="70"/>
        <v>#REF!</v>
      </c>
      <c r="Y105" s="71" t="e">
        <f t="shared" si="71"/>
        <v>#REF!</v>
      </c>
    </row>
    <row r="106" spans="1:25" ht="16.5" customHeight="1">
      <c r="A106" s="60" t="s">
        <v>91</v>
      </c>
      <c r="B106" s="61" t="s">
        <v>92</v>
      </c>
      <c r="C106" s="69" t="e">
        <f t="shared" si="54"/>
        <v>#REF!</v>
      </c>
      <c r="D106" s="69" t="e">
        <f t="shared" si="55"/>
        <v>#REF!</v>
      </c>
      <c r="E106" s="71" t="e">
        <f t="shared" si="56"/>
        <v>#REF!</v>
      </c>
      <c r="F106" s="71"/>
      <c r="G106" s="69" t="e">
        <f t="shared" si="57"/>
        <v>#REF!</v>
      </c>
      <c r="H106" s="69" t="e">
        <f t="shared" si="58"/>
        <v>#REF!</v>
      </c>
      <c r="I106" s="71" t="e">
        <f t="shared" si="59"/>
        <v>#REF!</v>
      </c>
      <c r="J106" s="71"/>
      <c r="K106" s="69" t="e">
        <f t="shared" si="60"/>
        <v>#REF!</v>
      </c>
      <c r="L106" s="69" t="e">
        <f t="shared" si="61"/>
        <v>#REF!</v>
      </c>
      <c r="M106" s="71" t="e">
        <f t="shared" si="62"/>
        <v>#REF!</v>
      </c>
      <c r="N106" s="83"/>
      <c r="O106" s="80" t="e">
        <f t="shared" si="63"/>
        <v>#REF!</v>
      </c>
      <c r="P106" s="70" t="e">
        <f t="shared" si="64"/>
        <v>#REF!</v>
      </c>
      <c r="Q106" s="71" t="e">
        <f t="shared" si="65"/>
        <v>#REF!</v>
      </c>
      <c r="R106" s="71"/>
      <c r="S106" s="70" t="e">
        <f t="shared" si="66"/>
        <v>#REF!</v>
      </c>
      <c r="T106" s="70" t="e">
        <f t="shared" si="67"/>
        <v>#REF!</v>
      </c>
      <c r="U106" s="71" t="e">
        <f t="shared" si="68"/>
        <v>#REF!</v>
      </c>
      <c r="V106" s="71"/>
      <c r="W106" s="70" t="e">
        <f t="shared" si="69"/>
        <v>#REF!</v>
      </c>
      <c r="X106" s="70" t="e">
        <f t="shared" si="70"/>
        <v>#REF!</v>
      </c>
      <c r="Y106" s="71" t="e">
        <f t="shared" si="71"/>
        <v>#REF!</v>
      </c>
    </row>
    <row r="107" spans="1:25" ht="16.5" customHeight="1">
      <c r="A107" s="60" t="s">
        <v>107</v>
      </c>
      <c r="B107" s="61" t="s">
        <v>108</v>
      </c>
      <c r="C107" s="69" t="e">
        <f t="shared" si="54"/>
        <v>#REF!</v>
      </c>
      <c r="D107" s="69" t="e">
        <f t="shared" si="55"/>
        <v>#REF!</v>
      </c>
      <c r="E107" s="71" t="e">
        <f t="shared" si="56"/>
        <v>#REF!</v>
      </c>
      <c r="F107" s="71"/>
      <c r="G107" s="69" t="e">
        <f t="shared" si="57"/>
        <v>#REF!</v>
      </c>
      <c r="H107" s="69" t="e">
        <f t="shared" si="58"/>
        <v>#REF!</v>
      </c>
      <c r="I107" s="71" t="e">
        <f t="shared" si="59"/>
        <v>#REF!</v>
      </c>
      <c r="J107" s="71"/>
      <c r="K107" s="69" t="e">
        <f t="shared" si="60"/>
        <v>#REF!</v>
      </c>
      <c r="L107" s="69" t="e">
        <f t="shared" si="61"/>
        <v>#REF!</v>
      </c>
      <c r="M107" s="71" t="e">
        <f t="shared" si="62"/>
        <v>#REF!</v>
      </c>
      <c r="N107" s="83"/>
      <c r="O107" s="80" t="e">
        <f t="shared" si="63"/>
        <v>#REF!</v>
      </c>
      <c r="P107" s="70" t="e">
        <f t="shared" si="64"/>
        <v>#REF!</v>
      </c>
      <c r="Q107" s="71" t="e">
        <f t="shared" si="65"/>
        <v>#REF!</v>
      </c>
      <c r="R107" s="71"/>
      <c r="S107" s="70" t="e">
        <f t="shared" si="66"/>
        <v>#REF!</v>
      </c>
      <c r="T107" s="70" t="e">
        <f t="shared" si="67"/>
        <v>#REF!</v>
      </c>
      <c r="U107" s="71" t="e">
        <f t="shared" si="68"/>
        <v>#REF!</v>
      </c>
      <c r="V107" s="71"/>
      <c r="W107" s="70" t="e">
        <f t="shared" si="69"/>
        <v>#REF!</v>
      </c>
      <c r="X107" s="70" t="e">
        <f t="shared" si="70"/>
        <v>#REF!</v>
      </c>
      <c r="Y107" s="71" t="e">
        <f t="shared" si="71"/>
        <v>#REF!</v>
      </c>
    </row>
    <row r="108" spans="1:25" ht="16.5" customHeight="1">
      <c r="A108" s="60" t="s">
        <v>117</v>
      </c>
      <c r="B108" s="76" t="s">
        <v>118</v>
      </c>
      <c r="C108" s="69" t="e">
        <f t="shared" si="54"/>
        <v>#REF!</v>
      </c>
      <c r="D108" s="69" t="e">
        <f t="shared" si="55"/>
        <v>#REF!</v>
      </c>
      <c r="E108" s="71" t="e">
        <f t="shared" si="56"/>
        <v>#REF!</v>
      </c>
      <c r="F108" s="71"/>
      <c r="G108" s="69" t="e">
        <f t="shared" si="57"/>
        <v>#REF!</v>
      </c>
      <c r="H108" s="69" t="e">
        <f t="shared" si="58"/>
        <v>#REF!</v>
      </c>
      <c r="I108" s="71" t="e">
        <f t="shared" si="59"/>
        <v>#REF!</v>
      </c>
      <c r="J108" s="71"/>
      <c r="K108" s="69" t="e">
        <f t="shared" si="60"/>
        <v>#REF!</v>
      </c>
      <c r="L108" s="69" t="e">
        <f t="shared" si="61"/>
        <v>#REF!</v>
      </c>
      <c r="M108" s="71" t="e">
        <f t="shared" si="62"/>
        <v>#REF!</v>
      </c>
      <c r="N108" s="83"/>
      <c r="O108" s="80" t="e">
        <f t="shared" si="63"/>
        <v>#REF!</v>
      </c>
      <c r="P108" s="70" t="e">
        <f t="shared" si="64"/>
        <v>#REF!</v>
      </c>
      <c r="Q108" s="71" t="e">
        <f t="shared" si="65"/>
        <v>#REF!</v>
      </c>
      <c r="R108" s="71"/>
      <c r="S108" s="70" t="e">
        <f t="shared" si="66"/>
        <v>#REF!</v>
      </c>
      <c r="T108" s="70" t="e">
        <f t="shared" si="67"/>
        <v>#REF!</v>
      </c>
      <c r="U108" s="71" t="e">
        <f t="shared" si="68"/>
        <v>#REF!</v>
      </c>
      <c r="V108" s="71"/>
      <c r="W108" s="70" t="e">
        <f t="shared" si="69"/>
        <v>#REF!</v>
      </c>
      <c r="X108" s="70" t="e">
        <f t="shared" si="70"/>
        <v>#REF!</v>
      </c>
      <c r="Y108" s="71" t="e">
        <f t="shared" si="71"/>
        <v>#REF!</v>
      </c>
    </row>
    <row r="109" spans="1:25" ht="16.5" customHeight="1">
      <c r="A109" s="60" t="s">
        <v>139</v>
      </c>
      <c r="B109" s="61" t="s">
        <v>140</v>
      </c>
      <c r="C109" s="69" t="e">
        <f t="shared" si="54"/>
        <v>#REF!</v>
      </c>
      <c r="D109" s="69" t="e">
        <f t="shared" si="55"/>
        <v>#REF!</v>
      </c>
      <c r="E109" s="71" t="e">
        <f t="shared" si="56"/>
        <v>#REF!</v>
      </c>
      <c r="F109" s="71"/>
      <c r="G109" s="69" t="e">
        <f t="shared" si="57"/>
        <v>#REF!</v>
      </c>
      <c r="H109" s="69" t="e">
        <f t="shared" si="58"/>
        <v>#REF!</v>
      </c>
      <c r="I109" s="71" t="e">
        <f t="shared" si="59"/>
        <v>#REF!</v>
      </c>
      <c r="J109" s="71"/>
      <c r="K109" s="69" t="e">
        <f t="shared" si="60"/>
        <v>#REF!</v>
      </c>
      <c r="L109" s="69" t="e">
        <f t="shared" si="61"/>
        <v>#REF!</v>
      </c>
      <c r="M109" s="71" t="e">
        <f t="shared" si="62"/>
        <v>#REF!</v>
      </c>
      <c r="N109" s="83"/>
      <c r="O109" s="80" t="e">
        <f t="shared" si="63"/>
        <v>#REF!</v>
      </c>
      <c r="P109" s="70" t="e">
        <f t="shared" si="64"/>
        <v>#REF!</v>
      </c>
      <c r="Q109" s="71" t="e">
        <f t="shared" si="65"/>
        <v>#REF!</v>
      </c>
      <c r="R109" s="71"/>
      <c r="S109" s="70" t="e">
        <f t="shared" si="66"/>
        <v>#REF!</v>
      </c>
      <c r="T109" s="70" t="e">
        <f t="shared" si="67"/>
        <v>#REF!</v>
      </c>
      <c r="U109" s="71" t="e">
        <f t="shared" si="68"/>
        <v>#REF!</v>
      </c>
      <c r="V109" s="71"/>
      <c r="W109" s="70" t="e">
        <f t="shared" si="69"/>
        <v>#REF!</v>
      </c>
      <c r="X109" s="70" t="e">
        <f t="shared" si="70"/>
        <v>#REF!</v>
      </c>
      <c r="Y109" s="71" t="e">
        <f t="shared" si="71"/>
        <v>#REF!</v>
      </c>
    </row>
    <row r="110" spans="1:25" ht="16.5" customHeight="1">
      <c r="A110" s="60" t="s">
        <v>143</v>
      </c>
      <c r="B110" s="76" t="s">
        <v>144</v>
      </c>
      <c r="C110" s="69" t="e">
        <f t="shared" si="54"/>
        <v>#REF!</v>
      </c>
      <c r="D110" s="69" t="e">
        <f t="shared" si="55"/>
        <v>#REF!</v>
      </c>
      <c r="E110" s="71" t="e">
        <f t="shared" si="56"/>
        <v>#REF!</v>
      </c>
      <c r="F110" s="71"/>
      <c r="G110" s="69" t="e">
        <f t="shared" si="57"/>
        <v>#REF!</v>
      </c>
      <c r="H110" s="69" t="e">
        <f t="shared" si="58"/>
        <v>#REF!</v>
      </c>
      <c r="I110" s="71" t="e">
        <f t="shared" si="59"/>
        <v>#REF!</v>
      </c>
      <c r="J110" s="71"/>
      <c r="K110" s="69" t="e">
        <f t="shared" si="60"/>
        <v>#REF!</v>
      </c>
      <c r="L110" s="69" t="e">
        <f t="shared" si="61"/>
        <v>#REF!</v>
      </c>
      <c r="M110" s="71" t="e">
        <f t="shared" si="62"/>
        <v>#REF!</v>
      </c>
      <c r="N110" s="83"/>
      <c r="O110" s="80" t="e">
        <f t="shared" si="63"/>
        <v>#REF!</v>
      </c>
      <c r="P110" s="70" t="e">
        <f t="shared" si="64"/>
        <v>#REF!</v>
      </c>
      <c r="Q110" s="71" t="e">
        <f t="shared" si="65"/>
        <v>#REF!</v>
      </c>
      <c r="R110" s="71"/>
      <c r="S110" s="70" t="e">
        <f t="shared" si="66"/>
        <v>#REF!</v>
      </c>
      <c r="T110" s="70" t="e">
        <f t="shared" si="67"/>
        <v>#REF!</v>
      </c>
      <c r="U110" s="71" t="e">
        <f t="shared" si="68"/>
        <v>#REF!</v>
      </c>
      <c r="V110" s="71"/>
      <c r="W110" s="70" t="e">
        <f t="shared" si="69"/>
        <v>#REF!</v>
      </c>
      <c r="X110" s="70" t="e">
        <f t="shared" si="70"/>
        <v>#REF!</v>
      </c>
      <c r="Y110" s="71" t="e">
        <f t="shared" si="71"/>
        <v>#REF!</v>
      </c>
    </row>
    <row r="111" spans="1:25" ht="16.5" customHeight="1">
      <c r="A111" s="60" t="s">
        <v>145</v>
      </c>
      <c r="B111" s="61" t="s">
        <v>146</v>
      </c>
      <c r="C111" s="69" t="e">
        <f t="shared" si="54"/>
        <v>#REF!</v>
      </c>
      <c r="D111" s="69" t="e">
        <f t="shared" si="55"/>
        <v>#REF!</v>
      </c>
      <c r="E111" s="71" t="e">
        <f t="shared" si="56"/>
        <v>#REF!</v>
      </c>
      <c r="F111" s="71"/>
      <c r="G111" s="69" t="e">
        <f t="shared" si="57"/>
        <v>#REF!</v>
      </c>
      <c r="H111" s="69" t="e">
        <f t="shared" si="58"/>
        <v>#REF!</v>
      </c>
      <c r="I111" s="71" t="e">
        <f t="shared" si="59"/>
        <v>#REF!</v>
      </c>
      <c r="J111" s="71"/>
      <c r="K111" s="69" t="e">
        <f t="shared" si="60"/>
        <v>#REF!</v>
      </c>
      <c r="L111" s="69" t="e">
        <f t="shared" si="61"/>
        <v>#REF!</v>
      </c>
      <c r="M111" s="71" t="e">
        <f t="shared" si="62"/>
        <v>#REF!</v>
      </c>
      <c r="N111" s="83"/>
      <c r="O111" s="80" t="e">
        <f t="shared" si="63"/>
        <v>#REF!</v>
      </c>
      <c r="P111" s="70" t="e">
        <f t="shared" si="64"/>
        <v>#REF!</v>
      </c>
      <c r="Q111" s="71" t="e">
        <f t="shared" si="65"/>
        <v>#REF!</v>
      </c>
      <c r="R111" s="71"/>
      <c r="S111" s="70" t="e">
        <f t="shared" si="66"/>
        <v>#REF!</v>
      </c>
      <c r="T111" s="70" t="e">
        <f t="shared" si="67"/>
        <v>#REF!</v>
      </c>
      <c r="U111" s="71" t="e">
        <f t="shared" si="68"/>
        <v>#REF!</v>
      </c>
      <c r="V111" s="71"/>
      <c r="W111" s="70" t="e">
        <f t="shared" si="69"/>
        <v>#REF!</v>
      </c>
      <c r="X111" s="70" t="e">
        <f t="shared" si="70"/>
        <v>#REF!</v>
      </c>
      <c r="Y111" s="71" t="e">
        <f t="shared" si="71"/>
        <v>#REF!</v>
      </c>
    </row>
    <row r="112" spans="1:25" ht="16.5" customHeight="1">
      <c r="A112" s="60" t="s">
        <v>159</v>
      </c>
      <c r="B112" s="61" t="s">
        <v>160</v>
      </c>
      <c r="C112" s="69" t="e">
        <f t="shared" si="54"/>
        <v>#REF!</v>
      </c>
      <c r="D112" s="69" t="e">
        <f t="shared" si="55"/>
        <v>#REF!</v>
      </c>
      <c r="E112" s="71" t="e">
        <f t="shared" si="56"/>
        <v>#REF!</v>
      </c>
      <c r="F112" s="71"/>
      <c r="G112" s="69" t="e">
        <f t="shared" si="57"/>
        <v>#REF!</v>
      </c>
      <c r="H112" s="69" t="e">
        <f t="shared" si="58"/>
        <v>#REF!</v>
      </c>
      <c r="I112" s="71" t="e">
        <f t="shared" si="59"/>
        <v>#REF!</v>
      </c>
      <c r="J112" s="71"/>
      <c r="K112" s="69" t="e">
        <f t="shared" si="60"/>
        <v>#REF!</v>
      </c>
      <c r="L112" s="69" t="e">
        <f t="shared" si="61"/>
        <v>#REF!</v>
      </c>
      <c r="M112" s="71" t="e">
        <f t="shared" si="62"/>
        <v>#REF!</v>
      </c>
      <c r="N112" s="83"/>
      <c r="O112" s="80" t="e">
        <f t="shared" si="63"/>
        <v>#REF!</v>
      </c>
      <c r="P112" s="70" t="e">
        <f t="shared" si="64"/>
        <v>#REF!</v>
      </c>
      <c r="Q112" s="71" t="e">
        <f t="shared" si="65"/>
        <v>#REF!</v>
      </c>
      <c r="R112" s="71"/>
      <c r="S112" s="70" t="e">
        <f t="shared" si="66"/>
        <v>#REF!</v>
      </c>
      <c r="T112" s="70" t="e">
        <f t="shared" si="67"/>
        <v>#REF!</v>
      </c>
      <c r="U112" s="71" t="e">
        <f t="shared" si="68"/>
        <v>#REF!</v>
      </c>
      <c r="V112" s="71"/>
      <c r="W112" s="70" t="e">
        <f t="shared" si="69"/>
        <v>#REF!</v>
      </c>
      <c r="X112" s="70" t="e">
        <f t="shared" si="70"/>
        <v>#REF!</v>
      </c>
      <c r="Y112" s="71" t="e">
        <f t="shared" si="71"/>
        <v>#REF!</v>
      </c>
    </row>
    <row r="113" spans="1:25" ht="16.5" customHeight="1">
      <c r="A113" s="60" t="s">
        <v>161</v>
      </c>
      <c r="B113" s="61" t="s">
        <v>162</v>
      </c>
      <c r="C113" s="69" t="e">
        <f t="shared" si="54"/>
        <v>#REF!</v>
      </c>
      <c r="D113" s="69" t="e">
        <f t="shared" si="55"/>
        <v>#REF!</v>
      </c>
      <c r="E113" s="71" t="e">
        <f t="shared" si="56"/>
        <v>#REF!</v>
      </c>
      <c r="F113" s="71"/>
      <c r="G113" s="69" t="e">
        <f t="shared" si="57"/>
        <v>#REF!</v>
      </c>
      <c r="H113" s="69" t="e">
        <f t="shared" si="58"/>
        <v>#REF!</v>
      </c>
      <c r="I113" s="71" t="e">
        <f t="shared" si="59"/>
        <v>#REF!</v>
      </c>
      <c r="J113" s="71"/>
      <c r="K113" s="69" t="e">
        <f t="shared" si="60"/>
        <v>#REF!</v>
      </c>
      <c r="L113" s="69" t="e">
        <f t="shared" si="61"/>
        <v>#REF!</v>
      </c>
      <c r="M113" s="71" t="e">
        <f t="shared" si="62"/>
        <v>#REF!</v>
      </c>
      <c r="N113" s="83"/>
      <c r="O113" s="80" t="e">
        <f t="shared" si="63"/>
        <v>#REF!</v>
      </c>
      <c r="P113" s="70" t="e">
        <f t="shared" si="64"/>
        <v>#REF!</v>
      </c>
      <c r="Q113" s="71" t="e">
        <f t="shared" si="65"/>
        <v>#REF!</v>
      </c>
      <c r="R113" s="71"/>
      <c r="S113" s="70" t="e">
        <f t="shared" si="66"/>
        <v>#REF!</v>
      </c>
      <c r="T113" s="70" t="e">
        <f t="shared" si="67"/>
        <v>#REF!</v>
      </c>
      <c r="U113" s="71" t="e">
        <f t="shared" si="68"/>
        <v>#REF!</v>
      </c>
      <c r="V113" s="71"/>
      <c r="W113" s="70" t="e">
        <f t="shared" si="69"/>
        <v>#REF!</v>
      </c>
      <c r="X113" s="70" t="e">
        <f t="shared" si="70"/>
        <v>#REF!</v>
      </c>
      <c r="Y113" s="71" t="e">
        <f t="shared" si="71"/>
        <v>#REF!</v>
      </c>
    </row>
    <row r="114" spans="1:25" ht="16.5" customHeight="1">
      <c r="A114" s="60" t="s">
        <v>167</v>
      </c>
      <c r="B114" s="76" t="s">
        <v>168</v>
      </c>
      <c r="C114" s="69" t="e">
        <f t="shared" si="54"/>
        <v>#REF!</v>
      </c>
      <c r="D114" s="69" t="e">
        <f t="shared" si="55"/>
        <v>#REF!</v>
      </c>
      <c r="E114" s="71" t="e">
        <f t="shared" si="56"/>
        <v>#REF!</v>
      </c>
      <c r="F114" s="71"/>
      <c r="G114" s="69" t="e">
        <f t="shared" si="57"/>
        <v>#REF!</v>
      </c>
      <c r="H114" s="69" t="e">
        <f t="shared" si="58"/>
        <v>#REF!</v>
      </c>
      <c r="I114" s="71" t="e">
        <f t="shared" si="59"/>
        <v>#REF!</v>
      </c>
      <c r="J114" s="71"/>
      <c r="K114" s="69" t="e">
        <f t="shared" si="60"/>
        <v>#REF!</v>
      </c>
      <c r="L114" s="69" t="e">
        <f t="shared" si="61"/>
        <v>#REF!</v>
      </c>
      <c r="M114" s="71" t="e">
        <f t="shared" si="62"/>
        <v>#REF!</v>
      </c>
      <c r="N114" s="83"/>
      <c r="O114" s="80" t="e">
        <f t="shared" si="63"/>
        <v>#REF!</v>
      </c>
      <c r="P114" s="70" t="e">
        <f t="shared" si="64"/>
        <v>#REF!</v>
      </c>
      <c r="Q114" s="71" t="e">
        <f t="shared" si="65"/>
        <v>#REF!</v>
      </c>
      <c r="R114" s="71"/>
      <c r="S114" s="70" t="e">
        <f t="shared" si="66"/>
        <v>#REF!</v>
      </c>
      <c r="T114" s="70" t="e">
        <f t="shared" si="67"/>
        <v>#REF!</v>
      </c>
      <c r="U114" s="71" t="e">
        <f t="shared" si="68"/>
        <v>#REF!</v>
      </c>
      <c r="V114" s="71"/>
      <c r="W114" s="70" t="e">
        <f t="shared" si="69"/>
        <v>#REF!</v>
      </c>
      <c r="X114" s="70" t="e">
        <f t="shared" si="70"/>
        <v>#REF!</v>
      </c>
      <c r="Y114" s="71" t="e">
        <f t="shared" si="71"/>
        <v>#REF!</v>
      </c>
    </row>
    <row r="115" spans="1:25" ht="16.5" customHeight="1">
      <c r="A115" s="60" t="s">
        <v>177</v>
      </c>
      <c r="B115" s="76" t="s">
        <v>178</v>
      </c>
      <c r="C115" s="69" t="e">
        <f t="shared" si="54"/>
        <v>#REF!</v>
      </c>
      <c r="D115" s="69" t="e">
        <f t="shared" si="55"/>
        <v>#REF!</v>
      </c>
      <c r="E115" s="71" t="e">
        <f t="shared" si="56"/>
        <v>#REF!</v>
      </c>
      <c r="F115" s="71"/>
      <c r="G115" s="69" t="e">
        <f t="shared" si="57"/>
        <v>#REF!</v>
      </c>
      <c r="H115" s="69" t="e">
        <f t="shared" si="58"/>
        <v>#REF!</v>
      </c>
      <c r="I115" s="71" t="e">
        <f t="shared" si="59"/>
        <v>#REF!</v>
      </c>
      <c r="J115" s="71"/>
      <c r="K115" s="69" t="e">
        <f t="shared" si="60"/>
        <v>#REF!</v>
      </c>
      <c r="L115" s="69" t="e">
        <f t="shared" si="61"/>
        <v>#REF!</v>
      </c>
      <c r="M115" s="71" t="e">
        <f t="shared" si="62"/>
        <v>#REF!</v>
      </c>
      <c r="N115" s="83"/>
      <c r="O115" s="80" t="e">
        <f t="shared" si="63"/>
        <v>#REF!</v>
      </c>
      <c r="P115" s="70" t="e">
        <f t="shared" si="64"/>
        <v>#REF!</v>
      </c>
      <c r="Q115" s="71" t="e">
        <f t="shared" si="65"/>
        <v>#REF!</v>
      </c>
      <c r="R115" s="71"/>
      <c r="S115" s="70" t="e">
        <f t="shared" si="66"/>
        <v>#REF!</v>
      </c>
      <c r="T115" s="70" t="e">
        <f t="shared" si="67"/>
        <v>#REF!</v>
      </c>
      <c r="U115" s="71" t="e">
        <f t="shared" si="68"/>
        <v>#REF!</v>
      </c>
      <c r="V115" s="71"/>
      <c r="W115" s="70" t="e">
        <f t="shared" si="69"/>
        <v>#REF!</v>
      </c>
      <c r="X115" s="70" t="e">
        <f t="shared" si="70"/>
        <v>#REF!</v>
      </c>
      <c r="Y115" s="71" t="e">
        <f t="shared" si="71"/>
        <v>#REF!</v>
      </c>
    </row>
    <row r="116" spans="1:25" ht="16.5" customHeight="1">
      <c r="A116" s="60" t="s">
        <v>181</v>
      </c>
      <c r="B116" s="61" t="s">
        <v>182</v>
      </c>
      <c r="C116" s="69" t="e">
        <f t="shared" si="54"/>
        <v>#REF!</v>
      </c>
      <c r="D116" s="69" t="e">
        <f t="shared" si="55"/>
        <v>#REF!</v>
      </c>
      <c r="E116" s="71" t="e">
        <f t="shared" si="56"/>
        <v>#REF!</v>
      </c>
      <c r="F116" s="71"/>
      <c r="G116" s="69" t="e">
        <f t="shared" si="57"/>
        <v>#REF!</v>
      </c>
      <c r="H116" s="69" t="e">
        <f t="shared" si="58"/>
        <v>#REF!</v>
      </c>
      <c r="I116" s="71" t="e">
        <f t="shared" si="59"/>
        <v>#REF!</v>
      </c>
      <c r="J116" s="71"/>
      <c r="K116" s="69" t="e">
        <f t="shared" si="60"/>
        <v>#REF!</v>
      </c>
      <c r="L116" s="69" t="e">
        <f t="shared" si="61"/>
        <v>#REF!</v>
      </c>
      <c r="M116" s="71" t="e">
        <f t="shared" si="62"/>
        <v>#REF!</v>
      </c>
      <c r="N116" s="83"/>
      <c r="O116" s="80" t="e">
        <f t="shared" si="63"/>
        <v>#REF!</v>
      </c>
      <c r="P116" s="70" t="e">
        <f t="shared" si="64"/>
        <v>#REF!</v>
      </c>
      <c r="Q116" s="71" t="e">
        <f t="shared" si="65"/>
        <v>#REF!</v>
      </c>
      <c r="R116" s="71"/>
      <c r="S116" s="70" t="e">
        <f t="shared" si="66"/>
        <v>#REF!</v>
      </c>
      <c r="T116" s="70" t="e">
        <f t="shared" si="67"/>
        <v>#REF!</v>
      </c>
      <c r="U116" s="71" t="e">
        <f t="shared" si="68"/>
        <v>#REF!</v>
      </c>
      <c r="V116" s="71"/>
      <c r="W116" s="70" t="e">
        <f t="shared" si="69"/>
        <v>#REF!</v>
      </c>
      <c r="X116" s="70" t="e">
        <f t="shared" si="70"/>
        <v>#REF!</v>
      </c>
      <c r="Y116" s="71" t="e">
        <f t="shared" si="71"/>
        <v>#REF!</v>
      </c>
    </row>
    <row r="117" spans="1:25" ht="16.5" customHeight="1">
      <c r="A117" s="60" t="s">
        <v>193</v>
      </c>
      <c r="B117" s="61" t="s">
        <v>194</v>
      </c>
      <c r="C117" s="69" t="e">
        <f t="shared" si="54"/>
        <v>#REF!</v>
      </c>
      <c r="D117" s="69" t="e">
        <f t="shared" si="55"/>
        <v>#REF!</v>
      </c>
      <c r="E117" s="71" t="e">
        <f t="shared" si="56"/>
        <v>#REF!</v>
      </c>
      <c r="F117" s="71"/>
      <c r="G117" s="69" t="e">
        <f t="shared" si="57"/>
        <v>#REF!</v>
      </c>
      <c r="H117" s="69" t="e">
        <f t="shared" si="58"/>
        <v>#REF!</v>
      </c>
      <c r="I117" s="71" t="e">
        <f t="shared" si="59"/>
        <v>#REF!</v>
      </c>
      <c r="J117" s="71"/>
      <c r="K117" s="69" t="e">
        <f t="shared" si="60"/>
        <v>#REF!</v>
      </c>
      <c r="L117" s="69" t="e">
        <f t="shared" si="61"/>
        <v>#REF!</v>
      </c>
      <c r="M117" s="71" t="e">
        <f t="shared" si="62"/>
        <v>#REF!</v>
      </c>
      <c r="N117" s="83"/>
      <c r="O117" s="80" t="e">
        <f t="shared" si="63"/>
        <v>#REF!</v>
      </c>
      <c r="P117" s="70" t="e">
        <f t="shared" si="64"/>
        <v>#REF!</v>
      </c>
      <c r="Q117" s="71" t="e">
        <f t="shared" si="65"/>
        <v>#REF!</v>
      </c>
      <c r="R117" s="71"/>
      <c r="S117" s="70" t="e">
        <f t="shared" si="66"/>
        <v>#REF!</v>
      </c>
      <c r="T117" s="70" t="e">
        <f t="shared" si="67"/>
        <v>#REF!</v>
      </c>
      <c r="U117" s="71" t="e">
        <f t="shared" si="68"/>
        <v>#REF!</v>
      </c>
      <c r="V117" s="71"/>
      <c r="W117" s="70" t="e">
        <f t="shared" si="69"/>
        <v>#REF!</v>
      </c>
      <c r="X117" s="70" t="e">
        <f t="shared" si="70"/>
        <v>#REF!</v>
      </c>
      <c r="Y117" s="71" t="e">
        <f t="shared" si="71"/>
        <v>#REF!</v>
      </c>
    </row>
    <row r="118" spans="1:25" ht="16.5" customHeight="1">
      <c r="A118" s="60" t="s">
        <v>197</v>
      </c>
      <c r="B118" s="76" t="s">
        <v>391</v>
      </c>
      <c r="C118" s="69" t="e">
        <f t="shared" si="54"/>
        <v>#REF!</v>
      </c>
      <c r="D118" s="69" t="e">
        <f t="shared" si="55"/>
        <v>#REF!</v>
      </c>
      <c r="E118" s="71" t="e">
        <f t="shared" si="56"/>
        <v>#REF!</v>
      </c>
      <c r="F118" s="71"/>
      <c r="G118" s="69" t="e">
        <f t="shared" si="57"/>
        <v>#REF!</v>
      </c>
      <c r="H118" s="69" t="e">
        <f t="shared" si="58"/>
        <v>#REF!</v>
      </c>
      <c r="I118" s="71" t="e">
        <f t="shared" si="59"/>
        <v>#REF!</v>
      </c>
      <c r="J118" s="71"/>
      <c r="K118" s="69" t="e">
        <f t="shared" si="60"/>
        <v>#REF!</v>
      </c>
      <c r="L118" s="69" t="e">
        <f t="shared" si="61"/>
        <v>#REF!</v>
      </c>
      <c r="M118" s="71" t="e">
        <f t="shared" si="62"/>
        <v>#REF!</v>
      </c>
      <c r="N118" s="83"/>
      <c r="O118" s="80" t="e">
        <f t="shared" si="63"/>
        <v>#REF!</v>
      </c>
      <c r="P118" s="70" t="e">
        <f t="shared" si="64"/>
        <v>#REF!</v>
      </c>
      <c r="Q118" s="71" t="e">
        <f t="shared" si="65"/>
        <v>#REF!</v>
      </c>
      <c r="R118" s="71"/>
      <c r="S118" s="70" t="e">
        <f t="shared" si="66"/>
        <v>#REF!</v>
      </c>
      <c r="T118" s="70" t="e">
        <f t="shared" si="67"/>
        <v>#REF!</v>
      </c>
      <c r="U118" s="71" t="e">
        <f t="shared" si="68"/>
        <v>#REF!</v>
      </c>
      <c r="V118" s="71"/>
      <c r="W118" s="70" t="e">
        <f t="shared" si="69"/>
        <v>#REF!</v>
      </c>
      <c r="X118" s="70" t="e">
        <f t="shared" si="70"/>
        <v>#REF!</v>
      </c>
      <c r="Y118" s="71" t="e">
        <f t="shared" si="71"/>
        <v>#REF!</v>
      </c>
    </row>
    <row r="119" spans="1:25" ht="16.5" customHeight="1">
      <c r="A119" s="60" t="s">
        <v>201</v>
      </c>
      <c r="B119" s="76" t="s">
        <v>392</v>
      </c>
      <c r="C119" s="69" t="e">
        <f t="shared" si="54"/>
        <v>#REF!</v>
      </c>
      <c r="D119" s="69" t="e">
        <f t="shared" si="55"/>
        <v>#REF!</v>
      </c>
      <c r="E119" s="71" t="e">
        <f t="shared" si="56"/>
        <v>#REF!</v>
      </c>
      <c r="F119" s="71"/>
      <c r="G119" s="69" t="e">
        <f t="shared" si="57"/>
        <v>#REF!</v>
      </c>
      <c r="H119" s="69" t="e">
        <f t="shared" si="58"/>
        <v>#REF!</v>
      </c>
      <c r="I119" s="71" t="e">
        <f t="shared" si="59"/>
        <v>#REF!</v>
      </c>
      <c r="J119" s="71"/>
      <c r="K119" s="69" t="e">
        <f t="shared" si="60"/>
        <v>#REF!</v>
      </c>
      <c r="L119" s="69" t="e">
        <f t="shared" si="61"/>
        <v>#REF!</v>
      </c>
      <c r="M119" s="71" t="e">
        <f t="shared" si="62"/>
        <v>#REF!</v>
      </c>
      <c r="N119" s="83"/>
      <c r="O119" s="80" t="e">
        <f t="shared" si="63"/>
        <v>#REF!</v>
      </c>
      <c r="P119" s="70" t="e">
        <f t="shared" si="64"/>
        <v>#REF!</v>
      </c>
      <c r="Q119" s="71" t="e">
        <f t="shared" si="65"/>
        <v>#REF!</v>
      </c>
      <c r="R119" s="71"/>
      <c r="S119" s="70" t="e">
        <f t="shared" si="66"/>
        <v>#REF!</v>
      </c>
      <c r="T119" s="70" t="e">
        <f t="shared" si="67"/>
        <v>#REF!</v>
      </c>
      <c r="U119" s="71" t="e">
        <f t="shared" si="68"/>
        <v>#REF!</v>
      </c>
      <c r="V119" s="71"/>
      <c r="W119" s="70" t="e">
        <f t="shared" si="69"/>
        <v>#REF!</v>
      </c>
      <c r="X119" s="70" t="e">
        <f t="shared" si="70"/>
        <v>#REF!</v>
      </c>
      <c r="Y119" s="71" t="e">
        <f t="shared" si="71"/>
        <v>#REF!</v>
      </c>
    </row>
    <row r="120" spans="1:25" ht="16.5" customHeight="1">
      <c r="A120" s="60" t="s">
        <v>223</v>
      </c>
      <c r="B120" s="61" t="s">
        <v>224</v>
      </c>
      <c r="C120" s="69" t="e">
        <f t="shared" si="54"/>
        <v>#REF!</v>
      </c>
      <c r="D120" s="69" t="e">
        <f t="shared" si="55"/>
        <v>#REF!</v>
      </c>
      <c r="E120" s="71" t="e">
        <f t="shared" si="56"/>
        <v>#REF!</v>
      </c>
      <c r="F120" s="71"/>
      <c r="G120" s="69" t="e">
        <f t="shared" si="57"/>
        <v>#REF!</v>
      </c>
      <c r="H120" s="69" t="e">
        <f t="shared" si="58"/>
        <v>#REF!</v>
      </c>
      <c r="I120" s="71" t="e">
        <f t="shared" si="59"/>
        <v>#REF!</v>
      </c>
      <c r="J120" s="71"/>
      <c r="K120" s="69" t="e">
        <f t="shared" si="60"/>
        <v>#REF!</v>
      </c>
      <c r="L120" s="69" t="e">
        <f t="shared" si="61"/>
        <v>#REF!</v>
      </c>
      <c r="M120" s="71" t="e">
        <f t="shared" si="62"/>
        <v>#REF!</v>
      </c>
      <c r="N120" s="83"/>
      <c r="O120" s="80" t="e">
        <f t="shared" si="63"/>
        <v>#REF!</v>
      </c>
      <c r="P120" s="70" t="e">
        <f t="shared" si="64"/>
        <v>#REF!</v>
      </c>
      <c r="Q120" s="71" t="e">
        <f t="shared" si="65"/>
        <v>#REF!</v>
      </c>
      <c r="R120" s="71"/>
      <c r="S120" s="70" t="e">
        <f t="shared" si="66"/>
        <v>#REF!</v>
      </c>
      <c r="T120" s="70" t="e">
        <f t="shared" si="67"/>
        <v>#REF!</v>
      </c>
      <c r="U120" s="71" t="e">
        <f t="shared" si="68"/>
        <v>#REF!</v>
      </c>
      <c r="V120" s="71"/>
      <c r="W120" s="70" t="e">
        <f t="shared" si="69"/>
        <v>#REF!</v>
      </c>
      <c r="X120" s="70" t="e">
        <f t="shared" si="70"/>
        <v>#REF!</v>
      </c>
      <c r="Y120" s="71" t="e">
        <f t="shared" si="71"/>
        <v>#REF!</v>
      </c>
    </row>
    <row r="121" spans="1:25" ht="16.5" customHeight="1">
      <c r="A121" s="60" t="s">
        <v>231</v>
      </c>
      <c r="B121" s="61" t="s">
        <v>232</v>
      </c>
      <c r="C121" s="69" t="e">
        <f t="shared" si="54"/>
        <v>#REF!</v>
      </c>
      <c r="D121" s="69" t="e">
        <f t="shared" si="55"/>
        <v>#REF!</v>
      </c>
      <c r="E121" s="71" t="e">
        <f t="shared" si="56"/>
        <v>#REF!</v>
      </c>
      <c r="F121" s="71"/>
      <c r="G121" s="69" t="e">
        <f t="shared" si="57"/>
        <v>#REF!</v>
      </c>
      <c r="H121" s="69" t="e">
        <f t="shared" si="58"/>
        <v>#REF!</v>
      </c>
      <c r="I121" s="71" t="e">
        <f t="shared" si="59"/>
        <v>#REF!</v>
      </c>
      <c r="J121" s="71"/>
      <c r="K121" s="69" t="e">
        <f t="shared" si="60"/>
        <v>#REF!</v>
      </c>
      <c r="L121" s="69" t="e">
        <f t="shared" si="61"/>
        <v>#REF!</v>
      </c>
      <c r="M121" s="71" t="e">
        <f t="shared" si="62"/>
        <v>#REF!</v>
      </c>
      <c r="N121" s="83"/>
      <c r="O121" s="80" t="e">
        <f t="shared" si="63"/>
        <v>#REF!</v>
      </c>
      <c r="P121" s="70" t="e">
        <f t="shared" si="64"/>
        <v>#REF!</v>
      </c>
      <c r="Q121" s="71" t="e">
        <f t="shared" si="65"/>
        <v>#REF!</v>
      </c>
      <c r="R121" s="71"/>
      <c r="S121" s="70" t="e">
        <f t="shared" si="66"/>
        <v>#REF!</v>
      </c>
      <c r="T121" s="70" t="e">
        <f t="shared" si="67"/>
        <v>#REF!</v>
      </c>
      <c r="U121" s="71" t="e">
        <f t="shared" si="68"/>
        <v>#REF!</v>
      </c>
      <c r="V121" s="71"/>
      <c r="W121" s="70" t="e">
        <f t="shared" si="69"/>
        <v>#REF!</v>
      </c>
      <c r="X121" s="70" t="e">
        <f t="shared" si="70"/>
        <v>#REF!</v>
      </c>
      <c r="Y121" s="71" t="e">
        <f t="shared" si="71"/>
        <v>#REF!</v>
      </c>
    </row>
    <row r="122" spans="1:25" ht="16.5" customHeight="1">
      <c r="A122" s="60" t="s">
        <v>239</v>
      </c>
      <c r="B122" s="61" t="s">
        <v>240</v>
      </c>
      <c r="C122" s="69" t="e">
        <f t="shared" si="54"/>
        <v>#REF!</v>
      </c>
      <c r="D122" s="69" t="e">
        <f t="shared" si="55"/>
        <v>#REF!</v>
      </c>
      <c r="E122" s="71" t="e">
        <f t="shared" si="56"/>
        <v>#REF!</v>
      </c>
      <c r="F122" s="71"/>
      <c r="G122" s="69" t="e">
        <f t="shared" si="57"/>
        <v>#REF!</v>
      </c>
      <c r="H122" s="69" t="e">
        <f t="shared" si="58"/>
        <v>#REF!</v>
      </c>
      <c r="I122" s="71" t="e">
        <f t="shared" si="59"/>
        <v>#REF!</v>
      </c>
      <c r="J122" s="71"/>
      <c r="K122" s="69" t="e">
        <f t="shared" si="60"/>
        <v>#REF!</v>
      </c>
      <c r="L122" s="69" t="e">
        <f t="shared" si="61"/>
        <v>#REF!</v>
      </c>
      <c r="M122" s="71" t="e">
        <f t="shared" si="62"/>
        <v>#REF!</v>
      </c>
      <c r="N122" s="83"/>
      <c r="O122" s="80" t="e">
        <f t="shared" si="63"/>
        <v>#REF!</v>
      </c>
      <c r="P122" s="70" t="e">
        <f t="shared" si="64"/>
        <v>#REF!</v>
      </c>
      <c r="Q122" s="71" t="e">
        <f t="shared" si="65"/>
        <v>#REF!</v>
      </c>
      <c r="R122" s="71"/>
      <c r="S122" s="70" t="e">
        <f t="shared" si="66"/>
        <v>#REF!</v>
      </c>
      <c r="T122" s="70" t="e">
        <f t="shared" si="67"/>
        <v>#REF!</v>
      </c>
      <c r="U122" s="71" t="e">
        <f t="shared" si="68"/>
        <v>#REF!</v>
      </c>
      <c r="V122" s="71"/>
      <c r="W122" s="70" t="e">
        <f t="shared" si="69"/>
        <v>#REF!</v>
      </c>
      <c r="X122" s="70" t="e">
        <f t="shared" si="70"/>
        <v>#REF!</v>
      </c>
      <c r="Y122" s="71" t="e">
        <f t="shared" si="71"/>
        <v>#REF!</v>
      </c>
    </row>
    <row r="123" spans="1:25" ht="16.5" customHeight="1">
      <c r="A123" s="60" t="s">
        <v>241</v>
      </c>
      <c r="B123" s="76" t="s">
        <v>242</v>
      </c>
      <c r="C123" s="69" t="e">
        <f t="shared" si="54"/>
        <v>#REF!</v>
      </c>
      <c r="D123" s="69" t="e">
        <f t="shared" si="55"/>
        <v>#REF!</v>
      </c>
      <c r="E123" s="71" t="e">
        <f t="shared" si="56"/>
        <v>#REF!</v>
      </c>
      <c r="F123" s="71"/>
      <c r="G123" s="69" t="e">
        <f t="shared" si="57"/>
        <v>#REF!</v>
      </c>
      <c r="H123" s="69" t="e">
        <f t="shared" si="58"/>
        <v>#REF!</v>
      </c>
      <c r="I123" s="71" t="e">
        <f t="shared" si="59"/>
        <v>#REF!</v>
      </c>
      <c r="J123" s="71"/>
      <c r="K123" s="69" t="e">
        <f t="shared" si="60"/>
        <v>#REF!</v>
      </c>
      <c r="L123" s="69" t="e">
        <f t="shared" si="61"/>
        <v>#REF!</v>
      </c>
      <c r="M123" s="71" t="e">
        <f t="shared" si="62"/>
        <v>#REF!</v>
      </c>
      <c r="N123" s="83"/>
      <c r="O123" s="80" t="e">
        <f t="shared" si="63"/>
        <v>#REF!</v>
      </c>
      <c r="P123" s="70" t="e">
        <f t="shared" si="64"/>
        <v>#REF!</v>
      </c>
      <c r="Q123" s="71" t="e">
        <f t="shared" si="65"/>
        <v>#REF!</v>
      </c>
      <c r="R123" s="71"/>
      <c r="S123" s="70" t="e">
        <f t="shared" si="66"/>
        <v>#REF!</v>
      </c>
      <c r="T123" s="70" t="e">
        <f t="shared" si="67"/>
        <v>#REF!</v>
      </c>
      <c r="U123" s="71" t="e">
        <f t="shared" si="68"/>
        <v>#REF!</v>
      </c>
      <c r="V123" s="71"/>
      <c r="W123" s="70" t="e">
        <f t="shared" si="69"/>
        <v>#REF!</v>
      </c>
      <c r="X123" s="70" t="e">
        <f t="shared" si="70"/>
        <v>#REF!</v>
      </c>
      <c r="Y123" s="71" t="e">
        <f t="shared" si="71"/>
        <v>#REF!</v>
      </c>
    </row>
    <row r="124" spans="1:25">
      <c r="C124" s="72" t="e">
        <f>SUM(C4:C123)</f>
        <v>#REF!</v>
      </c>
      <c r="D124" s="72"/>
      <c r="E124" s="72"/>
      <c r="F124" s="72"/>
      <c r="G124" s="72"/>
      <c r="H124" s="72"/>
      <c r="I124" s="72"/>
      <c r="J124" s="72"/>
      <c r="K124" s="72"/>
      <c r="L124" s="72"/>
    </row>
    <row r="125" spans="1:25">
      <c r="C125" s="72" t="e">
        <f>+C124/12</f>
        <v>#REF!</v>
      </c>
      <c r="D125" s="72"/>
      <c r="E125" s="72"/>
      <c r="F125" s="72"/>
      <c r="G125" s="72"/>
      <c r="H125" s="72"/>
      <c r="I125" s="72"/>
      <c r="J125" s="72"/>
      <c r="K125" s="72"/>
      <c r="L125" s="72"/>
    </row>
    <row r="126" spans="1:25" ht="12.75" customHeight="1">
      <c r="A126" s="1348" t="s">
        <v>815</v>
      </c>
      <c r="B126" s="1348"/>
      <c r="C126" s="1349"/>
      <c r="D126" s="63"/>
      <c r="E126" s="63"/>
      <c r="F126" s="63"/>
      <c r="G126" s="63"/>
      <c r="H126" s="63"/>
      <c r="I126" s="63"/>
      <c r="J126" s="63"/>
      <c r="K126" s="63"/>
      <c r="L126" s="63"/>
    </row>
    <row r="127" spans="1:25">
      <c r="A127" s="62" t="s">
        <v>816</v>
      </c>
    </row>
  </sheetData>
  <mergeCells count="9">
    <mergeCell ref="C1:M1"/>
    <mergeCell ref="W2:Y2"/>
    <mergeCell ref="O1:Y1"/>
    <mergeCell ref="A126:C126"/>
    <mergeCell ref="C2:E2"/>
    <mergeCell ref="G2:I2"/>
    <mergeCell ref="K2:M2"/>
    <mergeCell ref="O2:Q2"/>
    <mergeCell ref="S2:U2"/>
  </mergeCells>
  <conditionalFormatting sqref="Q4:R123 E4:F123">
    <cfRule type="cellIs" dxfId="3" priority="20" stopIfTrue="1" operator="greaterThan">
      <formula>"&gt;1"</formula>
    </cfRule>
  </conditionalFormatting>
  <conditionalFormatting sqref="Y4:Y123 M4:N123 U4:V123 Q4:R123 I4:J123 E4:F123">
    <cfRule type="cellIs" dxfId="2" priority="19" stopIfTrue="1" operator="greaterThan">
      <formula>1</formula>
    </cfRule>
  </conditionalFormatting>
  <pageMargins left="0.75" right="0.75" top="1" bottom="1" header="0.5" footer="0.5"/>
  <pageSetup orientation="portrait" r:id="rId1"/>
</worksheet>
</file>

<file path=xl/worksheets/sheet19.xml><?xml version="1.0" encoding="utf-8"?>
<worksheet xmlns="http://schemas.openxmlformats.org/spreadsheetml/2006/main" xmlns:r="http://schemas.openxmlformats.org/officeDocument/2006/relationships">
  <dimension ref="A1:Y127"/>
  <sheetViews>
    <sheetView zoomScaleNormal="106" zoomScaleSheetLayoutView="116" workbookViewId="0">
      <pane xSplit="2" ySplit="3" topLeftCell="C4" activePane="bottomRight" state="frozen"/>
      <selection pane="topRight" activeCell="C1" sqref="C1"/>
      <selection pane="bottomLeft" activeCell="A4" sqref="A4"/>
      <selection pane="bottomRight" activeCell="E7" sqref="E7"/>
    </sheetView>
  </sheetViews>
  <sheetFormatPr defaultRowHeight="12.75"/>
  <cols>
    <col min="1" max="1" width="12.25" style="62" customWidth="1"/>
    <col min="2" max="2" width="21.5" style="62" customWidth="1"/>
    <col min="3" max="3" width="10.5" style="62" customWidth="1"/>
    <col min="4" max="4" width="10.625" style="62" customWidth="1"/>
    <col min="5" max="5" width="9.75" style="62" customWidth="1"/>
    <col min="6" max="6" width="2.625" style="62" customWidth="1"/>
    <col min="7" max="7" width="10.25" style="62" customWidth="1"/>
    <col min="8" max="8" width="10.125" style="62" customWidth="1"/>
    <col min="9" max="9" width="10.875" style="62" customWidth="1"/>
    <col min="10" max="10" width="2.625" style="62" customWidth="1"/>
    <col min="11" max="11" width="11.625" style="62" customWidth="1"/>
    <col min="12" max="12" width="11.375" style="62" customWidth="1"/>
    <col min="13" max="13" width="10.25" style="62" customWidth="1"/>
    <col min="14" max="14" width="2.625" style="62" customWidth="1"/>
    <col min="15" max="15" width="10.125" style="62" customWidth="1"/>
    <col min="16" max="17" width="10" style="62" customWidth="1"/>
    <col min="18" max="18" width="2.625" style="62" customWidth="1"/>
    <col min="19" max="19" width="10.625" style="62" customWidth="1"/>
    <col min="20" max="20" width="10.5" style="62" customWidth="1"/>
    <col min="21" max="21" width="10.125" style="62" customWidth="1"/>
    <col min="22" max="22" width="2.625" style="62" customWidth="1"/>
    <col min="23" max="23" width="10.125" style="62" customWidth="1"/>
    <col min="24" max="24" width="11.5" style="62" customWidth="1"/>
    <col min="25" max="25" width="11" style="62" customWidth="1"/>
    <col min="26" max="16384" width="9" style="62"/>
  </cols>
  <sheetData>
    <row r="1" spans="1:25" ht="15.75">
      <c r="C1" s="1350" t="s">
        <v>822</v>
      </c>
      <c r="D1" s="1350"/>
      <c r="E1" s="1350"/>
      <c r="F1" s="1350"/>
      <c r="G1" s="1350"/>
      <c r="H1" s="1350"/>
      <c r="I1" s="1350"/>
      <c r="J1" s="1350"/>
      <c r="K1" s="1350"/>
      <c r="L1" s="1350"/>
      <c r="M1" s="1350"/>
      <c r="O1" s="1350" t="s">
        <v>823</v>
      </c>
      <c r="P1" s="1350"/>
      <c r="Q1" s="1350"/>
      <c r="R1" s="1350"/>
      <c r="S1" s="1350"/>
      <c r="T1" s="1350"/>
      <c r="U1" s="1350"/>
      <c r="V1" s="1350"/>
      <c r="W1" s="1350"/>
      <c r="X1" s="1350"/>
      <c r="Y1" s="1350"/>
    </row>
    <row r="2" spans="1:25">
      <c r="C2" s="1346" t="s">
        <v>2</v>
      </c>
      <c r="D2" s="1346"/>
      <c r="E2" s="1346"/>
      <c r="G2" s="1346" t="s">
        <v>667</v>
      </c>
      <c r="H2" s="1346"/>
      <c r="I2" s="1346"/>
      <c r="K2" s="1346" t="s">
        <v>673</v>
      </c>
      <c r="L2" s="1346"/>
      <c r="M2" s="1346"/>
      <c r="N2" s="90"/>
      <c r="O2" s="1346" t="s">
        <v>2</v>
      </c>
      <c r="P2" s="1346"/>
      <c r="Q2" s="1346"/>
      <c r="S2" s="1346" t="s">
        <v>667</v>
      </c>
      <c r="T2" s="1346"/>
      <c r="U2" s="1346"/>
      <c r="W2" s="1346" t="s">
        <v>673</v>
      </c>
      <c r="X2" s="1346"/>
      <c r="Y2" s="1346"/>
    </row>
    <row r="3" spans="1:25" s="65" customFormat="1" ht="71.25" customHeight="1">
      <c r="A3" s="64" t="s">
        <v>372</v>
      </c>
      <c r="B3" s="64" t="s">
        <v>373</v>
      </c>
      <c r="C3" s="67" t="s">
        <v>824</v>
      </c>
      <c r="D3" s="67" t="s">
        <v>825</v>
      </c>
      <c r="E3" s="78" t="s">
        <v>826</v>
      </c>
      <c r="F3" s="82"/>
      <c r="G3" s="67" t="s">
        <v>824</v>
      </c>
      <c r="H3" s="67" t="s">
        <v>825</v>
      </c>
      <c r="I3" s="78" t="s">
        <v>826</v>
      </c>
      <c r="J3" s="82"/>
      <c r="K3" s="67" t="s">
        <v>824</v>
      </c>
      <c r="L3" s="67" t="s">
        <v>825</v>
      </c>
      <c r="M3" s="78" t="s">
        <v>826</v>
      </c>
      <c r="N3" s="82"/>
      <c r="O3" s="67" t="s">
        <v>824</v>
      </c>
      <c r="P3" s="67" t="s">
        <v>825</v>
      </c>
      <c r="Q3" s="78" t="s">
        <v>826</v>
      </c>
      <c r="R3" s="82"/>
      <c r="S3" s="67" t="s">
        <v>824</v>
      </c>
      <c r="T3" s="67" t="s">
        <v>825</v>
      </c>
      <c r="U3" s="78" t="s">
        <v>826</v>
      </c>
      <c r="V3" s="82"/>
      <c r="W3" s="67" t="s">
        <v>824</v>
      </c>
      <c r="X3" s="67" t="s">
        <v>825</v>
      </c>
      <c r="Y3" s="78" t="s">
        <v>826</v>
      </c>
    </row>
    <row r="4" spans="1:25" ht="16.5" customHeight="1">
      <c r="A4" s="60" t="s">
        <v>10</v>
      </c>
      <c r="B4" s="60" t="s">
        <v>11</v>
      </c>
      <c r="C4" s="69" t="e">
        <f t="shared" ref="C4:C35" si="0">VLOOKUP(A4,TANF_DEMO,7,FALSE)</f>
        <v>#REF!</v>
      </c>
      <c r="D4" s="69" t="e">
        <f t="shared" ref="D4:D35" si="1">VLOOKUP(A4,Pop,14,FALSE)</f>
        <v>#REF!</v>
      </c>
      <c r="E4" s="71" t="e">
        <f t="shared" ref="E4:E35" si="2">+C4/D4</f>
        <v>#REF!</v>
      </c>
      <c r="F4" s="86"/>
      <c r="G4" s="69" t="e">
        <f t="shared" ref="G4:G35" si="3">VLOOKUP(A4,TANF_DEMO,8,FALSE)</f>
        <v>#REF!</v>
      </c>
      <c r="H4" s="69" t="e">
        <f t="shared" ref="H4:H35" si="4">VLOOKUP(A4,Pop,15,FALSE)</f>
        <v>#REF!</v>
      </c>
      <c r="I4" s="71" t="e">
        <f t="shared" ref="I4:I35" si="5">+G4/H4</f>
        <v>#REF!</v>
      </c>
      <c r="J4" s="86"/>
      <c r="K4" s="69" t="e">
        <f t="shared" ref="K4:K35" si="6">VLOOKUP(A4,TANF_DEMO,9,FALSE)</f>
        <v>#REF!</v>
      </c>
      <c r="L4" s="69" t="e">
        <f t="shared" ref="L4:L35" si="7">VLOOKUP(A4,Pop,16,FALSE)</f>
        <v>#REF!</v>
      </c>
      <c r="M4" s="71" t="e">
        <f t="shared" ref="M4:M35" si="8">+K4/L4</f>
        <v>#REF!</v>
      </c>
      <c r="N4" s="71"/>
      <c r="O4" s="70" t="e">
        <f t="shared" ref="O4:O35" si="9">VLOOKUP(A4,TANF_DEMO,3,FALSE)</f>
        <v>#REF!</v>
      </c>
      <c r="P4" s="70" t="e">
        <f t="shared" ref="P4:P35" si="10">VLOOKUP(A4,Pop,8,FALSE)</f>
        <v>#REF!</v>
      </c>
      <c r="Q4" s="71" t="e">
        <f t="shared" ref="Q4:Q35" si="11">+O4/P4</f>
        <v>#REF!</v>
      </c>
      <c r="R4" s="71"/>
      <c r="S4" s="70" t="e">
        <f t="shared" ref="S4:S35" si="12">VLOOKUP(A4,TANF_DEMO,4,FALSE)</f>
        <v>#REF!</v>
      </c>
      <c r="T4" s="70" t="e">
        <f t="shared" ref="T4:T35" si="13">VLOOKUP(A4,Pop,9,FALSE)</f>
        <v>#REF!</v>
      </c>
      <c r="U4" s="71" t="e">
        <f t="shared" ref="U4:U35" si="14">+S4/T4</f>
        <v>#REF!</v>
      </c>
      <c r="V4" s="71"/>
      <c r="W4" s="70" t="e">
        <f t="shared" ref="W4:W35" si="15">VLOOKUP(A4,TANF_DEMO,5,FALSE)</f>
        <v>#REF!</v>
      </c>
      <c r="X4" s="70" t="e">
        <f t="shared" ref="X4:X35" si="16">VLOOKUP(A4,Pop,10,FALSE)</f>
        <v>#REF!</v>
      </c>
      <c r="Y4" s="71" t="e">
        <f t="shared" ref="Y4:Y35" si="17">+W4/X4</f>
        <v>#REF!</v>
      </c>
    </row>
    <row r="5" spans="1:25" ht="16.5" customHeight="1">
      <c r="A5" s="60" t="s">
        <v>12</v>
      </c>
      <c r="B5" s="60" t="s">
        <v>13</v>
      </c>
      <c r="C5" s="69" t="e">
        <f t="shared" si="0"/>
        <v>#REF!</v>
      </c>
      <c r="D5" s="69" t="e">
        <f t="shared" si="1"/>
        <v>#REF!</v>
      </c>
      <c r="E5" s="71" t="e">
        <f t="shared" si="2"/>
        <v>#REF!</v>
      </c>
      <c r="F5" s="69"/>
      <c r="G5" s="69" t="e">
        <f t="shared" si="3"/>
        <v>#REF!</v>
      </c>
      <c r="H5" s="69" t="e">
        <f t="shared" si="4"/>
        <v>#REF!</v>
      </c>
      <c r="I5" s="71" t="e">
        <f t="shared" si="5"/>
        <v>#REF!</v>
      </c>
      <c r="J5" s="69"/>
      <c r="K5" s="69" t="e">
        <f t="shared" si="6"/>
        <v>#REF!</v>
      </c>
      <c r="L5" s="69" t="e">
        <f t="shared" si="7"/>
        <v>#REF!</v>
      </c>
      <c r="M5" s="71" t="e">
        <f t="shared" si="8"/>
        <v>#REF!</v>
      </c>
      <c r="N5" s="71"/>
      <c r="O5" s="70" t="e">
        <f t="shared" si="9"/>
        <v>#REF!</v>
      </c>
      <c r="P5" s="70" t="e">
        <f t="shared" si="10"/>
        <v>#REF!</v>
      </c>
      <c r="Q5" s="71" t="e">
        <f t="shared" si="11"/>
        <v>#REF!</v>
      </c>
      <c r="R5" s="71"/>
      <c r="S5" s="70" t="e">
        <f t="shared" si="12"/>
        <v>#REF!</v>
      </c>
      <c r="T5" s="70" t="e">
        <f t="shared" si="13"/>
        <v>#REF!</v>
      </c>
      <c r="U5" s="71" t="e">
        <f t="shared" si="14"/>
        <v>#REF!</v>
      </c>
      <c r="V5" s="71"/>
      <c r="W5" s="70" t="e">
        <f t="shared" si="15"/>
        <v>#REF!</v>
      </c>
      <c r="X5" s="70" t="e">
        <f t="shared" si="16"/>
        <v>#REF!</v>
      </c>
      <c r="Y5" s="71" t="e">
        <f t="shared" si="17"/>
        <v>#REF!</v>
      </c>
    </row>
    <row r="6" spans="1:25" ht="16.5" customHeight="1">
      <c r="A6" s="60" t="s">
        <v>16</v>
      </c>
      <c r="B6" s="60" t="s">
        <v>364</v>
      </c>
      <c r="C6" s="69" t="e">
        <f t="shared" si="0"/>
        <v>#REF!</v>
      </c>
      <c r="D6" s="69" t="e">
        <f t="shared" si="1"/>
        <v>#REF!</v>
      </c>
      <c r="E6" s="71" t="e">
        <f t="shared" si="2"/>
        <v>#REF!</v>
      </c>
      <c r="F6" s="69"/>
      <c r="G6" s="69" t="e">
        <f t="shared" si="3"/>
        <v>#REF!</v>
      </c>
      <c r="H6" s="69" t="e">
        <f t="shared" si="4"/>
        <v>#REF!</v>
      </c>
      <c r="I6" s="71" t="e">
        <f t="shared" si="5"/>
        <v>#REF!</v>
      </c>
      <c r="J6" s="69"/>
      <c r="K6" s="69" t="e">
        <f t="shared" si="6"/>
        <v>#REF!</v>
      </c>
      <c r="L6" s="69" t="e">
        <f t="shared" si="7"/>
        <v>#REF!</v>
      </c>
      <c r="M6" s="71" t="e">
        <f t="shared" si="8"/>
        <v>#REF!</v>
      </c>
      <c r="N6" s="71"/>
      <c r="O6" s="70" t="e">
        <f t="shared" si="9"/>
        <v>#REF!</v>
      </c>
      <c r="P6" s="70" t="e">
        <f t="shared" si="10"/>
        <v>#REF!</v>
      </c>
      <c r="Q6" s="71" t="e">
        <f t="shared" si="11"/>
        <v>#REF!</v>
      </c>
      <c r="R6" s="71"/>
      <c r="S6" s="70" t="e">
        <f t="shared" si="12"/>
        <v>#REF!</v>
      </c>
      <c r="T6" s="70" t="e">
        <f t="shared" si="13"/>
        <v>#REF!</v>
      </c>
      <c r="U6" s="71" t="e">
        <f t="shared" si="14"/>
        <v>#REF!</v>
      </c>
      <c r="V6" s="71"/>
      <c r="W6" s="70" t="e">
        <f t="shared" si="15"/>
        <v>#REF!</v>
      </c>
      <c r="X6" s="70" t="e">
        <f t="shared" si="16"/>
        <v>#REF!</v>
      </c>
      <c r="Y6" s="71" t="e">
        <f t="shared" si="17"/>
        <v>#REF!</v>
      </c>
    </row>
    <row r="7" spans="1:25" ht="16.5" customHeight="1">
      <c r="A7" s="93" t="s">
        <v>18</v>
      </c>
      <c r="B7" s="92" t="s">
        <v>19</v>
      </c>
      <c r="C7" s="69" t="e">
        <f t="shared" si="0"/>
        <v>#REF!</v>
      </c>
      <c r="D7" s="69" t="e">
        <f t="shared" si="1"/>
        <v>#REF!</v>
      </c>
      <c r="E7" s="71" t="e">
        <f t="shared" si="2"/>
        <v>#REF!</v>
      </c>
      <c r="F7" s="69"/>
      <c r="G7" s="69" t="e">
        <f t="shared" si="3"/>
        <v>#REF!</v>
      </c>
      <c r="H7" s="69" t="e">
        <f t="shared" si="4"/>
        <v>#REF!</v>
      </c>
      <c r="I7" s="71" t="e">
        <f t="shared" si="5"/>
        <v>#REF!</v>
      </c>
      <c r="J7" s="69"/>
      <c r="K7" s="69" t="e">
        <f t="shared" si="6"/>
        <v>#REF!</v>
      </c>
      <c r="L7" s="69" t="e">
        <f t="shared" si="7"/>
        <v>#REF!</v>
      </c>
      <c r="M7" s="71" t="e">
        <f t="shared" si="8"/>
        <v>#REF!</v>
      </c>
      <c r="N7" s="71"/>
      <c r="O7" s="70" t="e">
        <f t="shared" si="9"/>
        <v>#REF!</v>
      </c>
      <c r="P7" s="70" t="e">
        <f t="shared" si="10"/>
        <v>#REF!</v>
      </c>
      <c r="Q7" s="71" t="e">
        <f t="shared" si="11"/>
        <v>#REF!</v>
      </c>
      <c r="R7" s="71"/>
      <c r="S7" s="70" t="e">
        <f t="shared" si="12"/>
        <v>#REF!</v>
      </c>
      <c r="T7" s="70" t="e">
        <f t="shared" si="13"/>
        <v>#REF!</v>
      </c>
      <c r="U7" s="71" t="e">
        <f t="shared" si="14"/>
        <v>#REF!</v>
      </c>
      <c r="V7" s="71"/>
      <c r="W7" s="70" t="e">
        <f t="shared" si="15"/>
        <v>#REF!</v>
      </c>
      <c r="X7" s="70" t="e">
        <f t="shared" si="16"/>
        <v>#REF!</v>
      </c>
      <c r="Y7" s="71" t="e">
        <f t="shared" si="17"/>
        <v>#REF!</v>
      </c>
    </row>
    <row r="8" spans="1:25" ht="16.5" customHeight="1">
      <c r="A8" s="60" t="s">
        <v>20</v>
      </c>
      <c r="B8" s="60" t="s">
        <v>21</v>
      </c>
      <c r="C8" s="69" t="e">
        <f t="shared" si="0"/>
        <v>#REF!</v>
      </c>
      <c r="D8" s="69" t="e">
        <f t="shared" si="1"/>
        <v>#REF!</v>
      </c>
      <c r="E8" s="71" t="e">
        <f t="shared" si="2"/>
        <v>#REF!</v>
      </c>
      <c r="F8" s="69"/>
      <c r="G8" s="69" t="e">
        <f t="shared" si="3"/>
        <v>#REF!</v>
      </c>
      <c r="H8" s="69" t="e">
        <f t="shared" si="4"/>
        <v>#REF!</v>
      </c>
      <c r="I8" s="71" t="e">
        <f t="shared" si="5"/>
        <v>#REF!</v>
      </c>
      <c r="J8" s="69"/>
      <c r="K8" s="69" t="e">
        <f t="shared" si="6"/>
        <v>#REF!</v>
      </c>
      <c r="L8" s="69" t="e">
        <f t="shared" si="7"/>
        <v>#REF!</v>
      </c>
      <c r="M8" s="71" t="e">
        <f t="shared" si="8"/>
        <v>#REF!</v>
      </c>
      <c r="N8" s="71"/>
      <c r="O8" s="70" t="e">
        <f t="shared" si="9"/>
        <v>#REF!</v>
      </c>
      <c r="P8" s="70" t="e">
        <f t="shared" si="10"/>
        <v>#REF!</v>
      </c>
      <c r="Q8" s="71" t="e">
        <f t="shared" si="11"/>
        <v>#REF!</v>
      </c>
      <c r="R8" s="71"/>
      <c r="S8" s="70" t="e">
        <f t="shared" si="12"/>
        <v>#REF!</v>
      </c>
      <c r="T8" s="70" t="e">
        <f t="shared" si="13"/>
        <v>#REF!</v>
      </c>
      <c r="U8" s="71" t="e">
        <f t="shared" si="14"/>
        <v>#REF!</v>
      </c>
      <c r="V8" s="71"/>
      <c r="W8" s="70" t="e">
        <f t="shared" si="15"/>
        <v>#REF!</v>
      </c>
      <c r="X8" s="70" t="e">
        <f t="shared" si="16"/>
        <v>#REF!</v>
      </c>
      <c r="Y8" s="71" t="e">
        <f t="shared" si="17"/>
        <v>#REF!</v>
      </c>
    </row>
    <row r="9" spans="1:25" ht="16.5" customHeight="1">
      <c r="A9" s="60" t="s">
        <v>22</v>
      </c>
      <c r="B9" s="60" t="s">
        <v>23</v>
      </c>
      <c r="C9" s="69" t="e">
        <f t="shared" si="0"/>
        <v>#REF!</v>
      </c>
      <c r="D9" s="69" t="e">
        <f t="shared" si="1"/>
        <v>#REF!</v>
      </c>
      <c r="E9" s="71" t="e">
        <f t="shared" si="2"/>
        <v>#REF!</v>
      </c>
      <c r="F9" s="69"/>
      <c r="G9" s="69" t="e">
        <f t="shared" si="3"/>
        <v>#REF!</v>
      </c>
      <c r="H9" s="69" t="e">
        <f t="shared" si="4"/>
        <v>#REF!</v>
      </c>
      <c r="I9" s="71" t="e">
        <f t="shared" si="5"/>
        <v>#REF!</v>
      </c>
      <c r="J9" s="69"/>
      <c r="K9" s="69" t="e">
        <f t="shared" si="6"/>
        <v>#REF!</v>
      </c>
      <c r="L9" s="69" t="e">
        <f t="shared" si="7"/>
        <v>#REF!</v>
      </c>
      <c r="M9" s="71" t="e">
        <f t="shared" si="8"/>
        <v>#REF!</v>
      </c>
      <c r="N9" s="71"/>
      <c r="O9" s="70" t="e">
        <f t="shared" si="9"/>
        <v>#REF!</v>
      </c>
      <c r="P9" s="70" t="e">
        <f t="shared" si="10"/>
        <v>#REF!</v>
      </c>
      <c r="Q9" s="71" t="e">
        <f t="shared" si="11"/>
        <v>#REF!</v>
      </c>
      <c r="R9" s="71"/>
      <c r="S9" s="70" t="e">
        <f t="shared" si="12"/>
        <v>#REF!</v>
      </c>
      <c r="T9" s="70" t="e">
        <f t="shared" si="13"/>
        <v>#REF!</v>
      </c>
      <c r="U9" s="71" t="e">
        <f t="shared" si="14"/>
        <v>#REF!</v>
      </c>
      <c r="V9" s="71"/>
      <c r="W9" s="70" t="e">
        <f t="shared" si="15"/>
        <v>#REF!</v>
      </c>
      <c r="X9" s="70" t="e">
        <f t="shared" si="16"/>
        <v>#REF!</v>
      </c>
      <c r="Y9" s="71" t="e">
        <f t="shared" si="17"/>
        <v>#REF!</v>
      </c>
    </row>
    <row r="10" spans="1:25" ht="16.5" customHeight="1">
      <c r="A10" s="60" t="s">
        <v>24</v>
      </c>
      <c r="B10" s="60" t="s">
        <v>25</v>
      </c>
      <c r="C10" s="69" t="e">
        <f t="shared" si="0"/>
        <v>#REF!</v>
      </c>
      <c r="D10" s="69" t="e">
        <f t="shared" si="1"/>
        <v>#REF!</v>
      </c>
      <c r="E10" s="71" t="e">
        <f t="shared" si="2"/>
        <v>#REF!</v>
      </c>
      <c r="F10" s="69"/>
      <c r="G10" s="69" t="e">
        <f t="shared" si="3"/>
        <v>#REF!</v>
      </c>
      <c r="H10" s="69" t="e">
        <f t="shared" si="4"/>
        <v>#REF!</v>
      </c>
      <c r="I10" s="71" t="e">
        <f t="shared" si="5"/>
        <v>#REF!</v>
      </c>
      <c r="J10" s="69"/>
      <c r="K10" s="69" t="e">
        <f t="shared" si="6"/>
        <v>#REF!</v>
      </c>
      <c r="L10" s="69" t="e">
        <f t="shared" si="7"/>
        <v>#REF!</v>
      </c>
      <c r="M10" s="71" t="e">
        <f t="shared" si="8"/>
        <v>#REF!</v>
      </c>
      <c r="N10" s="71"/>
      <c r="O10" s="70" t="e">
        <f t="shared" si="9"/>
        <v>#REF!</v>
      </c>
      <c r="P10" s="70" t="e">
        <f t="shared" si="10"/>
        <v>#REF!</v>
      </c>
      <c r="Q10" s="71" t="e">
        <f t="shared" si="11"/>
        <v>#REF!</v>
      </c>
      <c r="R10" s="71"/>
      <c r="S10" s="70" t="e">
        <f t="shared" si="12"/>
        <v>#REF!</v>
      </c>
      <c r="T10" s="70" t="e">
        <f t="shared" si="13"/>
        <v>#REF!</v>
      </c>
      <c r="U10" s="71" t="e">
        <f t="shared" si="14"/>
        <v>#REF!</v>
      </c>
      <c r="V10" s="71"/>
      <c r="W10" s="70" t="e">
        <f t="shared" si="15"/>
        <v>#REF!</v>
      </c>
      <c r="X10" s="70" t="e">
        <f t="shared" si="16"/>
        <v>#REF!</v>
      </c>
      <c r="Y10" s="71" t="e">
        <f t="shared" si="17"/>
        <v>#REF!</v>
      </c>
    </row>
    <row r="11" spans="1:25" ht="16.5" customHeight="1">
      <c r="A11" s="60" t="s">
        <v>26</v>
      </c>
      <c r="B11" s="60" t="s">
        <v>365</v>
      </c>
      <c r="C11" s="69" t="e">
        <f t="shared" si="0"/>
        <v>#REF!</v>
      </c>
      <c r="D11" s="69" t="e">
        <f t="shared" si="1"/>
        <v>#REF!</v>
      </c>
      <c r="E11" s="71" t="e">
        <f t="shared" si="2"/>
        <v>#REF!</v>
      </c>
      <c r="F11" s="69"/>
      <c r="G11" s="69" t="e">
        <f t="shared" si="3"/>
        <v>#REF!</v>
      </c>
      <c r="H11" s="69" t="e">
        <f t="shared" si="4"/>
        <v>#REF!</v>
      </c>
      <c r="I11" s="71" t="e">
        <f t="shared" si="5"/>
        <v>#REF!</v>
      </c>
      <c r="J11" s="69"/>
      <c r="K11" s="69" t="e">
        <f t="shared" si="6"/>
        <v>#REF!</v>
      </c>
      <c r="L11" s="69" t="e">
        <f t="shared" si="7"/>
        <v>#REF!</v>
      </c>
      <c r="M11" s="71" t="e">
        <f t="shared" si="8"/>
        <v>#REF!</v>
      </c>
      <c r="N11" s="71"/>
      <c r="O11" s="70" t="e">
        <f t="shared" si="9"/>
        <v>#REF!</v>
      </c>
      <c r="P11" s="70" t="e">
        <f t="shared" si="10"/>
        <v>#REF!</v>
      </c>
      <c r="Q11" s="71" t="e">
        <f t="shared" si="11"/>
        <v>#REF!</v>
      </c>
      <c r="R11" s="71"/>
      <c r="S11" s="70" t="e">
        <f t="shared" si="12"/>
        <v>#REF!</v>
      </c>
      <c r="T11" s="70" t="e">
        <f t="shared" si="13"/>
        <v>#REF!</v>
      </c>
      <c r="U11" s="71" t="e">
        <f t="shared" si="14"/>
        <v>#REF!</v>
      </c>
      <c r="V11" s="71"/>
      <c r="W11" s="70" t="e">
        <f t="shared" si="15"/>
        <v>#REF!</v>
      </c>
      <c r="X11" s="70" t="e">
        <f t="shared" si="16"/>
        <v>#REF!</v>
      </c>
      <c r="Y11" s="71" t="e">
        <f t="shared" si="17"/>
        <v>#REF!</v>
      </c>
    </row>
    <row r="12" spans="1:25" ht="16.5" customHeight="1">
      <c r="A12" s="60" t="s">
        <v>27</v>
      </c>
      <c r="B12" s="60" t="s">
        <v>28</v>
      </c>
      <c r="C12" s="69" t="e">
        <f t="shared" si="0"/>
        <v>#REF!</v>
      </c>
      <c r="D12" s="69" t="e">
        <f t="shared" si="1"/>
        <v>#REF!</v>
      </c>
      <c r="E12" s="71" t="e">
        <f t="shared" si="2"/>
        <v>#REF!</v>
      </c>
      <c r="F12" s="69"/>
      <c r="G12" s="69" t="e">
        <f t="shared" si="3"/>
        <v>#REF!</v>
      </c>
      <c r="H12" s="69" t="e">
        <f t="shared" si="4"/>
        <v>#REF!</v>
      </c>
      <c r="I12" s="71" t="e">
        <f t="shared" si="5"/>
        <v>#REF!</v>
      </c>
      <c r="J12" s="69"/>
      <c r="K12" s="69" t="e">
        <f t="shared" si="6"/>
        <v>#REF!</v>
      </c>
      <c r="L12" s="69" t="e">
        <f t="shared" si="7"/>
        <v>#REF!</v>
      </c>
      <c r="M12" s="71" t="e">
        <f t="shared" si="8"/>
        <v>#REF!</v>
      </c>
      <c r="N12" s="71"/>
      <c r="O12" s="70" t="e">
        <f t="shared" si="9"/>
        <v>#REF!</v>
      </c>
      <c r="P12" s="70" t="e">
        <f t="shared" si="10"/>
        <v>#REF!</v>
      </c>
      <c r="Q12" s="71" t="e">
        <f t="shared" si="11"/>
        <v>#REF!</v>
      </c>
      <c r="R12" s="71"/>
      <c r="S12" s="70" t="e">
        <f t="shared" si="12"/>
        <v>#REF!</v>
      </c>
      <c r="T12" s="70" t="e">
        <f t="shared" si="13"/>
        <v>#REF!</v>
      </c>
      <c r="U12" s="71" t="e">
        <f t="shared" si="14"/>
        <v>#REF!</v>
      </c>
      <c r="V12" s="71"/>
      <c r="W12" s="70" t="e">
        <f t="shared" si="15"/>
        <v>#REF!</v>
      </c>
      <c r="X12" s="70" t="e">
        <f t="shared" si="16"/>
        <v>#REF!</v>
      </c>
      <c r="Y12" s="71" t="e">
        <f t="shared" si="17"/>
        <v>#REF!</v>
      </c>
    </row>
    <row r="13" spans="1:25" ht="16.5" customHeight="1">
      <c r="A13" s="60" t="s">
        <v>29</v>
      </c>
      <c r="B13" s="60" t="s">
        <v>386</v>
      </c>
      <c r="C13" s="69" t="e">
        <f t="shared" si="0"/>
        <v>#REF!</v>
      </c>
      <c r="D13" s="69" t="e">
        <f t="shared" si="1"/>
        <v>#REF!</v>
      </c>
      <c r="E13" s="71" t="e">
        <f t="shared" si="2"/>
        <v>#REF!</v>
      </c>
      <c r="F13" s="69"/>
      <c r="G13" s="69" t="e">
        <f t="shared" si="3"/>
        <v>#REF!</v>
      </c>
      <c r="H13" s="69" t="e">
        <f t="shared" si="4"/>
        <v>#REF!</v>
      </c>
      <c r="I13" s="71" t="e">
        <f t="shared" si="5"/>
        <v>#REF!</v>
      </c>
      <c r="J13" s="69"/>
      <c r="K13" s="69" t="e">
        <f t="shared" si="6"/>
        <v>#REF!</v>
      </c>
      <c r="L13" s="69" t="e">
        <f t="shared" si="7"/>
        <v>#REF!</v>
      </c>
      <c r="M13" s="71" t="e">
        <f t="shared" si="8"/>
        <v>#REF!</v>
      </c>
      <c r="N13" s="71"/>
      <c r="O13" s="70" t="e">
        <f t="shared" si="9"/>
        <v>#REF!</v>
      </c>
      <c r="P13" s="70" t="e">
        <f t="shared" si="10"/>
        <v>#REF!</v>
      </c>
      <c r="Q13" s="71" t="e">
        <f t="shared" si="11"/>
        <v>#REF!</v>
      </c>
      <c r="R13" s="71"/>
      <c r="S13" s="70" t="e">
        <f t="shared" si="12"/>
        <v>#REF!</v>
      </c>
      <c r="T13" s="70" t="e">
        <f t="shared" si="13"/>
        <v>#REF!</v>
      </c>
      <c r="U13" s="71" t="e">
        <f t="shared" si="14"/>
        <v>#REF!</v>
      </c>
      <c r="V13" s="71"/>
      <c r="W13" s="70" t="e">
        <f t="shared" si="15"/>
        <v>#REF!</v>
      </c>
      <c r="X13" s="70" t="e">
        <f t="shared" si="16"/>
        <v>#REF!</v>
      </c>
      <c r="Y13" s="71" t="e">
        <f t="shared" si="17"/>
        <v>#REF!</v>
      </c>
    </row>
    <row r="14" spans="1:25" ht="16.5" customHeight="1">
      <c r="A14" s="60" t="s">
        <v>31</v>
      </c>
      <c r="B14" s="60" t="s">
        <v>32</v>
      </c>
      <c r="C14" s="69" t="e">
        <f t="shared" si="0"/>
        <v>#REF!</v>
      </c>
      <c r="D14" s="69" t="e">
        <f t="shared" si="1"/>
        <v>#REF!</v>
      </c>
      <c r="E14" s="71" t="e">
        <f t="shared" si="2"/>
        <v>#REF!</v>
      </c>
      <c r="F14" s="69"/>
      <c r="G14" s="69" t="e">
        <f t="shared" si="3"/>
        <v>#REF!</v>
      </c>
      <c r="H14" s="69" t="e">
        <f t="shared" si="4"/>
        <v>#REF!</v>
      </c>
      <c r="I14" s="71" t="e">
        <f t="shared" si="5"/>
        <v>#REF!</v>
      </c>
      <c r="J14" s="69"/>
      <c r="K14" s="69" t="e">
        <f t="shared" si="6"/>
        <v>#REF!</v>
      </c>
      <c r="L14" s="69" t="e">
        <f t="shared" si="7"/>
        <v>#REF!</v>
      </c>
      <c r="M14" s="71" t="e">
        <f t="shared" si="8"/>
        <v>#REF!</v>
      </c>
      <c r="N14" s="71"/>
      <c r="O14" s="70" t="e">
        <f t="shared" si="9"/>
        <v>#REF!</v>
      </c>
      <c r="P14" s="70" t="e">
        <f t="shared" si="10"/>
        <v>#REF!</v>
      </c>
      <c r="Q14" s="71" t="e">
        <f t="shared" si="11"/>
        <v>#REF!</v>
      </c>
      <c r="R14" s="71"/>
      <c r="S14" s="70" t="e">
        <f t="shared" si="12"/>
        <v>#REF!</v>
      </c>
      <c r="T14" s="70" t="e">
        <f t="shared" si="13"/>
        <v>#REF!</v>
      </c>
      <c r="U14" s="71" t="e">
        <f t="shared" si="14"/>
        <v>#REF!</v>
      </c>
      <c r="V14" s="71"/>
      <c r="W14" s="70" t="e">
        <f t="shared" si="15"/>
        <v>#REF!</v>
      </c>
      <c r="X14" s="70" t="e">
        <f t="shared" si="16"/>
        <v>#REF!</v>
      </c>
      <c r="Y14" s="71" t="e">
        <f t="shared" si="17"/>
        <v>#REF!</v>
      </c>
    </row>
    <row r="15" spans="1:25" ht="16.5" customHeight="1">
      <c r="A15" s="60" t="s">
        <v>33</v>
      </c>
      <c r="B15" s="60" t="s">
        <v>34</v>
      </c>
      <c r="C15" s="69" t="e">
        <f t="shared" si="0"/>
        <v>#REF!</v>
      </c>
      <c r="D15" s="69" t="e">
        <f t="shared" si="1"/>
        <v>#REF!</v>
      </c>
      <c r="E15" s="71" t="e">
        <f t="shared" si="2"/>
        <v>#REF!</v>
      </c>
      <c r="F15" s="69"/>
      <c r="G15" s="69" t="e">
        <f t="shared" si="3"/>
        <v>#REF!</v>
      </c>
      <c r="H15" s="69" t="e">
        <f t="shared" si="4"/>
        <v>#REF!</v>
      </c>
      <c r="I15" s="71" t="e">
        <f t="shared" si="5"/>
        <v>#REF!</v>
      </c>
      <c r="J15" s="69"/>
      <c r="K15" s="69" t="e">
        <f t="shared" si="6"/>
        <v>#REF!</v>
      </c>
      <c r="L15" s="69" t="e">
        <f t="shared" si="7"/>
        <v>#REF!</v>
      </c>
      <c r="M15" s="71" t="e">
        <f t="shared" si="8"/>
        <v>#REF!</v>
      </c>
      <c r="N15" s="71"/>
      <c r="O15" s="70" t="e">
        <f t="shared" si="9"/>
        <v>#REF!</v>
      </c>
      <c r="P15" s="70" t="e">
        <f t="shared" si="10"/>
        <v>#REF!</v>
      </c>
      <c r="Q15" s="71" t="e">
        <f t="shared" si="11"/>
        <v>#REF!</v>
      </c>
      <c r="R15" s="71"/>
      <c r="S15" s="70" t="e">
        <f t="shared" si="12"/>
        <v>#REF!</v>
      </c>
      <c r="T15" s="70" t="e">
        <f t="shared" si="13"/>
        <v>#REF!</v>
      </c>
      <c r="U15" s="71" t="e">
        <f t="shared" si="14"/>
        <v>#REF!</v>
      </c>
      <c r="V15" s="71"/>
      <c r="W15" s="70" t="e">
        <f t="shared" si="15"/>
        <v>#REF!</v>
      </c>
      <c r="X15" s="70" t="e">
        <f t="shared" si="16"/>
        <v>#REF!</v>
      </c>
      <c r="Y15" s="71" t="e">
        <f t="shared" si="17"/>
        <v>#REF!</v>
      </c>
    </row>
    <row r="16" spans="1:25" ht="16.5" customHeight="1">
      <c r="A16" s="60" t="s">
        <v>37</v>
      </c>
      <c r="B16" s="60" t="s">
        <v>38</v>
      </c>
      <c r="C16" s="69" t="e">
        <f t="shared" si="0"/>
        <v>#REF!</v>
      </c>
      <c r="D16" s="69" t="e">
        <f t="shared" si="1"/>
        <v>#REF!</v>
      </c>
      <c r="E16" s="71" t="e">
        <f t="shared" si="2"/>
        <v>#REF!</v>
      </c>
      <c r="F16" s="69"/>
      <c r="G16" s="69" t="e">
        <f t="shared" si="3"/>
        <v>#REF!</v>
      </c>
      <c r="H16" s="69" t="e">
        <f t="shared" si="4"/>
        <v>#REF!</v>
      </c>
      <c r="I16" s="71" t="e">
        <f t="shared" si="5"/>
        <v>#REF!</v>
      </c>
      <c r="J16" s="69"/>
      <c r="K16" s="69" t="e">
        <f t="shared" si="6"/>
        <v>#REF!</v>
      </c>
      <c r="L16" s="69" t="e">
        <f t="shared" si="7"/>
        <v>#REF!</v>
      </c>
      <c r="M16" s="71" t="e">
        <f t="shared" si="8"/>
        <v>#REF!</v>
      </c>
      <c r="N16" s="71"/>
      <c r="O16" s="70" t="e">
        <f t="shared" si="9"/>
        <v>#REF!</v>
      </c>
      <c r="P16" s="70" t="e">
        <f t="shared" si="10"/>
        <v>#REF!</v>
      </c>
      <c r="Q16" s="71" t="e">
        <f t="shared" si="11"/>
        <v>#REF!</v>
      </c>
      <c r="R16" s="71"/>
      <c r="S16" s="70" t="e">
        <f t="shared" si="12"/>
        <v>#REF!</v>
      </c>
      <c r="T16" s="70" t="e">
        <f t="shared" si="13"/>
        <v>#REF!</v>
      </c>
      <c r="U16" s="71" t="e">
        <f t="shared" si="14"/>
        <v>#REF!</v>
      </c>
      <c r="V16" s="71"/>
      <c r="W16" s="70" t="e">
        <f t="shared" si="15"/>
        <v>#REF!</v>
      </c>
      <c r="X16" s="70" t="e">
        <f t="shared" si="16"/>
        <v>#REF!</v>
      </c>
      <c r="Y16" s="71" t="e">
        <f t="shared" si="17"/>
        <v>#REF!</v>
      </c>
    </row>
    <row r="17" spans="1:25" ht="16.5" customHeight="1">
      <c r="A17" s="60" t="s">
        <v>39</v>
      </c>
      <c r="B17" s="60" t="s">
        <v>40</v>
      </c>
      <c r="C17" s="69" t="e">
        <f t="shared" si="0"/>
        <v>#REF!</v>
      </c>
      <c r="D17" s="69" t="e">
        <f t="shared" si="1"/>
        <v>#REF!</v>
      </c>
      <c r="E17" s="71" t="e">
        <f t="shared" si="2"/>
        <v>#REF!</v>
      </c>
      <c r="F17" s="69"/>
      <c r="G17" s="69" t="e">
        <f t="shared" si="3"/>
        <v>#REF!</v>
      </c>
      <c r="H17" s="69" t="e">
        <f t="shared" si="4"/>
        <v>#REF!</v>
      </c>
      <c r="I17" s="71" t="e">
        <f t="shared" si="5"/>
        <v>#REF!</v>
      </c>
      <c r="J17" s="69"/>
      <c r="K17" s="69" t="e">
        <f t="shared" si="6"/>
        <v>#REF!</v>
      </c>
      <c r="L17" s="69" t="e">
        <f t="shared" si="7"/>
        <v>#REF!</v>
      </c>
      <c r="M17" s="71" t="e">
        <f t="shared" si="8"/>
        <v>#REF!</v>
      </c>
      <c r="N17" s="71"/>
      <c r="O17" s="70" t="e">
        <f t="shared" si="9"/>
        <v>#REF!</v>
      </c>
      <c r="P17" s="70" t="e">
        <f t="shared" si="10"/>
        <v>#REF!</v>
      </c>
      <c r="Q17" s="71" t="e">
        <f t="shared" si="11"/>
        <v>#REF!</v>
      </c>
      <c r="R17" s="71"/>
      <c r="S17" s="70" t="e">
        <f t="shared" si="12"/>
        <v>#REF!</v>
      </c>
      <c r="T17" s="70" t="e">
        <f t="shared" si="13"/>
        <v>#REF!</v>
      </c>
      <c r="U17" s="71" t="e">
        <f t="shared" si="14"/>
        <v>#REF!</v>
      </c>
      <c r="V17" s="71"/>
      <c r="W17" s="70" t="e">
        <f t="shared" si="15"/>
        <v>#REF!</v>
      </c>
      <c r="X17" s="70" t="e">
        <f t="shared" si="16"/>
        <v>#REF!</v>
      </c>
      <c r="Y17" s="71" t="e">
        <f t="shared" si="17"/>
        <v>#REF!</v>
      </c>
    </row>
    <row r="18" spans="1:25" ht="16.5" customHeight="1">
      <c r="A18" s="60" t="s">
        <v>41</v>
      </c>
      <c r="B18" s="60" t="s">
        <v>42</v>
      </c>
      <c r="C18" s="69" t="e">
        <f t="shared" si="0"/>
        <v>#REF!</v>
      </c>
      <c r="D18" s="69" t="e">
        <f t="shared" si="1"/>
        <v>#REF!</v>
      </c>
      <c r="E18" s="71" t="e">
        <f t="shared" si="2"/>
        <v>#REF!</v>
      </c>
      <c r="F18" s="69"/>
      <c r="G18" s="69" t="e">
        <f t="shared" si="3"/>
        <v>#REF!</v>
      </c>
      <c r="H18" s="69" t="e">
        <f t="shared" si="4"/>
        <v>#REF!</v>
      </c>
      <c r="I18" s="71" t="e">
        <f t="shared" si="5"/>
        <v>#REF!</v>
      </c>
      <c r="J18" s="69"/>
      <c r="K18" s="69" t="e">
        <f t="shared" si="6"/>
        <v>#REF!</v>
      </c>
      <c r="L18" s="69" t="e">
        <f t="shared" si="7"/>
        <v>#REF!</v>
      </c>
      <c r="M18" s="71" t="e">
        <f t="shared" si="8"/>
        <v>#REF!</v>
      </c>
      <c r="N18" s="71"/>
      <c r="O18" s="70" t="e">
        <f t="shared" si="9"/>
        <v>#REF!</v>
      </c>
      <c r="P18" s="70" t="e">
        <f t="shared" si="10"/>
        <v>#REF!</v>
      </c>
      <c r="Q18" s="71" t="e">
        <f t="shared" si="11"/>
        <v>#REF!</v>
      </c>
      <c r="R18" s="71"/>
      <c r="S18" s="70" t="e">
        <f t="shared" si="12"/>
        <v>#REF!</v>
      </c>
      <c r="T18" s="70" t="e">
        <f t="shared" si="13"/>
        <v>#REF!</v>
      </c>
      <c r="U18" s="71" t="e">
        <f t="shared" si="14"/>
        <v>#REF!</v>
      </c>
      <c r="V18" s="71"/>
      <c r="W18" s="70" t="e">
        <f t="shared" si="15"/>
        <v>#REF!</v>
      </c>
      <c r="X18" s="70" t="e">
        <f t="shared" si="16"/>
        <v>#REF!</v>
      </c>
      <c r="Y18" s="71" t="e">
        <f t="shared" si="17"/>
        <v>#REF!</v>
      </c>
    </row>
    <row r="19" spans="1:25" ht="16.5" customHeight="1">
      <c r="A19" s="60" t="s">
        <v>43</v>
      </c>
      <c r="B19" s="60" t="s">
        <v>44</v>
      </c>
      <c r="C19" s="69" t="e">
        <f t="shared" si="0"/>
        <v>#REF!</v>
      </c>
      <c r="D19" s="69" t="e">
        <f t="shared" si="1"/>
        <v>#REF!</v>
      </c>
      <c r="E19" s="71" t="e">
        <f t="shared" si="2"/>
        <v>#REF!</v>
      </c>
      <c r="F19" s="69"/>
      <c r="G19" s="69" t="e">
        <f t="shared" si="3"/>
        <v>#REF!</v>
      </c>
      <c r="H19" s="69" t="e">
        <f t="shared" si="4"/>
        <v>#REF!</v>
      </c>
      <c r="I19" s="71" t="e">
        <f t="shared" si="5"/>
        <v>#REF!</v>
      </c>
      <c r="J19" s="69"/>
      <c r="K19" s="69" t="e">
        <f t="shared" si="6"/>
        <v>#REF!</v>
      </c>
      <c r="L19" s="69" t="e">
        <f t="shared" si="7"/>
        <v>#REF!</v>
      </c>
      <c r="M19" s="71" t="e">
        <f t="shared" si="8"/>
        <v>#REF!</v>
      </c>
      <c r="N19" s="71"/>
      <c r="O19" s="70" t="e">
        <f t="shared" si="9"/>
        <v>#REF!</v>
      </c>
      <c r="P19" s="70" t="e">
        <f t="shared" si="10"/>
        <v>#REF!</v>
      </c>
      <c r="Q19" s="71" t="e">
        <f t="shared" si="11"/>
        <v>#REF!</v>
      </c>
      <c r="R19" s="71"/>
      <c r="S19" s="70" t="e">
        <f t="shared" si="12"/>
        <v>#REF!</v>
      </c>
      <c r="T19" s="70" t="e">
        <f t="shared" si="13"/>
        <v>#REF!</v>
      </c>
      <c r="U19" s="71" t="e">
        <f t="shared" si="14"/>
        <v>#REF!</v>
      </c>
      <c r="V19" s="71"/>
      <c r="W19" s="70" t="e">
        <f t="shared" si="15"/>
        <v>#REF!</v>
      </c>
      <c r="X19" s="70" t="e">
        <f t="shared" si="16"/>
        <v>#REF!</v>
      </c>
      <c r="Y19" s="71" t="e">
        <f t="shared" si="17"/>
        <v>#REF!</v>
      </c>
    </row>
    <row r="20" spans="1:25" ht="16.5" customHeight="1">
      <c r="A20" s="60" t="s">
        <v>45</v>
      </c>
      <c r="B20" s="60" t="s">
        <v>46</v>
      </c>
      <c r="C20" s="69" t="e">
        <f t="shared" si="0"/>
        <v>#REF!</v>
      </c>
      <c r="D20" s="69" t="e">
        <f t="shared" si="1"/>
        <v>#REF!</v>
      </c>
      <c r="E20" s="71" t="e">
        <f t="shared" si="2"/>
        <v>#REF!</v>
      </c>
      <c r="F20" s="69"/>
      <c r="G20" s="69" t="e">
        <f t="shared" si="3"/>
        <v>#REF!</v>
      </c>
      <c r="H20" s="69" t="e">
        <f t="shared" si="4"/>
        <v>#REF!</v>
      </c>
      <c r="I20" s="71" t="e">
        <f t="shared" si="5"/>
        <v>#REF!</v>
      </c>
      <c r="J20" s="69"/>
      <c r="K20" s="69" t="e">
        <f t="shared" si="6"/>
        <v>#REF!</v>
      </c>
      <c r="L20" s="69" t="e">
        <f t="shared" si="7"/>
        <v>#REF!</v>
      </c>
      <c r="M20" s="71" t="e">
        <f t="shared" si="8"/>
        <v>#REF!</v>
      </c>
      <c r="N20" s="71"/>
      <c r="O20" s="70" t="e">
        <f t="shared" si="9"/>
        <v>#REF!</v>
      </c>
      <c r="P20" s="70" t="e">
        <f t="shared" si="10"/>
        <v>#REF!</v>
      </c>
      <c r="Q20" s="71" t="e">
        <f t="shared" si="11"/>
        <v>#REF!</v>
      </c>
      <c r="R20" s="71"/>
      <c r="S20" s="70" t="e">
        <f t="shared" si="12"/>
        <v>#REF!</v>
      </c>
      <c r="T20" s="70" t="e">
        <f t="shared" si="13"/>
        <v>#REF!</v>
      </c>
      <c r="U20" s="71" t="e">
        <f t="shared" si="14"/>
        <v>#REF!</v>
      </c>
      <c r="V20" s="71"/>
      <c r="W20" s="70" t="e">
        <f t="shared" si="15"/>
        <v>#REF!</v>
      </c>
      <c r="X20" s="70" t="e">
        <f t="shared" si="16"/>
        <v>#REF!</v>
      </c>
      <c r="Y20" s="71" t="e">
        <f t="shared" si="17"/>
        <v>#REF!</v>
      </c>
    </row>
    <row r="21" spans="1:25" ht="16.5" customHeight="1">
      <c r="A21" s="60" t="s">
        <v>47</v>
      </c>
      <c r="B21" s="60" t="s">
        <v>48</v>
      </c>
      <c r="C21" s="69" t="e">
        <f t="shared" si="0"/>
        <v>#REF!</v>
      </c>
      <c r="D21" s="69" t="e">
        <f t="shared" si="1"/>
        <v>#REF!</v>
      </c>
      <c r="E21" s="71" t="e">
        <f t="shared" si="2"/>
        <v>#REF!</v>
      </c>
      <c r="F21" s="69"/>
      <c r="G21" s="69" t="e">
        <f t="shared" si="3"/>
        <v>#REF!</v>
      </c>
      <c r="H21" s="69" t="e">
        <f t="shared" si="4"/>
        <v>#REF!</v>
      </c>
      <c r="I21" s="71" t="e">
        <f t="shared" si="5"/>
        <v>#REF!</v>
      </c>
      <c r="J21" s="69"/>
      <c r="K21" s="69" t="e">
        <f t="shared" si="6"/>
        <v>#REF!</v>
      </c>
      <c r="L21" s="69" t="e">
        <f t="shared" si="7"/>
        <v>#REF!</v>
      </c>
      <c r="M21" s="71" t="e">
        <f t="shared" si="8"/>
        <v>#REF!</v>
      </c>
      <c r="N21" s="71"/>
      <c r="O21" s="70" t="e">
        <f t="shared" si="9"/>
        <v>#REF!</v>
      </c>
      <c r="P21" s="70" t="e">
        <f t="shared" si="10"/>
        <v>#REF!</v>
      </c>
      <c r="Q21" s="71" t="e">
        <f t="shared" si="11"/>
        <v>#REF!</v>
      </c>
      <c r="R21" s="71"/>
      <c r="S21" s="70" t="e">
        <f t="shared" si="12"/>
        <v>#REF!</v>
      </c>
      <c r="T21" s="70" t="e">
        <f t="shared" si="13"/>
        <v>#REF!</v>
      </c>
      <c r="U21" s="71" t="e">
        <f t="shared" si="14"/>
        <v>#REF!</v>
      </c>
      <c r="V21" s="71"/>
      <c r="W21" s="70" t="e">
        <f t="shared" si="15"/>
        <v>#REF!</v>
      </c>
      <c r="X21" s="70" t="e">
        <f t="shared" si="16"/>
        <v>#REF!</v>
      </c>
      <c r="Y21" s="71" t="e">
        <f t="shared" si="17"/>
        <v>#REF!</v>
      </c>
    </row>
    <row r="22" spans="1:25" ht="16.5" customHeight="1">
      <c r="A22" s="60" t="s">
        <v>49</v>
      </c>
      <c r="B22" s="60" t="s">
        <v>279</v>
      </c>
      <c r="C22" s="69" t="e">
        <f t="shared" si="0"/>
        <v>#REF!</v>
      </c>
      <c r="D22" s="69" t="e">
        <f t="shared" si="1"/>
        <v>#REF!</v>
      </c>
      <c r="E22" s="71" t="e">
        <f t="shared" si="2"/>
        <v>#REF!</v>
      </c>
      <c r="F22" s="69"/>
      <c r="G22" s="69" t="e">
        <f t="shared" si="3"/>
        <v>#REF!</v>
      </c>
      <c r="H22" s="69" t="e">
        <f t="shared" si="4"/>
        <v>#REF!</v>
      </c>
      <c r="I22" s="71" t="e">
        <f t="shared" si="5"/>
        <v>#REF!</v>
      </c>
      <c r="J22" s="69"/>
      <c r="K22" s="69" t="e">
        <f t="shared" si="6"/>
        <v>#REF!</v>
      </c>
      <c r="L22" s="69" t="e">
        <f t="shared" si="7"/>
        <v>#REF!</v>
      </c>
      <c r="M22" s="71" t="e">
        <f t="shared" si="8"/>
        <v>#REF!</v>
      </c>
      <c r="N22" s="71"/>
      <c r="O22" s="70" t="e">
        <f t="shared" si="9"/>
        <v>#REF!</v>
      </c>
      <c r="P22" s="70" t="e">
        <f t="shared" si="10"/>
        <v>#REF!</v>
      </c>
      <c r="Q22" s="71" t="e">
        <f t="shared" si="11"/>
        <v>#REF!</v>
      </c>
      <c r="R22" s="71"/>
      <c r="S22" s="70" t="e">
        <f t="shared" si="12"/>
        <v>#REF!</v>
      </c>
      <c r="T22" s="70" t="e">
        <f t="shared" si="13"/>
        <v>#REF!</v>
      </c>
      <c r="U22" s="71" t="e">
        <f t="shared" si="14"/>
        <v>#REF!</v>
      </c>
      <c r="V22" s="71"/>
      <c r="W22" s="70" t="e">
        <f t="shared" si="15"/>
        <v>#REF!</v>
      </c>
      <c r="X22" s="70" t="e">
        <f t="shared" si="16"/>
        <v>#REF!</v>
      </c>
      <c r="Y22" s="71" t="e">
        <f t="shared" si="17"/>
        <v>#REF!</v>
      </c>
    </row>
    <row r="23" spans="1:25" ht="16.5" customHeight="1">
      <c r="A23" s="60" t="s">
        <v>51</v>
      </c>
      <c r="B23" s="60" t="s">
        <v>52</v>
      </c>
      <c r="C23" s="69" t="e">
        <f t="shared" si="0"/>
        <v>#REF!</v>
      </c>
      <c r="D23" s="69" t="e">
        <f t="shared" si="1"/>
        <v>#REF!</v>
      </c>
      <c r="E23" s="71" t="e">
        <f t="shared" si="2"/>
        <v>#REF!</v>
      </c>
      <c r="F23" s="69"/>
      <c r="G23" s="69" t="e">
        <f t="shared" si="3"/>
        <v>#REF!</v>
      </c>
      <c r="H23" s="69" t="e">
        <f t="shared" si="4"/>
        <v>#REF!</v>
      </c>
      <c r="I23" s="71" t="e">
        <f t="shared" si="5"/>
        <v>#REF!</v>
      </c>
      <c r="J23" s="69"/>
      <c r="K23" s="69" t="e">
        <f t="shared" si="6"/>
        <v>#REF!</v>
      </c>
      <c r="L23" s="69" t="e">
        <f t="shared" si="7"/>
        <v>#REF!</v>
      </c>
      <c r="M23" s="71" t="e">
        <f t="shared" si="8"/>
        <v>#REF!</v>
      </c>
      <c r="N23" s="71"/>
      <c r="O23" s="70" t="e">
        <f t="shared" si="9"/>
        <v>#REF!</v>
      </c>
      <c r="P23" s="70" t="e">
        <f t="shared" si="10"/>
        <v>#REF!</v>
      </c>
      <c r="Q23" s="71" t="e">
        <f t="shared" si="11"/>
        <v>#REF!</v>
      </c>
      <c r="R23" s="71"/>
      <c r="S23" s="70" t="e">
        <f t="shared" si="12"/>
        <v>#REF!</v>
      </c>
      <c r="T23" s="70" t="e">
        <f t="shared" si="13"/>
        <v>#REF!</v>
      </c>
      <c r="U23" s="71" t="e">
        <f t="shared" si="14"/>
        <v>#REF!</v>
      </c>
      <c r="V23" s="71"/>
      <c r="W23" s="70" t="e">
        <f t="shared" si="15"/>
        <v>#REF!</v>
      </c>
      <c r="X23" s="70" t="e">
        <f t="shared" si="16"/>
        <v>#REF!</v>
      </c>
      <c r="Y23" s="71" t="e">
        <f t="shared" si="17"/>
        <v>#REF!</v>
      </c>
    </row>
    <row r="24" spans="1:25" ht="16.5" customHeight="1">
      <c r="A24" s="60" t="s">
        <v>57</v>
      </c>
      <c r="B24" s="60" t="s">
        <v>362</v>
      </c>
      <c r="C24" s="69" t="e">
        <f t="shared" si="0"/>
        <v>#REF!</v>
      </c>
      <c r="D24" s="69" t="e">
        <f t="shared" si="1"/>
        <v>#REF!</v>
      </c>
      <c r="E24" s="71" t="e">
        <f t="shared" si="2"/>
        <v>#REF!</v>
      </c>
      <c r="F24" s="69"/>
      <c r="G24" s="69" t="e">
        <f t="shared" si="3"/>
        <v>#REF!</v>
      </c>
      <c r="H24" s="69" t="e">
        <f t="shared" si="4"/>
        <v>#REF!</v>
      </c>
      <c r="I24" s="71" t="e">
        <f t="shared" si="5"/>
        <v>#REF!</v>
      </c>
      <c r="J24" s="69"/>
      <c r="K24" s="69" t="e">
        <f t="shared" si="6"/>
        <v>#REF!</v>
      </c>
      <c r="L24" s="69" t="e">
        <f t="shared" si="7"/>
        <v>#REF!</v>
      </c>
      <c r="M24" s="71" t="e">
        <f t="shared" si="8"/>
        <v>#REF!</v>
      </c>
      <c r="N24" s="71"/>
      <c r="O24" s="70" t="e">
        <f t="shared" si="9"/>
        <v>#REF!</v>
      </c>
      <c r="P24" s="70" t="e">
        <f t="shared" si="10"/>
        <v>#REF!</v>
      </c>
      <c r="Q24" s="71" t="e">
        <f t="shared" si="11"/>
        <v>#REF!</v>
      </c>
      <c r="R24" s="71"/>
      <c r="S24" s="70" t="e">
        <f t="shared" si="12"/>
        <v>#REF!</v>
      </c>
      <c r="T24" s="70" t="e">
        <f t="shared" si="13"/>
        <v>#REF!</v>
      </c>
      <c r="U24" s="71" t="e">
        <f t="shared" si="14"/>
        <v>#REF!</v>
      </c>
      <c r="V24" s="71"/>
      <c r="W24" s="70" t="e">
        <f t="shared" si="15"/>
        <v>#REF!</v>
      </c>
      <c r="X24" s="70" t="e">
        <f t="shared" si="16"/>
        <v>#REF!</v>
      </c>
      <c r="Y24" s="71" t="e">
        <f t="shared" si="17"/>
        <v>#REF!</v>
      </c>
    </row>
    <row r="25" spans="1:25" ht="16.5" customHeight="1">
      <c r="A25" s="60" t="s">
        <v>59</v>
      </c>
      <c r="B25" s="60" t="s">
        <v>60</v>
      </c>
      <c r="C25" s="69" t="e">
        <f t="shared" si="0"/>
        <v>#REF!</v>
      </c>
      <c r="D25" s="69" t="e">
        <f t="shared" si="1"/>
        <v>#REF!</v>
      </c>
      <c r="E25" s="71" t="e">
        <f t="shared" si="2"/>
        <v>#REF!</v>
      </c>
      <c r="F25" s="69"/>
      <c r="G25" s="69" t="e">
        <f t="shared" si="3"/>
        <v>#REF!</v>
      </c>
      <c r="H25" s="69" t="e">
        <f t="shared" si="4"/>
        <v>#REF!</v>
      </c>
      <c r="I25" s="71" t="e">
        <f t="shared" si="5"/>
        <v>#REF!</v>
      </c>
      <c r="J25" s="69"/>
      <c r="K25" s="69" t="e">
        <f t="shared" si="6"/>
        <v>#REF!</v>
      </c>
      <c r="L25" s="69" t="e">
        <f t="shared" si="7"/>
        <v>#REF!</v>
      </c>
      <c r="M25" s="71" t="e">
        <f t="shared" si="8"/>
        <v>#REF!</v>
      </c>
      <c r="N25" s="71"/>
      <c r="O25" s="70" t="e">
        <f t="shared" si="9"/>
        <v>#REF!</v>
      </c>
      <c r="P25" s="70" t="e">
        <f t="shared" si="10"/>
        <v>#REF!</v>
      </c>
      <c r="Q25" s="71" t="e">
        <f t="shared" si="11"/>
        <v>#REF!</v>
      </c>
      <c r="R25" s="71"/>
      <c r="S25" s="70" t="e">
        <f t="shared" si="12"/>
        <v>#REF!</v>
      </c>
      <c r="T25" s="70" t="e">
        <f t="shared" si="13"/>
        <v>#REF!</v>
      </c>
      <c r="U25" s="71" t="e">
        <f t="shared" si="14"/>
        <v>#REF!</v>
      </c>
      <c r="V25" s="71"/>
      <c r="W25" s="70" t="e">
        <f t="shared" si="15"/>
        <v>#REF!</v>
      </c>
      <c r="X25" s="70" t="e">
        <f t="shared" si="16"/>
        <v>#REF!</v>
      </c>
      <c r="Y25" s="71" t="e">
        <f t="shared" si="17"/>
        <v>#REF!</v>
      </c>
    </row>
    <row r="26" spans="1:25" ht="16.5" customHeight="1">
      <c r="A26" s="60" t="s">
        <v>61</v>
      </c>
      <c r="B26" s="60" t="s">
        <v>62</v>
      </c>
      <c r="C26" s="69" t="e">
        <f t="shared" si="0"/>
        <v>#REF!</v>
      </c>
      <c r="D26" s="69" t="e">
        <f t="shared" si="1"/>
        <v>#REF!</v>
      </c>
      <c r="E26" s="71" t="e">
        <f t="shared" si="2"/>
        <v>#REF!</v>
      </c>
      <c r="F26" s="69"/>
      <c r="G26" s="69" t="e">
        <f t="shared" si="3"/>
        <v>#REF!</v>
      </c>
      <c r="H26" s="69" t="e">
        <f t="shared" si="4"/>
        <v>#REF!</v>
      </c>
      <c r="I26" s="71" t="e">
        <f t="shared" si="5"/>
        <v>#REF!</v>
      </c>
      <c r="J26" s="69"/>
      <c r="K26" s="69" t="e">
        <f t="shared" si="6"/>
        <v>#REF!</v>
      </c>
      <c r="L26" s="69" t="e">
        <f t="shared" si="7"/>
        <v>#REF!</v>
      </c>
      <c r="M26" s="71" t="e">
        <f t="shared" si="8"/>
        <v>#REF!</v>
      </c>
      <c r="N26" s="71"/>
      <c r="O26" s="70" t="e">
        <f t="shared" si="9"/>
        <v>#REF!</v>
      </c>
      <c r="P26" s="70" t="e">
        <f t="shared" si="10"/>
        <v>#REF!</v>
      </c>
      <c r="Q26" s="71" t="e">
        <f t="shared" si="11"/>
        <v>#REF!</v>
      </c>
      <c r="R26" s="71"/>
      <c r="S26" s="70" t="e">
        <f t="shared" si="12"/>
        <v>#REF!</v>
      </c>
      <c r="T26" s="70" t="e">
        <f t="shared" si="13"/>
        <v>#REF!</v>
      </c>
      <c r="U26" s="71" t="e">
        <f t="shared" si="14"/>
        <v>#REF!</v>
      </c>
      <c r="V26" s="71"/>
      <c r="W26" s="70" t="e">
        <f t="shared" si="15"/>
        <v>#REF!</v>
      </c>
      <c r="X26" s="70" t="e">
        <f t="shared" si="16"/>
        <v>#REF!</v>
      </c>
      <c r="Y26" s="71" t="e">
        <f t="shared" si="17"/>
        <v>#REF!</v>
      </c>
    </row>
    <row r="27" spans="1:25" ht="16.5" customHeight="1">
      <c r="A27" s="60" t="s">
        <v>63</v>
      </c>
      <c r="B27" s="60" t="s">
        <v>64</v>
      </c>
      <c r="C27" s="69" t="e">
        <f t="shared" si="0"/>
        <v>#REF!</v>
      </c>
      <c r="D27" s="69" t="e">
        <f t="shared" si="1"/>
        <v>#REF!</v>
      </c>
      <c r="E27" s="71" t="e">
        <f t="shared" si="2"/>
        <v>#REF!</v>
      </c>
      <c r="F27" s="69"/>
      <c r="G27" s="69" t="e">
        <f t="shared" si="3"/>
        <v>#REF!</v>
      </c>
      <c r="H27" s="69" t="e">
        <f t="shared" si="4"/>
        <v>#REF!</v>
      </c>
      <c r="I27" s="71" t="e">
        <f t="shared" si="5"/>
        <v>#REF!</v>
      </c>
      <c r="J27" s="69"/>
      <c r="K27" s="69" t="e">
        <f t="shared" si="6"/>
        <v>#REF!</v>
      </c>
      <c r="L27" s="69" t="e">
        <f t="shared" si="7"/>
        <v>#REF!</v>
      </c>
      <c r="M27" s="71" t="e">
        <f t="shared" si="8"/>
        <v>#REF!</v>
      </c>
      <c r="N27" s="71"/>
      <c r="O27" s="70" t="e">
        <f t="shared" si="9"/>
        <v>#REF!</v>
      </c>
      <c r="P27" s="70" t="e">
        <f t="shared" si="10"/>
        <v>#REF!</v>
      </c>
      <c r="Q27" s="71" t="e">
        <f t="shared" si="11"/>
        <v>#REF!</v>
      </c>
      <c r="R27" s="71"/>
      <c r="S27" s="70" t="e">
        <f t="shared" si="12"/>
        <v>#REF!</v>
      </c>
      <c r="T27" s="70" t="e">
        <f t="shared" si="13"/>
        <v>#REF!</v>
      </c>
      <c r="U27" s="71" t="e">
        <f t="shared" si="14"/>
        <v>#REF!</v>
      </c>
      <c r="V27" s="71"/>
      <c r="W27" s="70" t="e">
        <f t="shared" si="15"/>
        <v>#REF!</v>
      </c>
      <c r="X27" s="70" t="e">
        <f t="shared" si="16"/>
        <v>#REF!</v>
      </c>
      <c r="Y27" s="71" t="e">
        <f t="shared" si="17"/>
        <v>#REF!</v>
      </c>
    </row>
    <row r="28" spans="1:25" ht="16.5" customHeight="1">
      <c r="A28" s="60" t="s">
        <v>65</v>
      </c>
      <c r="B28" s="60" t="s">
        <v>66</v>
      </c>
      <c r="C28" s="69" t="e">
        <f t="shared" si="0"/>
        <v>#REF!</v>
      </c>
      <c r="D28" s="69" t="e">
        <f t="shared" si="1"/>
        <v>#REF!</v>
      </c>
      <c r="E28" s="71" t="e">
        <f t="shared" si="2"/>
        <v>#REF!</v>
      </c>
      <c r="F28" s="69"/>
      <c r="G28" s="69" t="e">
        <f t="shared" si="3"/>
        <v>#REF!</v>
      </c>
      <c r="H28" s="69" t="e">
        <f t="shared" si="4"/>
        <v>#REF!</v>
      </c>
      <c r="I28" s="71" t="e">
        <f t="shared" si="5"/>
        <v>#REF!</v>
      </c>
      <c r="J28" s="69"/>
      <c r="K28" s="69" t="e">
        <f t="shared" si="6"/>
        <v>#REF!</v>
      </c>
      <c r="L28" s="69" t="e">
        <f t="shared" si="7"/>
        <v>#REF!</v>
      </c>
      <c r="M28" s="71" t="e">
        <f t="shared" si="8"/>
        <v>#REF!</v>
      </c>
      <c r="N28" s="71"/>
      <c r="O28" s="70" t="e">
        <f t="shared" si="9"/>
        <v>#REF!</v>
      </c>
      <c r="P28" s="70" t="e">
        <f t="shared" si="10"/>
        <v>#REF!</v>
      </c>
      <c r="Q28" s="71" t="e">
        <f t="shared" si="11"/>
        <v>#REF!</v>
      </c>
      <c r="R28" s="71"/>
      <c r="S28" s="70" t="e">
        <f t="shared" si="12"/>
        <v>#REF!</v>
      </c>
      <c r="T28" s="70" t="e">
        <f t="shared" si="13"/>
        <v>#REF!</v>
      </c>
      <c r="U28" s="71" t="e">
        <f t="shared" si="14"/>
        <v>#REF!</v>
      </c>
      <c r="V28" s="71"/>
      <c r="W28" s="70" t="e">
        <f t="shared" si="15"/>
        <v>#REF!</v>
      </c>
      <c r="X28" s="70" t="e">
        <f t="shared" si="16"/>
        <v>#REF!</v>
      </c>
      <c r="Y28" s="71" t="e">
        <f t="shared" si="17"/>
        <v>#REF!</v>
      </c>
    </row>
    <row r="29" spans="1:25" ht="16.5" customHeight="1">
      <c r="A29" s="60" t="s">
        <v>69</v>
      </c>
      <c r="B29" s="60" t="s">
        <v>70</v>
      </c>
      <c r="C29" s="69" t="e">
        <f t="shared" si="0"/>
        <v>#REF!</v>
      </c>
      <c r="D29" s="69" t="e">
        <f t="shared" si="1"/>
        <v>#REF!</v>
      </c>
      <c r="E29" s="71" t="e">
        <f t="shared" si="2"/>
        <v>#REF!</v>
      </c>
      <c r="F29" s="69"/>
      <c r="G29" s="69" t="e">
        <f t="shared" si="3"/>
        <v>#REF!</v>
      </c>
      <c r="H29" s="69" t="e">
        <f t="shared" si="4"/>
        <v>#REF!</v>
      </c>
      <c r="I29" s="71" t="e">
        <f t="shared" si="5"/>
        <v>#REF!</v>
      </c>
      <c r="J29" s="69"/>
      <c r="K29" s="69" t="e">
        <f t="shared" si="6"/>
        <v>#REF!</v>
      </c>
      <c r="L29" s="69" t="e">
        <f t="shared" si="7"/>
        <v>#REF!</v>
      </c>
      <c r="M29" s="71" t="e">
        <f t="shared" si="8"/>
        <v>#REF!</v>
      </c>
      <c r="N29" s="71"/>
      <c r="O29" s="70" t="e">
        <f t="shared" si="9"/>
        <v>#REF!</v>
      </c>
      <c r="P29" s="70" t="e">
        <f t="shared" si="10"/>
        <v>#REF!</v>
      </c>
      <c r="Q29" s="71" t="e">
        <f t="shared" si="11"/>
        <v>#REF!</v>
      </c>
      <c r="R29" s="71"/>
      <c r="S29" s="70" t="e">
        <f t="shared" si="12"/>
        <v>#REF!</v>
      </c>
      <c r="T29" s="70" t="e">
        <f t="shared" si="13"/>
        <v>#REF!</v>
      </c>
      <c r="U29" s="71" t="e">
        <f t="shared" si="14"/>
        <v>#REF!</v>
      </c>
      <c r="V29" s="71"/>
      <c r="W29" s="70" t="e">
        <f t="shared" si="15"/>
        <v>#REF!</v>
      </c>
      <c r="X29" s="70" t="e">
        <f t="shared" si="16"/>
        <v>#REF!</v>
      </c>
      <c r="Y29" s="71" t="e">
        <f t="shared" si="17"/>
        <v>#REF!</v>
      </c>
    </row>
    <row r="30" spans="1:25" ht="16.5" customHeight="1">
      <c r="A30" s="60" t="s">
        <v>71</v>
      </c>
      <c r="B30" s="60" t="s">
        <v>72</v>
      </c>
      <c r="C30" s="69" t="e">
        <f t="shared" si="0"/>
        <v>#REF!</v>
      </c>
      <c r="D30" s="69" t="e">
        <f t="shared" si="1"/>
        <v>#REF!</v>
      </c>
      <c r="E30" s="71" t="e">
        <f t="shared" si="2"/>
        <v>#REF!</v>
      </c>
      <c r="F30" s="69"/>
      <c r="G30" s="69" t="e">
        <f t="shared" si="3"/>
        <v>#REF!</v>
      </c>
      <c r="H30" s="69" t="e">
        <f t="shared" si="4"/>
        <v>#REF!</v>
      </c>
      <c r="I30" s="71" t="e">
        <f t="shared" si="5"/>
        <v>#REF!</v>
      </c>
      <c r="J30" s="69"/>
      <c r="K30" s="69" t="e">
        <f t="shared" si="6"/>
        <v>#REF!</v>
      </c>
      <c r="L30" s="69" t="e">
        <f t="shared" si="7"/>
        <v>#REF!</v>
      </c>
      <c r="M30" s="71" t="e">
        <f t="shared" si="8"/>
        <v>#REF!</v>
      </c>
      <c r="N30" s="71"/>
      <c r="O30" s="70" t="e">
        <f t="shared" si="9"/>
        <v>#REF!</v>
      </c>
      <c r="P30" s="70" t="e">
        <f t="shared" si="10"/>
        <v>#REF!</v>
      </c>
      <c r="Q30" s="71" t="e">
        <f t="shared" si="11"/>
        <v>#REF!</v>
      </c>
      <c r="R30" s="71"/>
      <c r="S30" s="70" t="e">
        <f t="shared" si="12"/>
        <v>#REF!</v>
      </c>
      <c r="T30" s="70" t="e">
        <f t="shared" si="13"/>
        <v>#REF!</v>
      </c>
      <c r="U30" s="71" t="e">
        <f t="shared" si="14"/>
        <v>#REF!</v>
      </c>
      <c r="V30" s="71"/>
      <c r="W30" s="70" t="e">
        <f t="shared" si="15"/>
        <v>#REF!</v>
      </c>
      <c r="X30" s="70" t="e">
        <f t="shared" si="16"/>
        <v>#REF!</v>
      </c>
      <c r="Y30" s="71" t="e">
        <f t="shared" si="17"/>
        <v>#REF!</v>
      </c>
    </row>
    <row r="31" spans="1:25" ht="16.5" customHeight="1">
      <c r="A31" s="60" t="s">
        <v>73</v>
      </c>
      <c r="B31" s="60" t="s">
        <v>74</v>
      </c>
      <c r="C31" s="69" t="e">
        <f t="shared" si="0"/>
        <v>#REF!</v>
      </c>
      <c r="D31" s="69" t="e">
        <f t="shared" si="1"/>
        <v>#REF!</v>
      </c>
      <c r="E31" s="71" t="e">
        <f t="shared" si="2"/>
        <v>#REF!</v>
      </c>
      <c r="F31" s="69"/>
      <c r="G31" s="69" t="e">
        <f t="shared" si="3"/>
        <v>#REF!</v>
      </c>
      <c r="H31" s="69" t="e">
        <f t="shared" si="4"/>
        <v>#REF!</v>
      </c>
      <c r="I31" s="71" t="e">
        <f t="shared" si="5"/>
        <v>#REF!</v>
      </c>
      <c r="J31" s="69"/>
      <c r="K31" s="69" t="e">
        <f t="shared" si="6"/>
        <v>#REF!</v>
      </c>
      <c r="L31" s="69" t="e">
        <f t="shared" si="7"/>
        <v>#REF!</v>
      </c>
      <c r="M31" s="71" t="e">
        <f t="shared" si="8"/>
        <v>#REF!</v>
      </c>
      <c r="N31" s="71"/>
      <c r="O31" s="70" t="e">
        <f t="shared" si="9"/>
        <v>#REF!</v>
      </c>
      <c r="P31" s="70" t="e">
        <f t="shared" si="10"/>
        <v>#REF!</v>
      </c>
      <c r="Q31" s="71" t="e">
        <f t="shared" si="11"/>
        <v>#REF!</v>
      </c>
      <c r="R31" s="71"/>
      <c r="S31" s="70" t="e">
        <f t="shared" si="12"/>
        <v>#REF!</v>
      </c>
      <c r="T31" s="70" t="e">
        <f t="shared" si="13"/>
        <v>#REF!</v>
      </c>
      <c r="U31" s="71" t="e">
        <f t="shared" si="14"/>
        <v>#REF!</v>
      </c>
      <c r="V31" s="71"/>
      <c r="W31" s="70" t="e">
        <f t="shared" si="15"/>
        <v>#REF!</v>
      </c>
      <c r="X31" s="70" t="e">
        <f t="shared" si="16"/>
        <v>#REF!</v>
      </c>
      <c r="Y31" s="71" t="e">
        <f t="shared" si="17"/>
        <v>#REF!</v>
      </c>
    </row>
    <row r="32" spans="1:25" ht="16.5" customHeight="1">
      <c r="A32" s="60" t="s">
        <v>75</v>
      </c>
      <c r="B32" s="60" t="s">
        <v>369</v>
      </c>
      <c r="C32" s="69" t="e">
        <f t="shared" si="0"/>
        <v>#REF!</v>
      </c>
      <c r="D32" s="69" t="e">
        <f t="shared" si="1"/>
        <v>#REF!</v>
      </c>
      <c r="E32" s="71" t="e">
        <f t="shared" si="2"/>
        <v>#REF!</v>
      </c>
      <c r="F32" s="69"/>
      <c r="G32" s="69" t="e">
        <f t="shared" si="3"/>
        <v>#REF!</v>
      </c>
      <c r="H32" s="69" t="e">
        <f t="shared" si="4"/>
        <v>#REF!</v>
      </c>
      <c r="I32" s="71" t="e">
        <f t="shared" si="5"/>
        <v>#REF!</v>
      </c>
      <c r="J32" s="69"/>
      <c r="K32" s="69" t="e">
        <f t="shared" si="6"/>
        <v>#REF!</v>
      </c>
      <c r="L32" s="69" t="e">
        <f t="shared" si="7"/>
        <v>#REF!</v>
      </c>
      <c r="M32" s="71" t="e">
        <f t="shared" si="8"/>
        <v>#REF!</v>
      </c>
      <c r="N32" s="71"/>
      <c r="O32" s="70" t="e">
        <f t="shared" si="9"/>
        <v>#REF!</v>
      </c>
      <c r="P32" s="70" t="e">
        <f t="shared" si="10"/>
        <v>#REF!</v>
      </c>
      <c r="Q32" s="71" t="e">
        <f t="shared" si="11"/>
        <v>#REF!</v>
      </c>
      <c r="R32" s="71"/>
      <c r="S32" s="70" t="e">
        <f t="shared" si="12"/>
        <v>#REF!</v>
      </c>
      <c r="T32" s="70" t="e">
        <f t="shared" si="13"/>
        <v>#REF!</v>
      </c>
      <c r="U32" s="71" t="e">
        <f t="shared" si="14"/>
        <v>#REF!</v>
      </c>
      <c r="V32" s="71"/>
      <c r="W32" s="70" t="e">
        <f t="shared" si="15"/>
        <v>#REF!</v>
      </c>
      <c r="X32" s="70" t="e">
        <f t="shared" si="16"/>
        <v>#REF!</v>
      </c>
      <c r="Y32" s="71" t="e">
        <f t="shared" si="17"/>
        <v>#REF!</v>
      </c>
    </row>
    <row r="33" spans="1:25" ht="16.5" customHeight="1">
      <c r="A33" s="60" t="s">
        <v>77</v>
      </c>
      <c r="B33" s="60" t="s">
        <v>78</v>
      </c>
      <c r="C33" s="69" t="e">
        <f t="shared" si="0"/>
        <v>#REF!</v>
      </c>
      <c r="D33" s="69" t="e">
        <f t="shared" si="1"/>
        <v>#REF!</v>
      </c>
      <c r="E33" s="71" t="e">
        <f t="shared" si="2"/>
        <v>#REF!</v>
      </c>
      <c r="F33" s="69"/>
      <c r="G33" s="69" t="e">
        <f t="shared" si="3"/>
        <v>#REF!</v>
      </c>
      <c r="H33" s="69" t="e">
        <f t="shared" si="4"/>
        <v>#REF!</v>
      </c>
      <c r="I33" s="71" t="e">
        <f t="shared" si="5"/>
        <v>#REF!</v>
      </c>
      <c r="J33" s="69"/>
      <c r="K33" s="69" t="e">
        <f t="shared" si="6"/>
        <v>#REF!</v>
      </c>
      <c r="L33" s="69" t="e">
        <f t="shared" si="7"/>
        <v>#REF!</v>
      </c>
      <c r="M33" s="71" t="e">
        <f t="shared" si="8"/>
        <v>#REF!</v>
      </c>
      <c r="N33" s="71"/>
      <c r="O33" s="70" t="e">
        <f t="shared" si="9"/>
        <v>#REF!</v>
      </c>
      <c r="P33" s="70" t="e">
        <f t="shared" si="10"/>
        <v>#REF!</v>
      </c>
      <c r="Q33" s="71" t="e">
        <f t="shared" si="11"/>
        <v>#REF!</v>
      </c>
      <c r="R33" s="71"/>
      <c r="S33" s="70" t="e">
        <f t="shared" si="12"/>
        <v>#REF!</v>
      </c>
      <c r="T33" s="70" t="e">
        <f t="shared" si="13"/>
        <v>#REF!</v>
      </c>
      <c r="U33" s="71" t="e">
        <f t="shared" si="14"/>
        <v>#REF!</v>
      </c>
      <c r="V33" s="71"/>
      <c r="W33" s="70" t="e">
        <f t="shared" si="15"/>
        <v>#REF!</v>
      </c>
      <c r="X33" s="70" t="e">
        <f t="shared" si="16"/>
        <v>#REF!</v>
      </c>
      <c r="Y33" s="71" t="e">
        <f t="shared" si="17"/>
        <v>#REF!</v>
      </c>
    </row>
    <row r="34" spans="1:25" ht="16.5" customHeight="1">
      <c r="A34" s="60" t="s">
        <v>79</v>
      </c>
      <c r="B34" s="60" t="s">
        <v>80</v>
      </c>
      <c r="C34" s="69" t="e">
        <f t="shared" si="0"/>
        <v>#REF!</v>
      </c>
      <c r="D34" s="69" t="e">
        <f t="shared" si="1"/>
        <v>#REF!</v>
      </c>
      <c r="E34" s="71" t="e">
        <f t="shared" si="2"/>
        <v>#REF!</v>
      </c>
      <c r="F34" s="69"/>
      <c r="G34" s="69" t="e">
        <f t="shared" si="3"/>
        <v>#REF!</v>
      </c>
      <c r="H34" s="69" t="e">
        <f t="shared" si="4"/>
        <v>#REF!</v>
      </c>
      <c r="I34" s="71" t="e">
        <f t="shared" si="5"/>
        <v>#REF!</v>
      </c>
      <c r="J34" s="69"/>
      <c r="K34" s="69" t="e">
        <f t="shared" si="6"/>
        <v>#REF!</v>
      </c>
      <c r="L34" s="69" t="e">
        <f t="shared" si="7"/>
        <v>#REF!</v>
      </c>
      <c r="M34" s="71" t="e">
        <f t="shared" si="8"/>
        <v>#REF!</v>
      </c>
      <c r="N34" s="71"/>
      <c r="O34" s="70" t="e">
        <f t="shared" si="9"/>
        <v>#REF!</v>
      </c>
      <c r="P34" s="70" t="e">
        <f t="shared" si="10"/>
        <v>#REF!</v>
      </c>
      <c r="Q34" s="71" t="e">
        <f t="shared" si="11"/>
        <v>#REF!</v>
      </c>
      <c r="R34" s="71"/>
      <c r="S34" s="70" t="e">
        <f t="shared" si="12"/>
        <v>#REF!</v>
      </c>
      <c r="T34" s="70" t="e">
        <f t="shared" si="13"/>
        <v>#REF!</v>
      </c>
      <c r="U34" s="71" t="e">
        <f t="shared" si="14"/>
        <v>#REF!</v>
      </c>
      <c r="V34" s="71"/>
      <c r="W34" s="70" t="e">
        <f t="shared" si="15"/>
        <v>#REF!</v>
      </c>
      <c r="X34" s="70" t="e">
        <f t="shared" si="16"/>
        <v>#REF!</v>
      </c>
      <c r="Y34" s="71" t="e">
        <f t="shared" si="17"/>
        <v>#REF!</v>
      </c>
    </row>
    <row r="35" spans="1:25" ht="16.5" customHeight="1">
      <c r="A35" s="60" t="s">
        <v>81</v>
      </c>
      <c r="B35" s="60" t="s">
        <v>82</v>
      </c>
      <c r="C35" s="69" t="e">
        <f t="shared" si="0"/>
        <v>#REF!</v>
      </c>
      <c r="D35" s="69" t="e">
        <f t="shared" si="1"/>
        <v>#REF!</v>
      </c>
      <c r="E35" s="71" t="e">
        <f t="shared" si="2"/>
        <v>#REF!</v>
      </c>
      <c r="F35" s="69"/>
      <c r="G35" s="69" t="e">
        <f t="shared" si="3"/>
        <v>#REF!</v>
      </c>
      <c r="H35" s="69" t="e">
        <f t="shared" si="4"/>
        <v>#REF!</v>
      </c>
      <c r="I35" s="71" t="e">
        <f t="shared" si="5"/>
        <v>#REF!</v>
      </c>
      <c r="J35" s="69"/>
      <c r="K35" s="69" t="e">
        <f t="shared" si="6"/>
        <v>#REF!</v>
      </c>
      <c r="L35" s="69" t="e">
        <f t="shared" si="7"/>
        <v>#REF!</v>
      </c>
      <c r="M35" s="71" t="e">
        <f t="shared" si="8"/>
        <v>#REF!</v>
      </c>
      <c r="N35" s="71"/>
      <c r="O35" s="70" t="e">
        <f t="shared" si="9"/>
        <v>#REF!</v>
      </c>
      <c r="P35" s="70" t="e">
        <f t="shared" si="10"/>
        <v>#REF!</v>
      </c>
      <c r="Q35" s="71" t="e">
        <f t="shared" si="11"/>
        <v>#REF!</v>
      </c>
      <c r="R35" s="71"/>
      <c r="S35" s="70" t="e">
        <f t="shared" si="12"/>
        <v>#REF!</v>
      </c>
      <c r="T35" s="70" t="e">
        <f t="shared" si="13"/>
        <v>#REF!</v>
      </c>
      <c r="U35" s="71" t="e">
        <f t="shared" si="14"/>
        <v>#REF!</v>
      </c>
      <c r="V35" s="71"/>
      <c r="W35" s="70" t="e">
        <f t="shared" si="15"/>
        <v>#REF!</v>
      </c>
      <c r="X35" s="70" t="e">
        <f t="shared" si="16"/>
        <v>#REF!</v>
      </c>
      <c r="Y35" s="71" t="e">
        <f t="shared" si="17"/>
        <v>#REF!</v>
      </c>
    </row>
    <row r="36" spans="1:25" ht="16.5" customHeight="1">
      <c r="A36" s="60" t="s">
        <v>85</v>
      </c>
      <c r="B36" s="60" t="s">
        <v>387</v>
      </c>
      <c r="C36" s="69" t="e">
        <f t="shared" ref="C36:C67" si="18">VLOOKUP(A36,TANF_DEMO,7,FALSE)</f>
        <v>#REF!</v>
      </c>
      <c r="D36" s="69" t="e">
        <f t="shared" ref="D36:D67" si="19">VLOOKUP(A36,Pop,14,FALSE)</f>
        <v>#REF!</v>
      </c>
      <c r="E36" s="71" t="e">
        <f t="shared" ref="E36:E67" si="20">+C36/D36</f>
        <v>#REF!</v>
      </c>
      <c r="F36" s="69"/>
      <c r="G36" s="69" t="e">
        <f t="shared" ref="G36:G67" si="21">VLOOKUP(A36,TANF_DEMO,8,FALSE)</f>
        <v>#REF!</v>
      </c>
      <c r="H36" s="69" t="e">
        <f t="shared" ref="H36:H67" si="22">VLOOKUP(A36,Pop,15,FALSE)</f>
        <v>#REF!</v>
      </c>
      <c r="I36" s="71" t="e">
        <f t="shared" ref="I36:I67" si="23">+G36/H36</f>
        <v>#REF!</v>
      </c>
      <c r="J36" s="69"/>
      <c r="K36" s="69" t="e">
        <f t="shared" ref="K36:K67" si="24">VLOOKUP(A36,TANF_DEMO,9,FALSE)</f>
        <v>#REF!</v>
      </c>
      <c r="L36" s="69" t="e">
        <f t="shared" ref="L36:L67" si="25">VLOOKUP(A36,Pop,16,FALSE)</f>
        <v>#REF!</v>
      </c>
      <c r="M36" s="71" t="e">
        <f t="shared" ref="M36:M67" si="26">+K36/L36</f>
        <v>#REF!</v>
      </c>
      <c r="N36" s="71"/>
      <c r="O36" s="70" t="e">
        <f t="shared" ref="O36:O67" si="27">VLOOKUP(A36,TANF_DEMO,3,FALSE)</f>
        <v>#REF!</v>
      </c>
      <c r="P36" s="70" t="e">
        <f t="shared" ref="P36:P67" si="28">VLOOKUP(A36,Pop,8,FALSE)</f>
        <v>#REF!</v>
      </c>
      <c r="Q36" s="71" t="e">
        <f t="shared" ref="Q36:Q67" si="29">+O36/P36</f>
        <v>#REF!</v>
      </c>
      <c r="R36" s="71"/>
      <c r="S36" s="70" t="e">
        <f t="shared" ref="S36:S67" si="30">VLOOKUP(A36,TANF_DEMO,4,FALSE)</f>
        <v>#REF!</v>
      </c>
      <c r="T36" s="70" t="e">
        <f t="shared" ref="T36:T67" si="31">VLOOKUP(A36,Pop,9,FALSE)</f>
        <v>#REF!</v>
      </c>
      <c r="U36" s="71" t="e">
        <f t="shared" ref="U36:U67" si="32">+S36/T36</f>
        <v>#REF!</v>
      </c>
      <c r="V36" s="71"/>
      <c r="W36" s="70" t="e">
        <f t="shared" ref="W36:W67" si="33">VLOOKUP(A36,TANF_DEMO,5,FALSE)</f>
        <v>#REF!</v>
      </c>
      <c r="X36" s="70" t="e">
        <f t="shared" ref="X36:X67" si="34">VLOOKUP(A36,Pop,10,FALSE)</f>
        <v>#REF!</v>
      </c>
      <c r="Y36" s="71" t="e">
        <f t="shared" ref="Y36:Y67" si="35">+W36/X36</f>
        <v>#REF!</v>
      </c>
    </row>
    <row r="37" spans="1:25" ht="16.5" customHeight="1">
      <c r="A37" s="60" t="s">
        <v>87</v>
      </c>
      <c r="B37" s="60" t="s">
        <v>88</v>
      </c>
      <c r="C37" s="69" t="e">
        <f t="shared" si="18"/>
        <v>#REF!</v>
      </c>
      <c r="D37" s="69" t="e">
        <f t="shared" si="19"/>
        <v>#REF!</v>
      </c>
      <c r="E37" s="71" t="e">
        <f t="shared" si="20"/>
        <v>#REF!</v>
      </c>
      <c r="F37" s="69"/>
      <c r="G37" s="69" t="e">
        <f t="shared" si="21"/>
        <v>#REF!</v>
      </c>
      <c r="H37" s="69" t="e">
        <f t="shared" si="22"/>
        <v>#REF!</v>
      </c>
      <c r="I37" s="71" t="e">
        <f t="shared" si="23"/>
        <v>#REF!</v>
      </c>
      <c r="J37" s="69"/>
      <c r="K37" s="69" t="e">
        <f t="shared" si="24"/>
        <v>#REF!</v>
      </c>
      <c r="L37" s="69" t="e">
        <f t="shared" si="25"/>
        <v>#REF!</v>
      </c>
      <c r="M37" s="71" t="e">
        <f t="shared" si="26"/>
        <v>#REF!</v>
      </c>
      <c r="N37" s="71"/>
      <c r="O37" s="70" t="e">
        <f t="shared" si="27"/>
        <v>#REF!</v>
      </c>
      <c r="P37" s="70" t="e">
        <f t="shared" si="28"/>
        <v>#REF!</v>
      </c>
      <c r="Q37" s="71" t="e">
        <f t="shared" si="29"/>
        <v>#REF!</v>
      </c>
      <c r="R37" s="71"/>
      <c r="S37" s="70" t="e">
        <f t="shared" si="30"/>
        <v>#REF!</v>
      </c>
      <c r="T37" s="70" t="e">
        <f t="shared" si="31"/>
        <v>#REF!</v>
      </c>
      <c r="U37" s="71" t="e">
        <f t="shared" si="32"/>
        <v>#REF!</v>
      </c>
      <c r="V37" s="71"/>
      <c r="W37" s="70" t="e">
        <f t="shared" si="33"/>
        <v>#REF!</v>
      </c>
      <c r="X37" s="70" t="e">
        <f t="shared" si="34"/>
        <v>#REF!</v>
      </c>
      <c r="Y37" s="71" t="e">
        <f t="shared" si="35"/>
        <v>#REF!</v>
      </c>
    </row>
    <row r="38" spans="1:25" ht="16.5" customHeight="1">
      <c r="A38" s="60" t="s">
        <v>93</v>
      </c>
      <c r="B38" s="60" t="s">
        <v>94</v>
      </c>
      <c r="C38" s="69" t="e">
        <f t="shared" si="18"/>
        <v>#REF!</v>
      </c>
      <c r="D38" s="69" t="e">
        <f t="shared" si="19"/>
        <v>#REF!</v>
      </c>
      <c r="E38" s="71" t="e">
        <f t="shared" si="20"/>
        <v>#REF!</v>
      </c>
      <c r="F38" s="69"/>
      <c r="G38" s="69" t="e">
        <f t="shared" si="21"/>
        <v>#REF!</v>
      </c>
      <c r="H38" s="69" t="e">
        <f t="shared" si="22"/>
        <v>#REF!</v>
      </c>
      <c r="I38" s="71" t="e">
        <f t="shared" si="23"/>
        <v>#REF!</v>
      </c>
      <c r="J38" s="69"/>
      <c r="K38" s="69" t="e">
        <f t="shared" si="24"/>
        <v>#REF!</v>
      </c>
      <c r="L38" s="69" t="e">
        <f t="shared" si="25"/>
        <v>#REF!</v>
      </c>
      <c r="M38" s="71" t="e">
        <f t="shared" si="26"/>
        <v>#REF!</v>
      </c>
      <c r="N38" s="71"/>
      <c r="O38" s="70" t="e">
        <f t="shared" si="27"/>
        <v>#REF!</v>
      </c>
      <c r="P38" s="70" t="e">
        <f t="shared" si="28"/>
        <v>#REF!</v>
      </c>
      <c r="Q38" s="71" t="e">
        <f t="shared" si="29"/>
        <v>#REF!</v>
      </c>
      <c r="R38" s="71"/>
      <c r="S38" s="70" t="e">
        <f t="shared" si="30"/>
        <v>#REF!</v>
      </c>
      <c r="T38" s="70" t="e">
        <f t="shared" si="31"/>
        <v>#REF!</v>
      </c>
      <c r="U38" s="71" t="e">
        <f t="shared" si="32"/>
        <v>#REF!</v>
      </c>
      <c r="V38" s="71"/>
      <c r="W38" s="70" t="e">
        <f t="shared" si="33"/>
        <v>#REF!</v>
      </c>
      <c r="X38" s="70" t="e">
        <f t="shared" si="34"/>
        <v>#REF!</v>
      </c>
      <c r="Y38" s="71" t="e">
        <f t="shared" si="35"/>
        <v>#REF!</v>
      </c>
    </row>
    <row r="39" spans="1:25" ht="16.5" customHeight="1">
      <c r="A39" s="60" t="s">
        <v>95</v>
      </c>
      <c r="B39" s="60" t="s">
        <v>96</v>
      </c>
      <c r="C39" s="69" t="e">
        <f t="shared" si="18"/>
        <v>#REF!</v>
      </c>
      <c r="D39" s="69" t="e">
        <f t="shared" si="19"/>
        <v>#REF!</v>
      </c>
      <c r="E39" s="71" t="e">
        <f t="shared" si="20"/>
        <v>#REF!</v>
      </c>
      <c r="F39" s="69"/>
      <c r="G39" s="69" t="e">
        <f t="shared" si="21"/>
        <v>#REF!</v>
      </c>
      <c r="H39" s="69" t="e">
        <f t="shared" si="22"/>
        <v>#REF!</v>
      </c>
      <c r="I39" s="71" t="e">
        <f t="shared" si="23"/>
        <v>#REF!</v>
      </c>
      <c r="J39" s="69"/>
      <c r="K39" s="69" t="e">
        <f t="shared" si="24"/>
        <v>#REF!</v>
      </c>
      <c r="L39" s="69" t="e">
        <f t="shared" si="25"/>
        <v>#REF!</v>
      </c>
      <c r="M39" s="71" t="e">
        <f t="shared" si="26"/>
        <v>#REF!</v>
      </c>
      <c r="N39" s="71"/>
      <c r="O39" s="70" t="e">
        <f t="shared" si="27"/>
        <v>#REF!</v>
      </c>
      <c r="P39" s="70" t="e">
        <f t="shared" si="28"/>
        <v>#REF!</v>
      </c>
      <c r="Q39" s="71" t="e">
        <f t="shared" si="29"/>
        <v>#REF!</v>
      </c>
      <c r="R39" s="71"/>
      <c r="S39" s="70" t="e">
        <f t="shared" si="30"/>
        <v>#REF!</v>
      </c>
      <c r="T39" s="70" t="e">
        <f t="shared" si="31"/>
        <v>#REF!</v>
      </c>
      <c r="U39" s="71" t="e">
        <f t="shared" si="32"/>
        <v>#REF!</v>
      </c>
      <c r="V39" s="71"/>
      <c r="W39" s="70" t="e">
        <f t="shared" si="33"/>
        <v>#REF!</v>
      </c>
      <c r="X39" s="70" t="e">
        <f t="shared" si="34"/>
        <v>#REF!</v>
      </c>
      <c r="Y39" s="71" t="e">
        <f t="shared" si="35"/>
        <v>#REF!</v>
      </c>
    </row>
    <row r="40" spans="1:25" ht="16.5" customHeight="1">
      <c r="A40" s="60" t="s">
        <v>97</v>
      </c>
      <c r="B40" s="60" t="s">
        <v>98</v>
      </c>
      <c r="C40" s="69" t="e">
        <f t="shared" si="18"/>
        <v>#REF!</v>
      </c>
      <c r="D40" s="69" t="e">
        <f t="shared" si="19"/>
        <v>#REF!</v>
      </c>
      <c r="E40" s="71" t="e">
        <f t="shared" si="20"/>
        <v>#REF!</v>
      </c>
      <c r="F40" s="69"/>
      <c r="G40" s="69" t="e">
        <f t="shared" si="21"/>
        <v>#REF!</v>
      </c>
      <c r="H40" s="69" t="e">
        <f t="shared" si="22"/>
        <v>#REF!</v>
      </c>
      <c r="I40" s="71" t="e">
        <f t="shared" si="23"/>
        <v>#REF!</v>
      </c>
      <c r="J40" s="69"/>
      <c r="K40" s="69" t="e">
        <f t="shared" si="24"/>
        <v>#REF!</v>
      </c>
      <c r="L40" s="69" t="e">
        <f t="shared" si="25"/>
        <v>#REF!</v>
      </c>
      <c r="M40" s="71" t="e">
        <f t="shared" si="26"/>
        <v>#REF!</v>
      </c>
      <c r="N40" s="71"/>
      <c r="O40" s="70" t="e">
        <f t="shared" si="27"/>
        <v>#REF!</v>
      </c>
      <c r="P40" s="70" t="e">
        <f t="shared" si="28"/>
        <v>#REF!</v>
      </c>
      <c r="Q40" s="71" t="e">
        <f t="shared" si="29"/>
        <v>#REF!</v>
      </c>
      <c r="R40" s="71"/>
      <c r="S40" s="70" t="e">
        <f t="shared" si="30"/>
        <v>#REF!</v>
      </c>
      <c r="T40" s="70" t="e">
        <f t="shared" si="31"/>
        <v>#REF!</v>
      </c>
      <c r="U40" s="71" t="e">
        <f t="shared" si="32"/>
        <v>#REF!</v>
      </c>
      <c r="V40" s="71"/>
      <c r="W40" s="70" t="e">
        <f t="shared" si="33"/>
        <v>#REF!</v>
      </c>
      <c r="X40" s="70" t="e">
        <f t="shared" si="34"/>
        <v>#REF!</v>
      </c>
      <c r="Y40" s="71" t="e">
        <f t="shared" si="35"/>
        <v>#REF!</v>
      </c>
    </row>
    <row r="41" spans="1:25" ht="16.5" customHeight="1">
      <c r="A41" s="60" t="s">
        <v>99</v>
      </c>
      <c r="B41" s="60" t="s">
        <v>100</v>
      </c>
      <c r="C41" s="69" t="e">
        <f t="shared" si="18"/>
        <v>#REF!</v>
      </c>
      <c r="D41" s="69" t="e">
        <f t="shared" si="19"/>
        <v>#REF!</v>
      </c>
      <c r="E41" s="71" t="e">
        <f t="shared" si="20"/>
        <v>#REF!</v>
      </c>
      <c r="F41" s="69"/>
      <c r="G41" s="69" t="e">
        <f t="shared" si="21"/>
        <v>#REF!</v>
      </c>
      <c r="H41" s="69" t="e">
        <f t="shared" si="22"/>
        <v>#REF!</v>
      </c>
      <c r="I41" s="71" t="e">
        <f t="shared" si="23"/>
        <v>#REF!</v>
      </c>
      <c r="J41" s="69"/>
      <c r="K41" s="69" t="e">
        <f t="shared" si="24"/>
        <v>#REF!</v>
      </c>
      <c r="L41" s="69" t="e">
        <f t="shared" si="25"/>
        <v>#REF!</v>
      </c>
      <c r="M41" s="71" t="e">
        <f t="shared" si="26"/>
        <v>#REF!</v>
      </c>
      <c r="N41" s="71"/>
      <c r="O41" s="70" t="e">
        <f t="shared" si="27"/>
        <v>#REF!</v>
      </c>
      <c r="P41" s="70" t="e">
        <f t="shared" si="28"/>
        <v>#REF!</v>
      </c>
      <c r="Q41" s="71" t="e">
        <f t="shared" si="29"/>
        <v>#REF!</v>
      </c>
      <c r="R41" s="71"/>
      <c r="S41" s="70" t="e">
        <f t="shared" si="30"/>
        <v>#REF!</v>
      </c>
      <c r="T41" s="70" t="e">
        <f t="shared" si="31"/>
        <v>#REF!</v>
      </c>
      <c r="U41" s="71" t="e">
        <f t="shared" si="32"/>
        <v>#REF!</v>
      </c>
      <c r="V41" s="71"/>
      <c r="W41" s="70" t="e">
        <f t="shared" si="33"/>
        <v>#REF!</v>
      </c>
      <c r="X41" s="70" t="e">
        <f t="shared" si="34"/>
        <v>#REF!</v>
      </c>
      <c r="Y41" s="71" t="e">
        <f t="shared" si="35"/>
        <v>#REF!</v>
      </c>
    </row>
    <row r="42" spans="1:25" ht="16.5" customHeight="1">
      <c r="A42" s="60" t="s">
        <v>101</v>
      </c>
      <c r="B42" s="60" t="s">
        <v>102</v>
      </c>
      <c r="C42" s="69" t="e">
        <f t="shared" si="18"/>
        <v>#REF!</v>
      </c>
      <c r="D42" s="69" t="e">
        <f t="shared" si="19"/>
        <v>#REF!</v>
      </c>
      <c r="E42" s="71" t="e">
        <f t="shared" si="20"/>
        <v>#REF!</v>
      </c>
      <c r="F42" s="69"/>
      <c r="G42" s="69" t="e">
        <f t="shared" si="21"/>
        <v>#REF!</v>
      </c>
      <c r="H42" s="69" t="e">
        <f t="shared" si="22"/>
        <v>#REF!</v>
      </c>
      <c r="I42" s="71" t="e">
        <f t="shared" si="23"/>
        <v>#REF!</v>
      </c>
      <c r="J42" s="69"/>
      <c r="K42" s="69" t="e">
        <f t="shared" si="24"/>
        <v>#REF!</v>
      </c>
      <c r="L42" s="69" t="e">
        <f t="shared" si="25"/>
        <v>#REF!</v>
      </c>
      <c r="M42" s="71" t="e">
        <f t="shared" si="26"/>
        <v>#REF!</v>
      </c>
      <c r="N42" s="71"/>
      <c r="O42" s="70" t="e">
        <f t="shared" si="27"/>
        <v>#REF!</v>
      </c>
      <c r="P42" s="70" t="e">
        <f t="shared" si="28"/>
        <v>#REF!</v>
      </c>
      <c r="Q42" s="71" t="e">
        <f t="shared" si="29"/>
        <v>#REF!</v>
      </c>
      <c r="R42" s="71"/>
      <c r="S42" s="70" t="e">
        <f t="shared" si="30"/>
        <v>#REF!</v>
      </c>
      <c r="T42" s="70" t="e">
        <f t="shared" si="31"/>
        <v>#REF!</v>
      </c>
      <c r="U42" s="71" t="e">
        <f t="shared" si="32"/>
        <v>#REF!</v>
      </c>
      <c r="V42" s="71"/>
      <c r="W42" s="70" t="e">
        <f t="shared" si="33"/>
        <v>#REF!</v>
      </c>
      <c r="X42" s="70" t="e">
        <f t="shared" si="34"/>
        <v>#REF!</v>
      </c>
      <c r="Y42" s="71" t="e">
        <f t="shared" si="35"/>
        <v>#REF!</v>
      </c>
    </row>
    <row r="43" spans="1:25" ht="16.5" customHeight="1">
      <c r="A43" s="60" t="s">
        <v>103</v>
      </c>
      <c r="B43" s="60" t="s">
        <v>104</v>
      </c>
      <c r="C43" s="69" t="e">
        <f t="shared" si="18"/>
        <v>#REF!</v>
      </c>
      <c r="D43" s="69" t="e">
        <f t="shared" si="19"/>
        <v>#REF!</v>
      </c>
      <c r="E43" s="71" t="e">
        <f t="shared" si="20"/>
        <v>#REF!</v>
      </c>
      <c r="F43" s="69"/>
      <c r="G43" s="69" t="e">
        <f t="shared" si="21"/>
        <v>#REF!</v>
      </c>
      <c r="H43" s="69" t="e">
        <f t="shared" si="22"/>
        <v>#REF!</v>
      </c>
      <c r="I43" s="71" t="e">
        <f t="shared" si="23"/>
        <v>#REF!</v>
      </c>
      <c r="J43" s="69"/>
      <c r="K43" s="69" t="e">
        <f t="shared" si="24"/>
        <v>#REF!</v>
      </c>
      <c r="L43" s="69" t="e">
        <f t="shared" si="25"/>
        <v>#REF!</v>
      </c>
      <c r="M43" s="71" t="e">
        <f t="shared" si="26"/>
        <v>#REF!</v>
      </c>
      <c r="N43" s="71"/>
      <c r="O43" s="70" t="e">
        <f t="shared" si="27"/>
        <v>#REF!</v>
      </c>
      <c r="P43" s="70" t="e">
        <f t="shared" si="28"/>
        <v>#REF!</v>
      </c>
      <c r="Q43" s="71" t="e">
        <f t="shared" si="29"/>
        <v>#REF!</v>
      </c>
      <c r="R43" s="71"/>
      <c r="S43" s="70" t="e">
        <f t="shared" si="30"/>
        <v>#REF!</v>
      </c>
      <c r="T43" s="70" t="e">
        <f t="shared" si="31"/>
        <v>#REF!</v>
      </c>
      <c r="U43" s="71" t="e">
        <f t="shared" si="32"/>
        <v>#REF!</v>
      </c>
      <c r="V43" s="71"/>
      <c r="W43" s="70" t="e">
        <f t="shared" si="33"/>
        <v>#REF!</v>
      </c>
      <c r="X43" s="70" t="e">
        <f t="shared" si="34"/>
        <v>#REF!</v>
      </c>
      <c r="Y43" s="71" t="e">
        <f t="shared" si="35"/>
        <v>#REF!</v>
      </c>
    </row>
    <row r="44" spans="1:25" ht="16.5" customHeight="1">
      <c r="A44" s="60" t="s">
        <v>105</v>
      </c>
      <c r="B44" s="60" t="s">
        <v>388</v>
      </c>
      <c r="C44" s="69" t="e">
        <f t="shared" si="18"/>
        <v>#REF!</v>
      </c>
      <c r="D44" s="69" t="e">
        <f t="shared" si="19"/>
        <v>#REF!</v>
      </c>
      <c r="E44" s="71" t="e">
        <f t="shared" si="20"/>
        <v>#REF!</v>
      </c>
      <c r="F44" s="69"/>
      <c r="G44" s="69" t="e">
        <f t="shared" si="21"/>
        <v>#REF!</v>
      </c>
      <c r="H44" s="69" t="e">
        <f t="shared" si="22"/>
        <v>#REF!</v>
      </c>
      <c r="I44" s="71" t="e">
        <f t="shared" si="23"/>
        <v>#REF!</v>
      </c>
      <c r="J44" s="69"/>
      <c r="K44" s="69" t="e">
        <f t="shared" si="24"/>
        <v>#REF!</v>
      </c>
      <c r="L44" s="69" t="e">
        <f t="shared" si="25"/>
        <v>#REF!</v>
      </c>
      <c r="M44" s="71" t="e">
        <f t="shared" si="26"/>
        <v>#REF!</v>
      </c>
      <c r="N44" s="71"/>
      <c r="O44" s="70" t="e">
        <f t="shared" si="27"/>
        <v>#REF!</v>
      </c>
      <c r="P44" s="70" t="e">
        <f t="shared" si="28"/>
        <v>#REF!</v>
      </c>
      <c r="Q44" s="71" t="e">
        <f t="shared" si="29"/>
        <v>#REF!</v>
      </c>
      <c r="R44" s="71"/>
      <c r="S44" s="70" t="e">
        <f t="shared" si="30"/>
        <v>#REF!</v>
      </c>
      <c r="T44" s="70" t="e">
        <f t="shared" si="31"/>
        <v>#REF!</v>
      </c>
      <c r="U44" s="71" t="e">
        <f t="shared" si="32"/>
        <v>#REF!</v>
      </c>
      <c r="V44" s="71"/>
      <c r="W44" s="70" t="e">
        <f t="shared" si="33"/>
        <v>#REF!</v>
      </c>
      <c r="X44" s="70" t="e">
        <f t="shared" si="34"/>
        <v>#REF!</v>
      </c>
      <c r="Y44" s="71" t="e">
        <f t="shared" si="35"/>
        <v>#REF!</v>
      </c>
    </row>
    <row r="45" spans="1:25" ht="16.5" customHeight="1">
      <c r="A45" s="60" t="s">
        <v>109</v>
      </c>
      <c r="B45" s="60" t="s">
        <v>110</v>
      </c>
      <c r="C45" s="69" t="e">
        <f t="shared" si="18"/>
        <v>#REF!</v>
      </c>
      <c r="D45" s="69" t="e">
        <f t="shared" si="19"/>
        <v>#REF!</v>
      </c>
      <c r="E45" s="71" t="e">
        <f t="shared" si="20"/>
        <v>#REF!</v>
      </c>
      <c r="F45" s="69"/>
      <c r="G45" s="69" t="e">
        <f t="shared" si="21"/>
        <v>#REF!</v>
      </c>
      <c r="H45" s="69" t="e">
        <f t="shared" si="22"/>
        <v>#REF!</v>
      </c>
      <c r="I45" s="71" t="e">
        <f t="shared" si="23"/>
        <v>#REF!</v>
      </c>
      <c r="J45" s="69"/>
      <c r="K45" s="69" t="e">
        <f t="shared" si="24"/>
        <v>#REF!</v>
      </c>
      <c r="L45" s="69" t="e">
        <f t="shared" si="25"/>
        <v>#REF!</v>
      </c>
      <c r="M45" s="71" t="e">
        <f t="shared" si="26"/>
        <v>#REF!</v>
      </c>
      <c r="N45" s="71"/>
      <c r="O45" s="70" t="e">
        <f t="shared" si="27"/>
        <v>#REF!</v>
      </c>
      <c r="P45" s="70" t="e">
        <f t="shared" si="28"/>
        <v>#REF!</v>
      </c>
      <c r="Q45" s="71" t="e">
        <f t="shared" si="29"/>
        <v>#REF!</v>
      </c>
      <c r="R45" s="71"/>
      <c r="S45" s="70" t="e">
        <f t="shared" si="30"/>
        <v>#REF!</v>
      </c>
      <c r="T45" s="70" t="e">
        <f t="shared" si="31"/>
        <v>#REF!</v>
      </c>
      <c r="U45" s="71" t="e">
        <f t="shared" si="32"/>
        <v>#REF!</v>
      </c>
      <c r="V45" s="71"/>
      <c r="W45" s="70" t="e">
        <f t="shared" si="33"/>
        <v>#REF!</v>
      </c>
      <c r="X45" s="70" t="e">
        <f t="shared" si="34"/>
        <v>#REF!</v>
      </c>
      <c r="Y45" s="71" t="e">
        <f t="shared" si="35"/>
        <v>#REF!</v>
      </c>
    </row>
    <row r="46" spans="1:25" ht="16.5" customHeight="1">
      <c r="A46" s="60" t="s">
        <v>111</v>
      </c>
      <c r="B46" s="60" t="s">
        <v>112</v>
      </c>
      <c r="C46" s="69" t="e">
        <f t="shared" si="18"/>
        <v>#REF!</v>
      </c>
      <c r="D46" s="69" t="e">
        <f t="shared" si="19"/>
        <v>#REF!</v>
      </c>
      <c r="E46" s="71" t="e">
        <f t="shared" si="20"/>
        <v>#REF!</v>
      </c>
      <c r="F46" s="69"/>
      <c r="G46" s="69" t="e">
        <f t="shared" si="21"/>
        <v>#REF!</v>
      </c>
      <c r="H46" s="69" t="e">
        <f t="shared" si="22"/>
        <v>#REF!</v>
      </c>
      <c r="I46" s="71" t="e">
        <f t="shared" si="23"/>
        <v>#REF!</v>
      </c>
      <c r="J46" s="69"/>
      <c r="K46" s="69" t="e">
        <f t="shared" si="24"/>
        <v>#REF!</v>
      </c>
      <c r="L46" s="69" t="e">
        <f t="shared" si="25"/>
        <v>#REF!</v>
      </c>
      <c r="M46" s="71" t="e">
        <f t="shared" si="26"/>
        <v>#REF!</v>
      </c>
      <c r="N46" s="71"/>
      <c r="O46" s="70" t="e">
        <f t="shared" si="27"/>
        <v>#REF!</v>
      </c>
      <c r="P46" s="70" t="e">
        <f t="shared" si="28"/>
        <v>#REF!</v>
      </c>
      <c r="Q46" s="71" t="e">
        <f t="shared" si="29"/>
        <v>#REF!</v>
      </c>
      <c r="R46" s="71"/>
      <c r="S46" s="70" t="e">
        <f t="shared" si="30"/>
        <v>#REF!</v>
      </c>
      <c r="T46" s="70" t="e">
        <f t="shared" si="31"/>
        <v>#REF!</v>
      </c>
      <c r="U46" s="71" t="e">
        <f t="shared" si="32"/>
        <v>#REF!</v>
      </c>
      <c r="V46" s="71"/>
      <c r="W46" s="70" t="e">
        <f t="shared" si="33"/>
        <v>#REF!</v>
      </c>
      <c r="X46" s="70" t="e">
        <f t="shared" si="34"/>
        <v>#REF!</v>
      </c>
      <c r="Y46" s="71" t="e">
        <f t="shared" si="35"/>
        <v>#REF!</v>
      </c>
    </row>
    <row r="47" spans="1:25" ht="16.5" customHeight="1">
      <c r="A47" s="60" t="s">
        <v>113</v>
      </c>
      <c r="B47" s="60" t="s">
        <v>367</v>
      </c>
      <c r="C47" s="69" t="e">
        <f t="shared" si="18"/>
        <v>#REF!</v>
      </c>
      <c r="D47" s="69" t="e">
        <f t="shared" si="19"/>
        <v>#REF!</v>
      </c>
      <c r="E47" s="71" t="e">
        <f t="shared" si="20"/>
        <v>#REF!</v>
      </c>
      <c r="F47" s="69"/>
      <c r="G47" s="69" t="e">
        <f t="shared" si="21"/>
        <v>#REF!</v>
      </c>
      <c r="H47" s="69" t="e">
        <f t="shared" si="22"/>
        <v>#REF!</v>
      </c>
      <c r="I47" s="71" t="e">
        <f t="shared" si="23"/>
        <v>#REF!</v>
      </c>
      <c r="J47" s="69"/>
      <c r="K47" s="69" t="e">
        <f t="shared" si="24"/>
        <v>#REF!</v>
      </c>
      <c r="L47" s="69" t="e">
        <f t="shared" si="25"/>
        <v>#REF!</v>
      </c>
      <c r="M47" s="71" t="e">
        <f t="shared" si="26"/>
        <v>#REF!</v>
      </c>
      <c r="N47" s="71"/>
      <c r="O47" s="70" t="e">
        <f t="shared" si="27"/>
        <v>#REF!</v>
      </c>
      <c r="P47" s="70" t="e">
        <f t="shared" si="28"/>
        <v>#REF!</v>
      </c>
      <c r="Q47" s="71" t="e">
        <f t="shared" si="29"/>
        <v>#REF!</v>
      </c>
      <c r="R47" s="71"/>
      <c r="S47" s="70" t="e">
        <f t="shared" si="30"/>
        <v>#REF!</v>
      </c>
      <c r="T47" s="70" t="e">
        <f t="shared" si="31"/>
        <v>#REF!</v>
      </c>
      <c r="U47" s="71" t="e">
        <f t="shared" si="32"/>
        <v>#REF!</v>
      </c>
      <c r="V47" s="71"/>
      <c r="W47" s="70" t="e">
        <f t="shared" si="33"/>
        <v>#REF!</v>
      </c>
      <c r="X47" s="70" t="e">
        <f t="shared" si="34"/>
        <v>#REF!</v>
      </c>
      <c r="Y47" s="71" t="e">
        <f t="shared" si="35"/>
        <v>#REF!</v>
      </c>
    </row>
    <row r="48" spans="1:25" ht="16.5" customHeight="1">
      <c r="A48" s="60" t="s">
        <v>115</v>
      </c>
      <c r="B48" s="60" t="s">
        <v>116</v>
      </c>
      <c r="C48" s="69" t="e">
        <f t="shared" si="18"/>
        <v>#REF!</v>
      </c>
      <c r="D48" s="69" t="e">
        <f t="shared" si="19"/>
        <v>#REF!</v>
      </c>
      <c r="E48" s="71" t="e">
        <f t="shared" si="20"/>
        <v>#REF!</v>
      </c>
      <c r="F48" s="69"/>
      <c r="G48" s="69" t="e">
        <f t="shared" si="21"/>
        <v>#REF!</v>
      </c>
      <c r="H48" s="69" t="e">
        <f t="shared" si="22"/>
        <v>#REF!</v>
      </c>
      <c r="I48" s="71" t="e">
        <f t="shared" si="23"/>
        <v>#REF!</v>
      </c>
      <c r="J48" s="69"/>
      <c r="K48" s="69" t="e">
        <f t="shared" si="24"/>
        <v>#REF!</v>
      </c>
      <c r="L48" s="69" t="e">
        <f t="shared" si="25"/>
        <v>#REF!</v>
      </c>
      <c r="M48" s="71" t="e">
        <f t="shared" si="26"/>
        <v>#REF!</v>
      </c>
      <c r="N48" s="71"/>
      <c r="O48" s="70" t="e">
        <f t="shared" si="27"/>
        <v>#REF!</v>
      </c>
      <c r="P48" s="70" t="e">
        <f t="shared" si="28"/>
        <v>#REF!</v>
      </c>
      <c r="Q48" s="71" t="e">
        <f t="shared" si="29"/>
        <v>#REF!</v>
      </c>
      <c r="R48" s="71"/>
      <c r="S48" s="70" t="e">
        <f t="shared" si="30"/>
        <v>#REF!</v>
      </c>
      <c r="T48" s="70" t="e">
        <f t="shared" si="31"/>
        <v>#REF!</v>
      </c>
      <c r="U48" s="71" t="e">
        <f t="shared" si="32"/>
        <v>#REF!</v>
      </c>
      <c r="V48" s="71"/>
      <c r="W48" s="70" t="e">
        <f t="shared" si="33"/>
        <v>#REF!</v>
      </c>
      <c r="X48" s="70" t="e">
        <f t="shared" si="34"/>
        <v>#REF!</v>
      </c>
      <c r="Y48" s="71" t="e">
        <f t="shared" si="35"/>
        <v>#REF!</v>
      </c>
    </row>
    <row r="49" spans="1:25" ht="16.5" customHeight="1">
      <c r="A49" s="60" t="s">
        <v>119</v>
      </c>
      <c r="B49" s="60" t="s">
        <v>120</v>
      </c>
      <c r="C49" s="69" t="e">
        <f t="shared" si="18"/>
        <v>#REF!</v>
      </c>
      <c r="D49" s="69" t="e">
        <f t="shared" si="19"/>
        <v>#REF!</v>
      </c>
      <c r="E49" s="71" t="e">
        <f t="shared" si="20"/>
        <v>#REF!</v>
      </c>
      <c r="F49" s="69"/>
      <c r="G49" s="69" t="e">
        <f t="shared" si="21"/>
        <v>#REF!</v>
      </c>
      <c r="H49" s="69" t="e">
        <f t="shared" si="22"/>
        <v>#REF!</v>
      </c>
      <c r="I49" s="71" t="e">
        <f t="shared" si="23"/>
        <v>#REF!</v>
      </c>
      <c r="J49" s="69"/>
      <c r="K49" s="69" t="e">
        <f t="shared" si="24"/>
        <v>#REF!</v>
      </c>
      <c r="L49" s="69" t="e">
        <f t="shared" si="25"/>
        <v>#REF!</v>
      </c>
      <c r="M49" s="71" t="e">
        <f t="shared" si="26"/>
        <v>#REF!</v>
      </c>
      <c r="N49" s="71"/>
      <c r="O49" s="70" t="e">
        <f t="shared" si="27"/>
        <v>#REF!</v>
      </c>
      <c r="P49" s="70" t="e">
        <f t="shared" si="28"/>
        <v>#REF!</v>
      </c>
      <c r="Q49" s="71" t="e">
        <f t="shared" si="29"/>
        <v>#REF!</v>
      </c>
      <c r="R49" s="71"/>
      <c r="S49" s="70" t="e">
        <f t="shared" si="30"/>
        <v>#REF!</v>
      </c>
      <c r="T49" s="70" t="e">
        <f t="shared" si="31"/>
        <v>#REF!</v>
      </c>
      <c r="U49" s="71" t="e">
        <f t="shared" si="32"/>
        <v>#REF!</v>
      </c>
      <c r="V49" s="71"/>
      <c r="W49" s="70" t="e">
        <f t="shared" si="33"/>
        <v>#REF!</v>
      </c>
      <c r="X49" s="70" t="e">
        <f t="shared" si="34"/>
        <v>#REF!</v>
      </c>
      <c r="Y49" s="71" t="e">
        <f t="shared" si="35"/>
        <v>#REF!</v>
      </c>
    </row>
    <row r="50" spans="1:25" ht="16.5" customHeight="1">
      <c r="A50" s="60" t="s">
        <v>121</v>
      </c>
      <c r="B50" s="60" t="s">
        <v>122</v>
      </c>
      <c r="C50" s="69" t="e">
        <f t="shared" si="18"/>
        <v>#REF!</v>
      </c>
      <c r="D50" s="69" t="e">
        <f t="shared" si="19"/>
        <v>#REF!</v>
      </c>
      <c r="E50" s="71" t="e">
        <f t="shared" si="20"/>
        <v>#REF!</v>
      </c>
      <c r="F50" s="69"/>
      <c r="G50" s="69" t="e">
        <f t="shared" si="21"/>
        <v>#REF!</v>
      </c>
      <c r="H50" s="69" t="e">
        <f t="shared" si="22"/>
        <v>#REF!</v>
      </c>
      <c r="I50" s="71" t="e">
        <f t="shared" si="23"/>
        <v>#REF!</v>
      </c>
      <c r="J50" s="69"/>
      <c r="K50" s="69" t="e">
        <f t="shared" si="24"/>
        <v>#REF!</v>
      </c>
      <c r="L50" s="69" t="e">
        <f t="shared" si="25"/>
        <v>#REF!</v>
      </c>
      <c r="M50" s="71" t="e">
        <f t="shared" si="26"/>
        <v>#REF!</v>
      </c>
      <c r="N50" s="71"/>
      <c r="O50" s="70" t="e">
        <f t="shared" si="27"/>
        <v>#REF!</v>
      </c>
      <c r="P50" s="70" t="e">
        <f t="shared" si="28"/>
        <v>#REF!</v>
      </c>
      <c r="Q50" s="71" t="e">
        <f t="shared" si="29"/>
        <v>#REF!</v>
      </c>
      <c r="R50" s="71"/>
      <c r="S50" s="70" t="e">
        <f t="shared" si="30"/>
        <v>#REF!</v>
      </c>
      <c r="T50" s="70" t="e">
        <f t="shared" si="31"/>
        <v>#REF!</v>
      </c>
      <c r="U50" s="71" t="e">
        <f t="shared" si="32"/>
        <v>#REF!</v>
      </c>
      <c r="V50" s="71"/>
      <c r="W50" s="70" t="e">
        <f t="shared" si="33"/>
        <v>#REF!</v>
      </c>
      <c r="X50" s="70" t="e">
        <f t="shared" si="34"/>
        <v>#REF!</v>
      </c>
      <c r="Y50" s="71" t="e">
        <f t="shared" si="35"/>
        <v>#REF!</v>
      </c>
    </row>
    <row r="51" spans="1:25" ht="16.5" customHeight="1">
      <c r="A51" s="60" t="s">
        <v>123</v>
      </c>
      <c r="B51" s="60" t="s">
        <v>284</v>
      </c>
      <c r="C51" s="69" t="e">
        <f t="shared" si="18"/>
        <v>#REF!</v>
      </c>
      <c r="D51" s="69" t="e">
        <f t="shared" si="19"/>
        <v>#REF!</v>
      </c>
      <c r="E51" s="71" t="e">
        <f t="shared" si="20"/>
        <v>#REF!</v>
      </c>
      <c r="F51" s="69"/>
      <c r="G51" s="69" t="e">
        <f t="shared" si="21"/>
        <v>#REF!</v>
      </c>
      <c r="H51" s="69" t="e">
        <f t="shared" si="22"/>
        <v>#REF!</v>
      </c>
      <c r="I51" s="71" t="e">
        <f t="shared" si="23"/>
        <v>#REF!</v>
      </c>
      <c r="J51" s="69"/>
      <c r="K51" s="69" t="e">
        <f t="shared" si="24"/>
        <v>#REF!</v>
      </c>
      <c r="L51" s="69" t="e">
        <f t="shared" si="25"/>
        <v>#REF!</v>
      </c>
      <c r="M51" s="71" t="e">
        <f t="shared" si="26"/>
        <v>#REF!</v>
      </c>
      <c r="N51" s="71"/>
      <c r="O51" s="70" t="e">
        <f t="shared" si="27"/>
        <v>#REF!</v>
      </c>
      <c r="P51" s="70" t="e">
        <f t="shared" si="28"/>
        <v>#REF!</v>
      </c>
      <c r="Q51" s="71" t="e">
        <f t="shared" si="29"/>
        <v>#REF!</v>
      </c>
      <c r="R51" s="71"/>
      <c r="S51" s="70" t="e">
        <f t="shared" si="30"/>
        <v>#REF!</v>
      </c>
      <c r="T51" s="70" t="e">
        <f t="shared" si="31"/>
        <v>#REF!</v>
      </c>
      <c r="U51" s="71" t="e">
        <f t="shared" si="32"/>
        <v>#REF!</v>
      </c>
      <c r="V51" s="71"/>
      <c r="W51" s="70" t="e">
        <f t="shared" si="33"/>
        <v>#REF!</v>
      </c>
      <c r="X51" s="70" t="e">
        <f t="shared" si="34"/>
        <v>#REF!</v>
      </c>
      <c r="Y51" s="71" t="e">
        <f t="shared" si="35"/>
        <v>#REF!</v>
      </c>
    </row>
    <row r="52" spans="1:25" ht="16.5" customHeight="1">
      <c r="A52" s="60" t="s">
        <v>125</v>
      </c>
      <c r="B52" s="60" t="s">
        <v>126</v>
      </c>
      <c r="C52" s="69" t="e">
        <f t="shared" si="18"/>
        <v>#REF!</v>
      </c>
      <c r="D52" s="69" t="e">
        <f t="shared" si="19"/>
        <v>#REF!</v>
      </c>
      <c r="E52" s="71" t="e">
        <f t="shared" si="20"/>
        <v>#REF!</v>
      </c>
      <c r="F52" s="69"/>
      <c r="G52" s="69" t="e">
        <f t="shared" si="21"/>
        <v>#REF!</v>
      </c>
      <c r="H52" s="69" t="e">
        <f t="shared" si="22"/>
        <v>#REF!</v>
      </c>
      <c r="I52" s="71" t="e">
        <f t="shared" si="23"/>
        <v>#REF!</v>
      </c>
      <c r="J52" s="69"/>
      <c r="K52" s="69" t="e">
        <f t="shared" si="24"/>
        <v>#REF!</v>
      </c>
      <c r="L52" s="69" t="e">
        <f t="shared" si="25"/>
        <v>#REF!</v>
      </c>
      <c r="M52" s="71" t="e">
        <f t="shared" si="26"/>
        <v>#REF!</v>
      </c>
      <c r="N52" s="71"/>
      <c r="O52" s="70" t="e">
        <f t="shared" si="27"/>
        <v>#REF!</v>
      </c>
      <c r="P52" s="70" t="e">
        <f t="shared" si="28"/>
        <v>#REF!</v>
      </c>
      <c r="Q52" s="71" t="e">
        <f t="shared" si="29"/>
        <v>#REF!</v>
      </c>
      <c r="R52" s="71"/>
      <c r="S52" s="70" t="e">
        <f t="shared" si="30"/>
        <v>#REF!</v>
      </c>
      <c r="T52" s="70" t="e">
        <f t="shared" si="31"/>
        <v>#REF!</v>
      </c>
      <c r="U52" s="71" t="e">
        <f t="shared" si="32"/>
        <v>#REF!</v>
      </c>
      <c r="V52" s="71"/>
      <c r="W52" s="70" t="e">
        <f t="shared" si="33"/>
        <v>#REF!</v>
      </c>
      <c r="X52" s="70" t="e">
        <f t="shared" si="34"/>
        <v>#REF!</v>
      </c>
      <c r="Y52" s="71" t="e">
        <f t="shared" si="35"/>
        <v>#REF!</v>
      </c>
    </row>
    <row r="53" spans="1:25" ht="16.5" customHeight="1">
      <c r="A53" s="60" t="s">
        <v>127</v>
      </c>
      <c r="B53" s="60" t="s">
        <v>128</v>
      </c>
      <c r="C53" s="69" t="e">
        <f t="shared" si="18"/>
        <v>#REF!</v>
      </c>
      <c r="D53" s="69" t="e">
        <f t="shared" si="19"/>
        <v>#REF!</v>
      </c>
      <c r="E53" s="71" t="e">
        <f t="shared" si="20"/>
        <v>#REF!</v>
      </c>
      <c r="F53" s="69"/>
      <c r="G53" s="69" t="e">
        <f t="shared" si="21"/>
        <v>#REF!</v>
      </c>
      <c r="H53" s="69" t="e">
        <f t="shared" si="22"/>
        <v>#REF!</v>
      </c>
      <c r="I53" s="71" t="e">
        <f t="shared" si="23"/>
        <v>#REF!</v>
      </c>
      <c r="J53" s="69"/>
      <c r="K53" s="69" t="e">
        <f t="shared" si="24"/>
        <v>#REF!</v>
      </c>
      <c r="L53" s="69" t="e">
        <f t="shared" si="25"/>
        <v>#REF!</v>
      </c>
      <c r="M53" s="71" t="e">
        <f t="shared" si="26"/>
        <v>#REF!</v>
      </c>
      <c r="N53" s="71"/>
      <c r="O53" s="70" t="e">
        <f t="shared" si="27"/>
        <v>#REF!</v>
      </c>
      <c r="P53" s="70" t="e">
        <f t="shared" si="28"/>
        <v>#REF!</v>
      </c>
      <c r="Q53" s="71" t="e">
        <f t="shared" si="29"/>
        <v>#REF!</v>
      </c>
      <c r="R53" s="71"/>
      <c r="S53" s="70" t="e">
        <f t="shared" si="30"/>
        <v>#REF!</v>
      </c>
      <c r="T53" s="70" t="e">
        <f t="shared" si="31"/>
        <v>#REF!</v>
      </c>
      <c r="U53" s="71" t="e">
        <f t="shared" si="32"/>
        <v>#REF!</v>
      </c>
      <c r="V53" s="71"/>
      <c r="W53" s="70" t="e">
        <f t="shared" si="33"/>
        <v>#REF!</v>
      </c>
      <c r="X53" s="70" t="e">
        <f t="shared" si="34"/>
        <v>#REF!</v>
      </c>
      <c r="Y53" s="71" t="e">
        <f t="shared" si="35"/>
        <v>#REF!</v>
      </c>
    </row>
    <row r="54" spans="1:25" ht="16.5" customHeight="1">
      <c r="A54" s="60" t="s">
        <v>129</v>
      </c>
      <c r="B54" s="60" t="s">
        <v>130</v>
      </c>
      <c r="C54" s="69" t="e">
        <f t="shared" si="18"/>
        <v>#REF!</v>
      </c>
      <c r="D54" s="69" t="e">
        <f t="shared" si="19"/>
        <v>#REF!</v>
      </c>
      <c r="E54" s="71" t="e">
        <f t="shared" si="20"/>
        <v>#REF!</v>
      </c>
      <c r="F54" s="69"/>
      <c r="G54" s="69" t="e">
        <f t="shared" si="21"/>
        <v>#REF!</v>
      </c>
      <c r="H54" s="69" t="e">
        <f t="shared" si="22"/>
        <v>#REF!</v>
      </c>
      <c r="I54" s="71" t="e">
        <f t="shared" si="23"/>
        <v>#REF!</v>
      </c>
      <c r="J54" s="69"/>
      <c r="K54" s="69" t="e">
        <f t="shared" si="24"/>
        <v>#REF!</v>
      </c>
      <c r="L54" s="69" t="e">
        <f t="shared" si="25"/>
        <v>#REF!</v>
      </c>
      <c r="M54" s="71" t="e">
        <f t="shared" si="26"/>
        <v>#REF!</v>
      </c>
      <c r="N54" s="71"/>
      <c r="O54" s="70" t="e">
        <f t="shared" si="27"/>
        <v>#REF!</v>
      </c>
      <c r="P54" s="70" t="e">
        <f t="shared" si="28"/>
        <v>#REF!</v>
      </c>
      <c r="Q54" s="71" t="e">
        <f t="shared" si="29"/>
        <v>#REF!</v>
      </c>
      <c r="R54" s="71"/>
      <c r="S54" s="70" t="e">
        <f t="shared" si="30"/>
        <v>#REF!</v>
      </c>
      <c r="T54" s="70" t="e">
        <f t="shared" si="31"/>
        <v>#REF!</v>
      </c>
      <c r="U54" s="71" t="e">
        <f t="shared" si="32"/>
        <v>#REF!</v>
      </c>
      <c r="V54" s="71"/>
      <c r="W54" s="70" t="e">
        <f t="shared" si="33"/>
        <v>#REF!</v>
      </c>
      <c r="X54" s="70" t="e">
        <f t="shared" si="34"/>
        <v>#REF!</v>
      </c>
      <c r="Y54" s="71" t="e">
        <f t="shared" si="35"/>
        <v>#REF!</v>
      </c>
    </row>
    <row r="55" spans="1:25" ht="16.5" customHeight="1">
      <c r="A55" s="60" t="s">
        <v>131</v>
      </c>
      <c r="B55" s="60" t="s">
        <v>132</v>
      </c>
      <c r="C55" s="69" t="e">
        <f t="shared" si="18"/>
        <v>#REF!</v>
      </c>
      <c r="D55" s="69" t="e">
        <f t="shared" si="19"/>
        <v>#REF!</v>
      </c>
      <c r="E55" s="71" t="e">
        <f t="shared" si="20"/>
        <v>#REF!</v>
      </c>
      <c r="F55" s="69"/>
      <c r="G55" s="69" t="e">
        <f t="shared" si="21"/>
        <v>#REF!</v>
      </c>
      <c r="H55" s="69" t="e">
        <f t="shared" si="22"/>
        <v>#REF!</v>
      </c>
      <c r="I55" s="71" t="e">
        <f t="shared" si="23"/>
        <v>#REF!</v>
      </c>
      <c r="J55" s="69"/>
      <c r="K55" s="69" t="e">
        <f t="shared" si="24"/>
        <v>#REF!</v>
      </c>
      <c r="L55" s="69" t="e">
        <f t="shared" si="25"/>
        <v>#REF!</v>
      </c>
      <c r="M55" s="71" t="e">
        <f t="shared" si="26"/>
        <v>#REF!</v>
      </c>
      <c r="N55" s="71"/>
      <c r="O55" s="70" t="e">
        <f t="shared" si="27"/>
        <v>#REF!</v>
      </c>
      <c r="P55" s="70" t="e">
        <f t="shared" si="28"/>
        <v>#REF!</v>
      </c>
      <c r="Q55" s="71" t="e">
        <f t="shared" si="29"/>
        <v>#REF!</v>
      </c>
      <c r="R55" s="71"/>
      <c r="S55" s="70" t="e">
        <f t="shared" si="30"/>
        <v>#REF!</v>
      </c>
      <c r="T55" s="70" t="e">
        <f t="shared" si="31"/>
        <v>#REF!</v>
      </c>
      <c r="U55" s="71" t="e">
        <f t="shared" si="32"/>
        <v>#REF!</v>
      </c>
      <c r="V55" s="71"/>
      <c r="W55" s="70" t="e">
        <f t="shared" si="33"/>
        <v>#REF!</v>
      </c>
      <c r="X55" s="70" t="e">
        <f t="shared" si="34"/>
        <v>#REF!</v>
      </c>
      <c r="Y55" s="71" t="e">
        <f t="shared" si="35"/>
        <v>#REF!</v>
      </c>
    </row>
    <row r="56" spans="1:25" ht="16.5" customHeight="1">
      <c r="A56" s="60" t="s">
        <v>133</v>
      </c>
      <c r="B56" s="60" t="s">
        <v>134</v>
      </c>
      <c r="C56" s="69" t="e">
        <f t="shared" si="18"/>
        <v>#REF!</v>
      </c>
      <c r="D56" s="69" t="e">
        <f t="shared" si="19"/>
        <v>#REF!</v>
      </c>
      <c r="E56" s="71" t="e">
        <f t="shared" si="20"/>
        <v>#REF!</v>
      </c>
      <c r="F56" s="69"/>
      <c r="G56" s="69" t="e">
        <f t="shared" si="21"/>
        <v>#REF!</v>
      </c>
      <c r="H56" s="69" t="e">
        <f t="shared" si="22"/>
        <v>#REF!</v>
      </c>
      <c r="I56" s="71" t="e">
        <f t="shared" si="23"/>
        <v>#REF!</v>
      </c>
      <c r="J56" s="69"/>
      <c r="K56" s="69" t="e">
        <f t="shared" si="24"/>
        <v>#REF!</v>
      </c>
      <c r="L56" s="69" t="e">
        <f t="shared" si="25"/>
        <v>#REF!</v>
      </c>
      <c r="M56" s="71" t="e">
        <f t="shared" si="26"/>
        <v>#REF!</v>
      </c>
      <c r="N56" s="71"/>
      <c r="O56" s="70" t="e">
        <f t="shared" si="27"/>
        <v>#REF!</v>
      </c>
      <c r="P56" s="70" t="e">
        <f t="shared" si="28"/>
        <v>#REF!</v>
      </c>
      <c r="Q56" s="71" t="e">
        <f t="shared" si="29"/>
        <v>#REF!</v>
      </c>
      <c r="R56" s="71"/>
      <c r="S56" s="70" t="e">
        <f t="shared" si="30"/>
        <v>#REF!</v>
      </c>
      <c r="T56" s="70" t="e">
        <f t="shared" si="31"/>
        <v>#REF!</v>
      </c>
      <c r="U56" s="71" t="e">
        <f t="shared" si="32"/>
        <v>#REF!</v>
      </c>
      <c r="V56" s="71"/>
      <c r="W56" s="70" t="e">
        <f t="shared" si="33"/>
        <v>#REF!</v>
      </c>
      <c r="X56" s="70" t="e">
        <f t="shared" si="34"/>
        <v>#REF!</v>
      </c>
      <c r="Y56" s="71" t="e">
        <f t="shared" si="35"/>
        <v>#REF!</v>
      </c>
    </row>
    <row r="57" spans="1:25" ht="16.5" customHeight="1">
      <c r="A57" s="60" t="s">
        <v>135</v>
      </c>
      <c r="B57" s="60" t="s">
        <v>136</v>
      </c>
      <c r="C57" s="69" t="e">
        <f t="shared" si="18"/>
        <v>#REF!</v>
      </c>
      <c r="D57" s="69" t="e">
        <f t="shared" si="19"/>
        <v>#REF!</v>
      </c>
      <c r="E57" s="71" t="e">
        <f t="shared" si="20"/>
        <v>#REF!</v>
      </c>
      <c r="F57" s="69"/>
      <c r="G57" s="69" t="e">
        <f t="shared" si="21"/>
        <v>#REF!</v>
      </c>
      <c r="H57" s="69" t="e">
        <f t="shared" si="22"/>
        <v>#REF!</v>
      </c>
      <c r="I57" s="71" t="e">
        <f t="shared" si="23"/>
        <v>#REF!</v>
      </c>
      <c r="J57" s="69"/>
      <c r="K57" s="69" t="e">
        <f t="shared" si="24"/>
        <v>#REF!</v>
      </c>
      <c r="L57" s="69" t="e">
        <f t="shared" si="25"/>
        <v>#REF!</v>
      </c>
      <c r="M57" s="71" t="e">
        <f t="shared" si="26"/>
        <v>#REF!</v>
      </c>
      <c r="N57" s="71"/>
      <c r="O57" s="70" t="e">
        <f t="shared" si="27"/>
        <v>#REF!</v>
      </c>
      <c r="P57" s="70" t="e">
        <f t="shared" si="28"/>
        <v>#REF!</v>
      </c>
      <c r="Q57" s="71" t="e">
        <f t="shared" si="29"/>
        <v>#REF!</v>
      </c>
      <c r="R57" s="71"/>
      <c r="S57" s="70" t="e">
        <f t="shared" si="30"/>
        <v>#REF!</v>
      </c>
      <c r="T57" s="70" t="e">
        <f t="shared" si="31"/>
        <v>#REF!</v>
      </c>
      <c r="U57" s="71" t="e">
        <f t="shared" si="32"/>
        <v>#REF!</v>
      </c>
      <c r="V57" s="71"/>
      <c r="W57" s="70" t="e">
        <f t="shared" si="33"/>
        <v>#REF!</v>
      </c>
      <c r="X57" s="70" t="e">
        <f t="shared" si="34"/>
        <v>#REF!</v>
      </c>
      <c r="Y57" s="71" t="e">
        <f t="shared" si="35"/>
        <v>#REF!</v>
      </c>
    </row>
    <row r="58" spans="1:25" ht="16.5" customHeight="1">
      <c r="A58" s="60" t="s">
        <v>137</v>
      </c>
      <c r="B58" s="60" t="s">
        <v>138</v>
      </c>
      <c r="C58" s="69" t="e">
        <f t="shared" si="18"/>
        <v>#REF!</v>
      </c>
      <c r="D58" s="69" t="e">
        <f t="shared" si="19"/>
        <v>#REF!</v>
      </c>
      <c r="E58" s="71" t="e">
        <f t="shared" si="20"/>
        <v>#REF!</v>
      </c>
      <c r="F58" s="69"/>
      <c r="G58" s="69" t="e">
        <f t="shared" si="21"/>
        <v>#REF!</v>
      </c>
      <c r="H58" s="69" t="e">
        <f t="shared" si="22"/>
        <v>#REF!</v>
      </c>
      <c r="I58" s="71" t="e">
        <f t="shared" si="23"/>
        <v>#REF!</v>
      </c>
      <c r="J58" s="69"/>
      <c r="K58" s="69" t="e">
        <f t="shared" si="24"/>
        <v>#REF!</v>
      </c>
      <c r="L58" s="69" t="e">
        <f t="shared" si="25"/>
        <v>#REF!</v>
      </c>
      <c r="M58" s="71" t="e">
        <f t="shared" si="26"/>
        <v>#REF!</v>
      </c>
      <c r="N58" s="71"/>
      <c r="O58" s="70" t="e">
        <f t="shared" si="27"/>
        <v>#REF!</v>
      </c>
      <c r="P58" s="70" t="e">
        <f t="shared" si="28"/>
        <v>#REF!</v>
      </c>
      <c r="Q58" s="71" t="e">
        <f t="shared" si="29"/>
        <v>#REF!</v>
      </c>
      <c r="R58" s="71"/>
      <c r="S58" s="70" t="e">
        <f t="shared" si="30"/>
        <v>#REF!</v>
      </c>
      <c r="T58" s="70" t="e">
        <f t="shared" si="31"/>
        <v>#REF!</v>
      </c>
      <c r="U58" s="71" t="e">
        <f t="shared" si="32"/>
        <v>#REF!</v>
      </c>
      <c r="V58" s="71"/>
      <c r="W58" s="70" t="e">
        <f t="shared" si="33"/>
        <v>#REF!</v>
      </c>
      <c r="X58" s="70" t="e">
        <f t="shared" si="34"/>
        <v>#REF!</v>
      </c>
      <c r="Y58" s="71" t="e">
        <f t="shared" si="35"/>
        <v>#REF!</v>
      </c>
    </row>
    <row r="59" spans="1:25" ht="16.5" customHeight="1">
      <c r="A59" s="60" t="s">
        <v>141</v>
      </c>
      <c r="B59" s="60" t="s">
        <v>142</v>
      </c>
      <c r="C59" s="69" t="e">
        <f t="shared" si="18"/>
        <v>#REF!</v>
      </c>
      <c r="D59" s="69" t="e">
        <f t="shared" si="19"/>
        <v>#REF!</v>
      </c>
      <c r="E59" s="71" t="e">
        <f t="shared" si="20"/>
        <v>#REF!</v>
      </c>
      <c r="F59" s="69"/>
      <c r="G59" s="69" t="e">
        <f t="shared" si="21"/>
        <v>#REF!</v>
      </c>
      <c r="H59" s="69" t="e">
        <f t="shared" si="22"/>
        <v>#REF!</v>
      </c>
      <c r="I59" s="71" t="e">
        <f t="shared" si="23"/>
        <v>#REF!</v>
      </c>
      <c r="J59" s="69"/>
      <c r="K59" s="69" t="e">
        <f t="shared" si="24"/>
        <v>#REF!</v>
      </c>
      <c r="L59" s="69" t="e">
        <f t="shared" si="25"/>
        <v>#REF!</v>
      </c>
      <c r="M59" s="71" t="e">
        <f t="shared" si="26"/>
        <v>#REF!</v>
      </c>
      <c r="N59" s="71"/>
      <c r="O59" s="70" t="e">
        <f t="shared" si="27"/>
        <v>#REF!</v>
      </c>
      <c r="P59" s="70" t="e">
        <f t="shared" si="28"/>
        <v>#REF!</v>
      </c>
      <c r="Q59" s="71" t="e">
        <f t="shared" si="29"/>
        <v>#REF!</v>
      </c>
      <c r="R59" s="71"/>
      <c r="S59" s="70" t="e">
        <f t="shared" si="30"/>
        <v>#REF!</v>
      </c>
      <c r="T59" s="70" t="e">
        <f t="shared" si="31"/>
        <v>#REF!</v>
      </c>
      <c r="U59" s="71" t="e">
        <f t="shared" si="32"/>
        <v>#REF!</v>
      </c>
      <c r="V59" s="71"/>
      <c r="W59" s="70" t="e">
        <f t="shared" si="33"/>
        <v>#REF!</v>
      </c>
      <c r="X59" s="70" t="e">
        <f t="shared" si="34"/>
        <v>#REF!</v>
      </c>
      <c r="Y59" s="71" t="e">
        <f t="shared" si="35"/>
        <v>#REF!</v>
      </c>
    </row>
    <row r="60" spans="1:25" ht="16.5" customHeight="1">
      <c r="A60" s="60" t="s">
        <v>147</v>
      </c>
      <c r="B60" s="60" t="s">
        <v>148</v>
      </c>
      <c r="C60" s="69" t="e">
        <f t="shared" si="18"/>
        <v>#REF!</v>
      </c>
      <c r="D60" s="69" t="e">
        <f t="shared" si="19"/>
        <v>#REF!</v>
      </c>
      <c r="E60" s="71" t="e">
        <f t="shared" si="20"/>
        <v>#REF!</v>
      </c>
      <c r="F60" s="69"/>
      <c r="G60" s="69" t="e">
        <f t="shared" si="21"/>
        <v>#REF!</v>
      </c>
      <c r="H60" s="69" t="e">
        <f t="shared" si="22"/>
        <v>#REF!</v>
      </c>
      <c r="I60" s="71" t="e">
        <f t="shared" si="23"/>
        <v>#REF!</v>
      </c>
      <c r="J60" s="69"/>
      <c r="K60" s="69" t="e">
        <f t="shared" si="24"/>
        <v>#REF!</v>
      </c>
      <c r="L60" s="69" t="e">
        <f t="shared" si="25"/>
        <v>#REF!</v>
      </c>
      <c r="M60" s="71" t="e">
        <f t="shared" si="26"/>
        <v>#REF!</v>
      </c>
      <c r="N60" s="71"/>
      <c r="O60" s="70" t="e">
        <f t="shared" si="27"/>
        <v>#REF!</v>
      </c>
      <c r="P60" s="70" t="e">
        <f t="shared" si="28"/>
        <v>#REF!</v>
      </c>
      <c r="Q60" s="71" t="e">
        <f t="shared" si="29"/>
        <v>#REF!</v>
      </c>
      <c r="R60" s="71"/>
      <c r="S60" s="70" t="e">
        <f t="shared" si="30"/>
        <v>#REF!</v>
      </c>
      <c r="T60" s="70" t="e">
        <f t="shared" si="31"/>
        <v>#REF!</v>
      </c>
      <c r="U60" s="71" t="e">
        <f t="shared" si="32"/>
        <v>#REF!</v>
      </c>
      <c r="V60" s="71"/>
      <c r="W60" s="70" t="e">
        <f t="shared" si="33"/>
        <v>#REF!</v>
      </c>
      <c r="X60" s="70" t="e">
        <f t="shared" si="34"/>
        <v>#REF!</v>
      </c>
      <c r="Y60" s="71" t="e">
        <f t="shared" si="35"/>
        <v>#REF!</v>
      </c>
    </row>
    <row r="61" spans="1:25" ht="16.5" customHeight="1">
      <c r="A61" s="60" t="s">
        <v>149</v>
      </c>
      <c r="B61" s="60" t="s">
        <v>150</v>
      </c>
      <c r="C61" s="69" t="e">
        <f t="shared" si="18"/>
        <v>#REF!</v>
      </c>
      <c r="D61" s="69" t="e">
        <f t="shared" si="19"/>
        <v>#REF!</v>
      </c>
      <c r="E61" s="71" t="e">
        <f t="shared" si="20"/>
        <v>#REF!</v>
      </c>
      <c r="F61" s="69"/>
      <c r="G61" s="69" t="e">
        <f t="shared" si="21"/>
        <v>#REF!</v>
      </c>
      <c r="H61" s="69" t="e">
        <f t="shared" si="22"/>
        <v>#REF!</v>
      </c>
      <c r="I61" s="71" t="e">
        <f t="shared" si="23"/>
        <v>#REF!</v>
      </c>
      <c r="J61" s="69"/>
      <c r="K61" s="69" t="e">
        <f t="shared" si="24"/>
        <v>#REF!</v>
      </c>
      <c r="L61" s="69" t="e">
        <f t="shared" si="25"/>
        <v>#REF!</v>
      </c>
      <c r="M61" s="71" t="e">
        <f t="shared" si="26"/>
        <v>#REF!</v>
      </c>
      <c r="N61" s="71"/>
      <c r="O61" s="70" t="e">
        <f t="shared" si="27"/>
        <v>#REF!</v>
      </c>
      <c r="P61" s="70" t="e">
        <f t="shared" si="28"/>
        <v>#REF!</v>
      </c>
      <c r="Q61" s="71" t="e">
        <f t="shared" si="29"/>
        <v>#REF!</v>
      </c>
      <c r="R61" s="71"/>
      <c r="S61" s="70" t="e">
        <f t="shared" si="30"/>
        <v>#REF!</v>
      </c>
      <c r="T61" s="70" t="e">
        <f t="shared" si="31"/>
        <v>#REF!</v>
      </c>
      <c r="U61" s="71" t="e">
        <f t="shared" si="32"/>
        <v>#REF!</v>
      </c>
      <c r="V61" s="71"/>
      <c r="W61" s="70" t="e">
        <f t="shared" si="33"/>
        <v>#REF!</v>
      </c>
      <c r="X61" s="70" t="e">
        <f t="shared" si="34"/>
        <v>#REF!</v>
      </c>
      <c r="Y61" s="71" t="e">
        <f t="shared" si="35"/>
        <v>#REF!</v>
      </c>
    </row>
    <row r="62" spans="1:25" ht="16.5" customHeight="1">
      <c r="A62" s="60" t="s">
        <v>151</v>
      </c>
      <c r="B62" s="60" t="s">
        <v>152</v>
      </c>
      <c r="C62" s="69" t="e">
        <f t="shared" si="18"/>
        <v>#REF!</v>
      </c>
      <c r="D62" s="69" t="e">
        <f t="shared" si="19"/>
        <v>#REF!</v>
      </c>
      <c r="E62" s="71" t="e">
        <f t="shared" si="20"/>
        <v>#REF!</v>
      </c>
      <c r="F62" s="69"/>
      <c r="G62" s="69" t="e">
        <f t="shared" si="21"/>
        <v>#REF!</v>
      </c>
      <c r="H62" s="69" t="e">
        <f t="shared" si="22"/>
        <v>#REF!</v>
      </c>
      <c r="I62" s="71" t="e">
        <f t="shared" si="23"/>
        <v>#REF!</v>
      </c>
      <c r="J62" s="69"/>
      <c r="K62" s="69" t="e">
        <f t="shared" si="24"/>
        <v>#REF!</v>
      </c>
      <c r="L62" s="69" t="e">
        <f t="shared" si="25"/>
        <v>#REF!</v>
      </c>
      <c r="M62" s="71" t="e">
        <f t="shared" si="26"/>
        <v>#REF!</v>
      </c>
      <c r="N62" s="71"/>
      <c r="O62" s="70" t="e">
        <f t="shared" si="27"/>
        <v>#REF!</v>
      </c>
      <c r="P62" s="70" t="e">
        <f t="shared" si="28"/>
        <v>#REF!</v>
      </c>
      <c r="Q62" s="71" t="e">
        <f t="shared" si="29"/>
        <v>#REF!</v>
      </c>
      <c r="R62" s="71"/>
      <c r="S62" s="70" t="e">
        <f t="shared" si="30"/>
        <v>#REF!</v>
      </c>
      <c r="T62" s="70" t="e">
        <f t="shared" si="31"/>
        <v>#REF!</v>
      </c>
      <c r="U62" s="71" t="e">
        <f t="shared" si="32"/>
        <v>#REF!</v>
      </c>
      <c r="V62" s="71"/>
      <c r="W62" s="70" t="e">
        <f t="shared" si="33"/>
        <v>#REF!</v>
      </c>
      <c r="X62" s="70" t="e">
        <f t="shared" si="34"/>
        <v>#REF!</v>
      </c>
      <c r="Y62" s="71" t="e">
        <f t="shared" si="35"/>
        <v>#REF!</v>
      </c>
    </row>
    <row r="63" spans="1:25" ht="16.5" customHeight="1">
      <c r="A63" s="60" t="s">
        <v>153</v>
      </c>
      <c r="B63" s="60" t="s">
        <v>154</v>
      </c>
      <c r="C63" s="69" t="e">
        <f t="shared" si="18"/>
        <v>#REF!</v>
      </c>
      <c r="D63" s="69" t="e">
        <f t="shared" si="19"/>
        <v>#REF!</v>
      </c>
      <c r="E63" s="71" t="e">
        <f t="shared" si="20"/>
        <v>#REF!</v>
      </c>
      <c r="F63" s="69"/>
      <c r="G63" s="69" t="e">
        <f t="shared" si="21"/>
        <v>#REF!</v>
      </c>
      <c r="H63" s="69" t="e">
        <f t="shared" si="22"/>
        <v>#REF!</v>
      </c>
      <c r="I63" s="71" t="e">
        <f t="shared" si="23"/>
        <v>#REF!</v>
      </c>
      <c r="J63" s="69"/>
      <c r="K63" s="69" t="e">
        <f t="shared" si="24"/>
        <v>#REF!</v>
      </c>
      <c r="L63" s="69" t="e">
        <f t="shared" si="25"/>
        <v>#REF!</v>
      </c>
      <c r="M63" s="71" t="e">
        <f t="shared" si="26"/>
        <v>#REF!</v>
      </c>
      <c r="N63" s="71"/>
      <c r="O63" s="70" t="e">
        <f t="shared" si="27"/>
        <v>#REF!</v>
      </c>
      <c r="P63" s="70" t="e">
        <f t="shared" si="28"/>
        <v>#REF!</v>
      </c>
      <c r="Q63" s="71" t="e">
        <f t="shared" si="29"/>
        <v>#REF!</v>
      </c>
      <c r="R63" s="71"/>
      <c r="S63" s="70" t="e">
        <f t="shared" si="30"/>
        <v>#REF!</v>
      </c>
      <c r="T63" s="70" t="e">
        <f t="shared" si="31"/>
        <v>#REF!</v>
      </c>
      <c r="U63" s="71" t="e">
        <f t="shared" si="32"/>
        <v>#REF!</v>
      </c>
      <c r="V63" s="71"/>
      <c r="W63" s="70" t="e">
        <f t="shared" si="33"/>
        <v>#REF!</v>
      </c>
      <c r="X63" s="70" t="e">
        <f t="shared" si="34"/>
        <v>#REF!</v>
      </c>
      <c r="Y63" s="71" t="e">
        <f t="shared" si="35"/>
        <v>#REF!</v>
      </c>
    </row>
    <row r="64" spans="1:25" ht="16.5" customHeight="1">
      <c r="A64" s="60" t="s">
        <v>155</v>
      </c>
      <c r="B64" s="60" t="s">
        <v>156</v>
      </c>
      <c r="C64" s="69" t="e">
        <f t="shared" si="18"/>
        <v>#REF!</v>
      </c>
      <c r="D64" s="69" t="e">
        <f t="shared" si="19"/>
        <v>#REF!</v>
      </c>
      <c r="E64" s="71" t="e">
        <f t="shared" si="20"/>
        <v>#REF!</v>
      </c>
      <c r="F64" s="69"/>
      <c r="G64" s="69" t="e">
        <f t="shared" si="21"/>
        <v>#REF!</v>
      </c>
      <c r="H64" s="69" t="e">
        <f t="shared" si="22"/>
        <v>#REF!</v>
      </c>
      <c r="I64" s="71" t="e">
        <f t="shared" si="23"/>
        <v>#REF!</v>
      </c>
      <c r="J64" s="69"/>
      <c r="K64" s="69" t="e">
        <f t="shared" si="24"/>
        <v>#REF!</v>
      </c>
      <c r="L64" s="69" t="e">
        <f t="shared" si="25"/>
        <v>#REF!</v>
      </c>
      <c r="M64" s="71" t="e">
        <f t="shared" si="26"/>
        <v>#REF!</v>
      </c>
      <c r="N64" s="71"/>
      <c r="O64" s="70" t="e">
        <f t="shared" si="27"/>
        <v>#REF!</v>
      </c>
      <c r="P64" s="70" t="e">
        <f t="shared" si="28"/>
        <v>#REF!</v>
      </c>
      <c r="Q64" s="71" t="e">
        <f t="shared" si="29"/>
        <v>#REF!</v>
      </c>
      <c r="R64" s="71"/>
      <c r="S64" s="70" t="e">
        <f t="shared" si="30"/>
        <v>#REF!</v>
      </c>
      <c r="T64" s="70" t="e">
        <f t="shared" si="31"/>
        <v>#REF!</v>
      </c>
      <c r="U64" s="71" t="e">
        <f t="shared" si="32"/>
        <v>#REF!</v>
      </c>
      <c r="V64" s="71"/>
      <c r="W64" s="70" t="e">
        <f t="shared" si="33"/>
        <v>#REF!</v>
      </c>
      <c r="X64" s="70" t="e">
        <f t="shared" si="34"/>
        <v>#REF!</v>
      </c>
      <c r="Y64" s="71" t="e">
        <f t="shared" si="35"/>
        <v>#REF!</v>
      </c>
    </row>
    <row r="65" spans="1:25" ht="16.5" customHeight="1">
      <c r="A65" s="60" t="s">
        <v>157</v>
      </c>
      <c r="B65" s="60" t="s">
        <v>158</v>
      </c>
      <c r="C65" s="69" t="e">
        <f t="shared" si="18"/>
        <v>#REF!</v>
      </c>
      <c r="D65" s="69" t="e">
        <f t="shared" si="19"/>
        <v>#REF!</v>
      </c>
      <c r="E65" s="71" t="e">
        <f t="shared" si="20"/>
        <v>#REF!</v>
      </c>
      <c r="F65" s="69"/>
      <c r="G65" s="69" t="e">
        <f t="shared" si="21"/>
        <v>#REF!</v>
      </c>
      <c r="H65" s="69" t="e">
        <f t="shared" si="22"/>
        <v>#REF!</v>
      </c>
      <c r="I65" s="71" t="e">
        <f t="shared" si="23"/>
        <v>#REF!</v>
      </c>
      <c r="J65" s="69"/>
      <c r="K65" s="69" t="e">
        <f t="shared" si="24"/>
        <v>#REF!</v>
      </c>
      <c r="L65" s="69" t="e">
        <f t="shared" si="25"/>
        <v>#REF!</v>
      </c>
      <c r="M65" s="71" t="e">
        <f t="shared" si="26"/>
        <v>#REF!</v>
      </c>
      <c r="N65" s="71"/>
      <c r="O65" s="70" t="e">
        <f t="shared" si="27"/>
        <v>#REF!</v>
      </c>
      <c r="P65" s="70" t="e">
        <f t="shared" si="28"/>
        <v>#REF!</v>
      </c>
      <c r="Q65" s="71" t="e">
        <f t="shared" si="29"/>
        <v>#REF!</v>
      </c>
      <c r="R65" s="71"/>
      <c r="S65" s="70" t="e">
        <f t="shared" si="30"/>
        <v>#REF!</v>
      </c>
      <c r="T65" s="70" t="e">
        <f t="shared" si="31"/>
        <v>#REF!</v>
      </c>
      <c r="U65" s="71" t="e">
        <f t="shared" si="32"/>
        <v>#REF!</v>
      </c>
      <c r="V65" s="71"/>
      <c r="W65" s="70" t="e">
        <f t="shared" si="33"/>
        <v>#REF!</v>
      </c>
      <c r="X65" s="70" t="e">
        <f t="shared" si="34"/>
        <v>#REF!</v>
      </c>
      <c r="Y65" s="71" t="e">
        <f t="shared" si="35"/>
        <v>#REF!</v>
      </c>
    </row>
    <row r="66" spans="1:25" ht="16.5" customHeight="1">
      <c r="A66" s="60" t="s">
        <v>163</v>
      </c>
      <c r="B66" s="60" t="s">
        <v>164</v>
      </c>
      <c r="C66" s="69" t="e">
        <f t="shared" si="18"/>
        <v>#REF!</v>
      </c>
      <c r="D66" s="69" t="e">
        <f t="shared" si="19"/>
        <v>#REF!</v>
      </c>
      <c r="E66" s="71" t="e">
        <f t="shared" si="20"/>
        <v>#REF!</v>
      </c>
      <c r="F66" s="69"/>
      <c r="G66" s="69" t="e">
        <f t="shared" si="21"/>
        <v>#REF!</v>
      </c>
      <c r="H66" s="69" t="e">
        <f t="shared" si="22"/>
        <v>#REF!</v>
      </c>
      <c r="I66" s="71" t="e">
        <f t="shared" si="23"/>
        <v>#REF!</v>
      </c>
      <c r="J66" s="69"/>
      <c r="K66" s="69" t="e">
        <f t="shared" si="24"/>
        <v>#REF!</v>
      </c>
      <c r="L66" s="69" t="e">
        <f t="shared" si="25"/>
        <v>#REF!</v>
      </c>
      <c r="M66" s="71" t="e">
        <f t="shared" si="26"/>
        <v>#REF!</v>
      </c>
      <c r="N66" s="71"/>
      <c r="O66" s="70" t="e">
        <f t="shared" si="27"/>
        <v>#REF!</v>
      </c>
      <c r="P66" s="70" t="e">
        <f t="shared" si="28"/>
        <v>#REF!</v>
      </c>
      <c r="Q66" s="71" t="e">
        <f t="shared" si="29"/>
        <v>#REF!</v>
      </c>
      <c r="R66" s="71"/>
      <c r="S66" s="70" t="e">
        <f t="shared" si="30"/>
        <v>#REF!</v>
      </c>
      <c r="T66" s="70" t="e">
        <f t="shared" si="31"/>
        <v>#REF!</v>
      </c>
      <c r="U66" s="71" t="e">
        <f t="shared" si="32"/>
        <v>#REF!</v>
      </c>
      <c r="V66" s="71"/>
      <c r="W66" s="70" t="e">
        <f t="shared" si="33"/>
        <v>#REF!</v>
      </c>
      <c r="X66" s="70" t="e">
        <f t="shared" si="34"/>
        <v>#REF!</v>
      </c>
      <c r="Y66" s="71" t="e">
        <f t="shared" si="35"/>
        <v>#REF!</v>
      </c>
    </row>
    <row r="67" spans="1:25" ht="16.5" customHeight="1">
      <c r="A67" s="60" t="s">
        <v>165</v>
      </c>
      <c r="B67" s="60" t="s">
        <v>166</v>
      </c>
      <c r="C67" s="69" t="e">
        <f t="shared" si="18"/>
        <v>#REF!</v>
      </c>
      <c r="D67" s="69" t="e">
        <f t="shared" si="19"/>
        <v>#REF!</v>
      </c>
      <c r="E67" s="71" t="e">
        <f t="shared" si="20"/>
        <v>#REF!</v>
      </c>
      <c r="F67" s="69"/>
      <c r="G67" s="69" t="e">
        <f t="shared" si="21"/>
        <v>#REF!</v>
      </c>
      <c r="H67" s="69" t="e">
        <f t="shared" si="22"/>
        <v>#REF!</v>
      </c>
      <c r="I67" s="71" t="e">
        <f t="shared" si="23"/>
        <v>#REF!</v>
      </c>
      <c r="J67" s="69"/>
      <c r="K67" s="69" t="e">
        <f t="shared" si="24"/>
        <v>#REF!</v>
      </c>
      <c r="L67" s="69" t="e">
        <f t="shared" si="25"/>
        <v>#REF!</v>
      </c>
      <c r="M67" s="71" t="e">
        <f t="shared" si="26"/>
        <v>#REF!</v>
      </c>
      <c r="N67" s="71"/>
      <c r="O67" s="70" t="e">
        <f t="shared" si="27"/>
        <v>#REF!</v>
      </c>
      <c r="P67" s="70" t="e">
        <f t="shared" si="28"/>
        <v>#REF!</v>
      </c>
      <c r="Q67" s="71" t="e">
        <f t="shared" si="29"/>
        <v>#REF!</v>
      </c>
      <c r="R67" s="71"/>
      <c r="S67" s="70" t="e">
        <f t="shared" si="30"/>
        <v>#REF!</v>
      </c>
      <c r="T67" s="70" t="e">
        <f t="shared" si="31"/>
        <v>#REF!</v>
      </c>
      <c r="U67" s="71" t="e">
        <f t="shared" si="32"/>
        <v>#REF!</v>
      </c>
      <c r="V67" s="71"/>
      <c r="W67" s="70" t="e">
        <f t="shared" si="33"/>
        <v>#REF!</v>
      </c>
      <c r="X67" s="70" t="e">
        <f t="shared" si="34"/>
        <v>#REF!</v>
      </c>
      <c r="Y67" s="71" t="e">
        <f t="shared" si="35"/>
        <v>#REF!</v>
      </c>
    </row>
    <row r="68" spans="1:25" ht="16.5" customHeight="1">
      <c r="A68" s="60" t="s">
        <v>169</v>
      </c>
      <c r="B68" s="60" t="s">
        <v>170</v>
      </c>
      <c r="C68" s="69" t="e">
        <f t="shared" ref="C68:C99" si="36">VLOOKUP(A68,TANF_DEMO,7,FALSE)</f>
        <v>#REF!</v>
      </c>
      <c r="D68" s="69" t="e">
        <f t="shared" ref="D68:D99" si="37">VLOOKUP(A68,Pop,14,FALSE)</f>
        <v>#REF!</v>
      </c>
      <c r="E68" s="71" t="e">
        <f t="shared" ref="E68:E99" si="38">+C68/D68</f>
        <v>#REF!</v>
      </c>
      <c r="F68" s="69"/>
      <c r="G68" s="69" t="e">
        <f t="shared" ref="G68:G99" si="39">VLOOKUP(A68,TANF_DEMO,8,FALSE)</f>
        <v>#REF!</v>
      </c>
      <c r="H68" s="69" t="e">
        <f t="shared" ref="H68:H99" si="40">VLOOKUP(A68,Pop,15,FALSE)</f>
        <v>#REF!</v>
      </c>
      <c r="I68" s="71" t="e">
        <f t="shared" ref="I68:I99" si="41">+G68/H68</f>
        <v>#REF!</v>
      </c>
      <c r="J68" s="69"/>
      <c r="K68" s="69" t="e">
        <f t="shared" ref="K68:K99" si="42">VLOOKUP(A68,TANF_DEMO,9,FALSE)</f>
        <v>#REF!</v>
      </c>
      <c r="L68" s="69" t="e">
        <f t="shared" ref="L68:L99" si="43">VLOOKUP(A68,Pop,16,FALSE)</f>
        <v>#REF!</v>
      </c>
      <c r="M68" s="71" t="e">
        <f t="shared" ref="M68:M99" si="44">+K68/L68</f>
        <v>#REF!</v>
      </c>
      <c r="N68" s="71"/>
      <c r="O68" s="70" t="e">
        <f t="shared" ref="O68:O99" si="45">VLOOKUP(A68,TANF_DEMO,3,FALSE)</f>
        <v>#REF!</v>
      </c>
      <c r="P68" s="70" t="e">
        <f t="shared" ref="P68:P99" si="46">VLOOKUP(A68,Pop,8,FALSE)</f>
        <v>#REF!</v>
      </c>
      <c r="Q68" s="71" t="e">
        <f t="shared" ref="Q68:Q99" si="47">+O68/P68</f>
        <v>#REF!</v>
      </c>
      <c r="R68" s="71"/>
      <c r="S68" s="70" t="e">
        <f t="shared" ref="S68:S99" si="48">VLOOKUP(A68,TANF_DEMO,4,FALSE)</f>
        <v>#REF!</v>
      </c>
      <c r="T68" s="70" t="e">
        <f t="shared" ref="T68:T99" si="49">VLOOKUP(A68,Pop,9,FALSE)</f>
        <v>#REF!</v>
      </c>
      <c r="U68" s="71" t="e">
        <f t="shared" ref="U68:U99" si="50">+S68/T68</f>
        <v>#REF!</v>
      </c>
      <c r="V68" s="71"/>
      <c r="W68" s="70" t="e">
        <f t="shared" ref="W68:W99" si="51">VLOOKUP(A68,TANF_DEMO,5,FALSE)</f>
        <v>#REF!</v>
      </c>
      <c r="X68" s="70" t="e">
        <f t="shared" ref="X68:X99" si="52">VLOOKUP(A68,Pop,10,FALSE)</f>
        <v>#REF!</v>
      </c>
      <c r="Y68" s="71" t="e">
        <f t="shared" ref="Y68:Y99" si="53">+W68/X68</f>
        <v>#REF!</v>
      </c>
    </row>
    <row r="69" spans="1:25" ht="16.5" customHeight="1">
      <c r="A69" s="60" t="s">
        <v>171</v>
      </c>
      <c r="B69" s="60" t="s">
        <v>172</v>
      </c>
      <c r="C69" s="69" t="e">
        <f t="shared" si="36"/>
        <v>#REF!</v>
      </c>
      <c r="D69" s="69" t="e">
        <f t="shared" si="37"/>
        <v>#REF!</v>
      </c>
      <c r="E69" s="71" t="e">
        <f t="shared" si="38"/>
        <v>#REF!</v>
      </c>
      <c r="F69" s="69"/>
      <c r="G69" s="69" t="e">
        <f t="shared" si="39"/>
        <v>#REF!</v>
      </c>
      <c r="H69" s="69" t="e">
        <f t="shared" si="40"/>
        <v>#REF!</v>
      </c>
      <c r="I69" s="71" t="e">
        <f t="shared" si="41"/>
        <v>#REF!</v>
      </c>
      <c r="J69" s="69"/>
      <c r="K69" s="69" t="e">
        <f t="shared" si="42"/>
        <v>#REF!</v>
      </c>
      <c r="L69" s="69" t="e">
        <f t="shared" si="43"/>
        <v>#REF!</v>
      </c>
      <c r="M69" s="71" t="e">
        <f t="shared" si="44"/>
        <v>#REF!</v>
      </c>
      <c r="N69" s="71"/>
      <c r="O69" s="70" t="e">
        <f t="shared" si="45"/>
        <v>#REF!</v>
      </c>
      <c r="P69" s="70" t="e">
        <f t="shared" si="46"/>
        <v>#REF!</v>
      </c>
      <c r="Q69" s="71" t="e">
        <f t="shared" si="47"/>
        <v>#REF!</v>
      </c>
      <c r="R69" s="71"/>
      <c r="S69" s="70" t="e">
        <f t="shared" si="48"/>
        <v>#REF!</v>
      </c>
      <c r="T69" s="70" t="e">
        <f t="shared" si="49"/>
        <v>#REF!</v>
      </c>
      <c r="U69" s="71" t="e">
        <f t="shared" si="50"/>
        <v>#REF!</v>
      </c>
      <c r="V69" s="71"/>
      <c r="W69" s="70" t="e">
        <f t="shared" si="51"/>
        <v>#REF!</v>
      </c>
      <c r="X69" s="70" t="e">
        <f t="shared" si="52"/>
        <v>#REF!</v>
      </c>
      <c r="Y69" s="71" t="e">
        <f t="shared" si="53"/>
        <v>#REF!</v>
      </c>
    </row>
    <row r="70" spans="1:25" ht="16.5" customHeight="1">
      <c r="A70" s="60" t="s">
        <v>173</v>
      </c>
      <c r="B70" s="60" t="s">
        <v>174</v>
      </c>
      <c r="C70" s="69" t="e">
        <f t="shared" si="36"/>
        <v>#REF!</v>
      </c>
      <c r="D70" s="69" t="e">
        <f t="shared" si="37"/>
        <v>#REF!</v>
      </c>
      <c r="E70" s="71" t="e">
        <f t="shared" si="38"/>
        <v>#REF!</v>
      </c>
      <c r="F70" s="69"/>
      <c r="G70" s="69" t="e">
        <f t="shared" si="39"/>
        <v>#REF!</v>
      </c>
      <c r="H70" s="69" t="e">
        <f t="shared" si="40"/>
        <v>#REF!</v>
      </c>
      <c r="I70" s="71" t="e">
        <f t="shared" si="41"/>
        <v>#REF!</v>
      </c>
      <c r="J70" s="69"/>
      <c r="K70" s="69" t="e">
        <f t="shared" si="42"/>
        <v>#REF!</v>
      </c>
      <c r="L70" s="69" t="e">
        <f t="shared" si="43"/>
        <v>#REF!</v>
      </c>
      <c r="M70" s="71" t="e">
        <f t="shared" si="44"/>
        <v>#REF!</v>
      </c>
      <c r="N70" s="71"/>
      <c r="O70" s="70" t="e">
        <f t="shared" si="45"/>
        <v>#REF!</v>
      </c>
      <c r="P70" s="70" t="e">
        <f t="shared" si="46"/>
        <v>#REF!</v>
      </c>
      <c r="Q70" s="71" t="e">
        <f t="shared" si="47"/>
        <v>#REF!</v>
      </c>
      <c r="R70" s="71"/>
      <c r="S70" s="70" t="e">
        <f t="shared" si="48"/>
        <v>#REF!</v>
      </c>
      <c r="T70" s="70" t="e">
        <f t="shared" si="49"/>
        <v>#REF!</v>
      </c>
      <c r="U70" s="71" t="e">
        <f t="shared" si="50"/>
        <v>#REF!</v>
      </c>
      <c r="V70" s="71"/>
      <c r="W70" s="70" t="e">
        <f t="shared" si="51"/>
        <v>#REF!</v>
      </c>
      <c r="X70" s="70" t="e">
        <f t="shared" si="52"/>
        <v>#REF!</v>
      </c>
      <c r="Y70" s="71" t="e">
        <f t="shared" si="53"/>
        <v>#REF!</v>
      </c>
    </row>
    <row r="71" spans="1:25" ht="16.5" customHeight="1">
      <c r="A71" s="60" t="s">
        <v>175</v>
      </c>
      <c r="B71" s="60" t="s">
        <v>176</v>
      </c>
      <c r="C71" s="69" t="e">
        <f t="shared" si="36"/>
        <v>#REF!</v>
      </c>
      <c r="D71" s="69" t="e">
        <f t="shared" si="37"/>
        <v>#REF!</v>
      </c>
      <c r="E71" s="71" t="e">
        <f t="shared" si="38"/>
        <v>#REF!</v>
      </c>
      <c r="F71" s="69"/>
      <c r="G71" s="69" t="e">
        <f t="shared" si="39"/>
        <v>#REF!</v>
      </c>
      <c r="H71" s="69" t="e">
        <f t="shared" si="40"/>
        <v>#REF!</v>
      </c>
      <c r="I71" s="71" t="e">
        <f t="shared" si="41"/>
        <v>#REF!</v>
      </c>
      <c r="J71" s="69"/>
      <c r="K71" s="69" t="e">
        <f t="shared" si="42"/>
        <v>#REF!</v>
      </c>
      <c r="L71" s="69" t="e">
        <f t="shared" si="43"/>
        <v>#REF!</v>
      </c>
      <c r="M71" s="71" t="e">
        <f t="shared" si="44"/>
        <v>#REF!</v>
      </c>
      <c r="N71" s="71"/>
      <c r="O71" s="70" t="e">
        <f t="shared" si="45"/>
        <v>#REF!</v>
      </c>
      <c r="P71" s="70" t="e">
        <f t="shared" si="46"/>
        <v>#REF!</v>
      </c>
      <c r="Q71" s="71" t="e">
        <f t="shared" si="47"/>
        <v>#REF!</v>
      </c>
      <c r="R71" s="71"/>
      <c r="S71" s="70" t="e">
        <f t="shared" si="48"/>
        <v>#REF!</v>
      </c>
      <c r="T71" s="70" t="e">
        <f t="shared" si="49"/>
        <v>#REF!</v>
      </c>
      <c r="U71" s="71" t="e">
        <f t="shared" si="50"/>
        <v>#REF!</v>
      </c>
      <c r="V71" s="71"/>
      <c r="W71" s="70" t="e">
        <f t="shared" si="51"/>
        <v>#REF!</v>
      </c>
      <c r="X71" s="70" t="e">
        <f t="shared" si="52"/>
        <v>#REF!</v>
      </c>
      <c r="Y71" s="71" t="e">
        <f t="shared" si="53"/>
        <v>#REF!</v>
      </c>
    </row>
    <row r="72" spans="1:25" ht="16.5" customHeight="1">
      <c r="A72" s="60" t="s">
        <v>179</v>
      </c>
      <c r="B72" s="60" t="s">
        <v>180</v>
      </c>
      <c r="C72" s="69" t="e">
        <f t="shared" si="36"/>
        <v>#REF!</v>
      </c>
      <c r="D72" s="69" t="e">
        <f t="shared" si="37"/>
        <v>#REF!</v>
      </c>
      <c r="E72" s="71" t="e">
        <f t="shared" si="38"/>
        <v>#REF!</v>
      </c>
      <c r="F72" s="69"/>
      <c r="G72" s="69" t="e">
        <f t="shared" si="39"/>
        <v>#REF!</v>
      </c>
      <c r="H72" s="69" t="e">
        <f t="shared" si="40"/>
        <v>#REF!</v>
      </c>
      <c r="I72" s="71" t="e">
        <f t="shared" si="41"/>
        <v>#REF!</v>
      </c>
      <c r="J72" s="69"/>
      <c r="K72" s="69" t="e">
        <f t="shared" si="42"/>
        <v>#REF!</v>
      </c>
      <c r="L72" s="69" t="e">
        <f t="shared" si="43"/>
        <v>#REF!</v>
      </c>
      <c r="M72" s="71" t="e">
        <f t="shared" si="44"/>
        <v>#REF!</v>
      </c>
      <c r="N72" s="71"/>
      <c r="O72" s="70" t="e">
        <f t="shared" si="45"/>
        <v>#REF!</v>
      </c>
      <c r="P72" s="70" t="e">
        <f t="shared" si="46"/>
        <v>#REF!</v>
      </c>
      <c r="Q72" s="71" t="e">
        <f t="shared" si="47"/>
        <v>#REF!</v>
      </c>
      <c r="R72" s="71"/>
      <c r="S72" s="70" t="e">
        <f t="shared" si="48"/>
        <v>#REF!</v>
      </c>
      <c r="T72" s="70" t="e">
        <f t="shared" si="49"/>
        <v>#REF!</v>
      </c>
      <c r="U72" s="71" t="e">
        <f t="shared" si="50"/>
        <v>#REF!</v>
      </c>
      <c r="V72" s="71"/>
      <c r="W72" s="70" t="e">
        <f t="shared" si="51"/>
        <v>#REF!</v>
      </c>
      <c r="X72" s="70" t="e">
        <f t="shared" si="52"/>
        <v>#REF!</v>
      </c>
      <c r="Y72" s="71" t="e">
        <f t="shared" si="53"/>
        <v>#REF!</v>
      </c>
    </row>
    <row r="73" spans="1:25" ht="16.5" customHeight="1">
      <c r="A73" s="60" t="s">
        <v>183</v>
      </c>
      <c r="B73" s="60" t="s">
        <v>184</v>
      </c>
      <c r="C73" s="69" t="e">
        <f t="shared" si="36"/>
        <v>#REF!</v>
      </c>
      <c r="D73" s="69" t="e">
        <f t="shared" si="37"/>
        <v>#REF!</v>
      </c>
      <c r="E73" s="71" t="e">
        <f t="shared" si="38"/>
        <v>#REF!</v>
      </c>
      <c r="F73" s="69"/>
      <c r="G73" s="69" t="e">
        <f t="shared" si="39"/>
        <v>#REF!</v>
      </c>
      <c r="H73" s="69" t="e">
        <f t="shared" si="40"/>
        <v>#REF!</v>
      </c>
      <c r="I73" s="71" t="e">
        <f t="shared" si="41"/>
        <v>#REF!</v>
      </c>
      <c r="J73" s="69"/>
      <c r="K73" s="69" t="e">
        <f t="shared" si="42"/>
        <v>#REF!</v>
      </c>
      <c r="L73" s="69" t="e">
        <f t="shared" si="43"/>
        <v>#REF!</v>
      </c>
      <c r="M73" s="71" t="e">
        <f t="shared" si="44"/>
        <v>#REF!</v>
      </c>
      <c r="N73" s="71"/>
      <c r="O73" s="70" t="e">
        <f t="shared" si="45"/>
        <v>#REF!</v>
      </c>
      <c r="P73" s="70" t="e">
        <f t="shared" si="46"/>
        <v>#REF!</v>
      </c>
      <c r="Q73" s="71" t="e">
        <f t="shared" si="47"/>
        <v>#REF!</v>
      </c>
      <c r="R73" s="71"/>
      <c r="S73" s="70" t="e">
        <f t="shared" si="48"/>
        <v>#REF!</v>
      </c>
      <c r="T73" s="70" t="e">
        <f t="shared" si="49"/>
        <v>#REF!</v>
      </c>
      <c r="U73" s="71" t="e">
        <f t="shared" si="50"/>
        <v>#REF!</v>
      </c>
      <c r="V73" s="71"/>
      <c r="W73" s="70" t="e">
        <f t="shared" si="51"/>
        <v>#REF!</v>
      </c>
      <c r="X73" s="70" t="e">
        <f t="shared" si="52"/>
        <v>#REF!</v>
      </c>
      <c r="Y73" s="71" t="e">
        <f t="shared" si="53"/>
        <v>#REF!</v>
      </c>
    </row>
    <row r="74" spans="1:25" ht="16.5" customHeight="1">
      <c r="A74" s="60" t="s">
        <v>185</v>
      </c>
      <c r="B74" s="60" t="s">
        <v>186</v>
      </c>
      <c r="C74" s="69" t="e">
        <f t="shared" si="36"/>
        <v>#REF!</v>
      </c>
      <c r="D74" s="69" t="e">
        <f t="shared" si="37"/>
        <v>#REF!</v>
      </c>
      <c r="E74" s="71" t="e">
        <f t="shared" si="38"/>
        <v>#REF!</v>
      </c>
      <c r="F74" s="69"/>
      <c r="G74" s="69" t="e">
        <f t="shared" si="39"/>
        <v>#REF!</v>
      </c>
      <c r="H74" s="69" t="e">
        <f t="shared" si="40"/>
        <v>#REF!</v>
      </c>
      <c r="I74" s="71" t="e">
        <f t="shared" si="41"/>
        <v>#REF!</v>
      </c>
      <c r="J74" s="69"/>
      <c r="K74" s="69" t="e">
        <f t="shared" si="42"/>
        <v>#REF!</v>
      </c>
      <c r="L74" s="69" t="e">
        <f t="shared" si="43"/>
        <v>#REF!</v>
      </c>
      <c r="M74" s="71" t="e">
        <f t="shared" si="44"/>
        <v>#REF!</v>
      </c>
      <c r="N74" s="71"/>
      <c r="O74" s="70" t="e">
        <f t="shared" si="45"/>
        <v>#REF!</v>
      </c>
      <c r="P74" s="70" t="e">
        <f t="shared" si="46"/>
        <v>#REF!</v>
      </c>
      <c r="Q74" s="71" t="e">
        <f t="shared" si="47"/>
        <v>#REF!</v>
      </c>
      <c r="R74" s="71"/>
      <c r="S74" s="70" t="e">
        <f t="shared" si="48"/>
        <v>#REF!</v>
      </c>
      <c r="T74" s="70" t="e">
        <f t="shared" si="49"/>
        <v>#REF!</v>
      </c>
      <c r="U74" s="71" t="e">
        <f t="shared" si="50"/>
        <v>#REF!</v>
      </c>
      <c r="V74" s="71"/>
      <c r="W74" s="70" t="e">
        <f t="shared" si="51"/>
        <v>#REF!</v>
      </c>
      <c r="X74" s="70" t="e">
        <f t="shared" si="52"/>
        <v>#REF!</v>
      </c>
      <c r="Y74" s="71" t="e">
        <f t="shared" si="53"/>
        <v>#REF!</v>
      </c>
    </row>
    <row r="75" spans="1:25" ht="16.5" customHeight="1">
      <c r="A75" s="60" t="s">
        <v>187</v>
      </c>
      <c r="B75" s="60" t="s">
        <v>188</v>
      </c>
      <c r="C75" s="69" t="e">
        <f t="shared" si="36"/>
        <v>#REF!</v>
      </c>
      <c r="D75" s="69" t="e">
        <f t="shared" si="37"/>
        <v>#REF!</v>
      </c>
      <c r="E75" s="71" t="e">
        <f t="shared" si="38"/>
        <v>#REF!</v>
      </c>
      <c r="F75" s="69"/>
      <c r="G75" s="69" t="e">
        <f t="shared" si="39"/>
        <v>#REF!</v>
      </c>
      <c r="H75" s="69" t="e">
        <f t="shared" si="40"/>
        <v>#REF!</v>
      </c>
      <c r="I75" s="71" t="e">
        <f t="shared" si="41"/>
        <v>#REF!</v>
      </c>
      <c r="J75" s="69"/>
      <c r="K75" s="69" t="e">
        <f t="shared" si="42"/>
        <v>#REF!</v>
      </c>
      <c r="L75" s="69" t="e">
        <f t="shared" si="43"/>
        <v>#REF!</v>
      </c>
      <c r="M75" s="71" t="e">
        <f t="shared" si="44"/>
        <v>#REF!</v>
      </c>
      <c r="N75" s="71"/>
      <c r="O75" s="70" t="e">
        <f t="shared" si="45"/>
        <v>#REF!</v>
      </c>
      <c r="P75" s="70" t="e">
        <f t="shared" si="46"/>
        <v>#REF!</v>
      </c>
      <c r="Q75" s="71" t="e">
        <f t="shared" si="47"/>
        <v>#REF!</v>
      </c>
      <c r="R75" s="71"/>
      <c r="S75" s="70" t="e">
        <f t="shared" si="48"/>
        <v>#REF!</v>
      </c>
      <c r="T75" s="70" t="e">
        <f t="shared" si="49"/>
        <v>#REF!</v>
      </c>
      <c r="U75" s="71" t="e">
        <f t="shared" si="50"/>
        <v>#REF!</v>
      </c>
      <c r="V75" s="71"/>
      <c r="W75" s="70" t="e">
        <f t="shared" si="51"/>
        <v>#REF!</v>
      </c>
      <c r="X75" s="70" t="e">
        <f t="shared" si="52"/>
        <v>#REF!</v>
      </c>
      <c r="Y75" s="71" t="e">
        <f t="shared" si="53"/>
        <v>#REF!</v>
      </c>
    </row>
    <row r="76" spans="1:25" ht="16.5" customHeight="1">
      <c r="A76" s="60" t="s">
        <v>189</v>
      </c>
      <c r="B76" s="60" t="s">
        <v>190</v>
      </c>
      <c r="C76" s="69" t="e">
        <f t="shared" si="36"/>
        <v>#REF!</v>
      </c>
      <c r="D76" s="69" t="e">
        <f t="shared" si="37"/>
        <v>#REF!</v>
      </c>
      <c r="E76" s="71" t="e">
        <f t="shared" si="38"/>
        <v>#REF!</v>
      </c>
      <c r="F76" s="69"/>
      <c r="G76" s="69" t="e">
        <f t="shared" si="39"/>
        <v>#REF!</v>
      </c>
      <c r="H76" s="69" t="e">
        <f t="shared" si="40"/>
        <v>#REF!</v>
      </c>
      <c r="I76" s="71" t="e">
        <f t="shared" si="41"/>
        <v>#REF!</v>
      </c>
      <c r="J76" s="69"/>
      <c r="K76" s="69" t="e">
        <f t="shared" si="42"/>
        <v>#REF!</v>
      </c>
      <c r="L76" s="69" t="e">
        <f t="shared" si="43"/>
        <v>#REF!</v>
      </c>
      <c r="M76" s="71" t="e">
        <f t="shared" si="44"/>
        <v>#REF!</v>
      </c>
      <c r="N76" s="71"/>
      <c r="O76" s="70" t="e">
        <f t="shared" si="45"/>
        <v>#REF!</v>
      </c>
      <c r="P76" s="70" t="e">
        <f t="shared" si="46"/>
        <v>#REF!</v>
      </c>
      <c r="Q76" s="71" t="e">
        <f t="shared" si="47"/>
        <v>#REF!</v>
      </c>
      <c r="R76" s="71"/>
      <c r="S76" s="70" t="e">
        <f t="shared" si="48"/>
        <v>#REF!</v>
      </c>
      <c r="T76" s="70" t="e">
        <f t="shared" si="49"/>
        <v>#REF!</v>
      </c>
      <c r="U76" s="71" t="e">
        <f t="shared" si="50"/>
        <v>#REF!</v>
      </c>
      <c r="V76" s="71"/>
      <c r="W76" s="70" t="e">
        <f t="shared" si="51"/>
        <v>#REF!</v>
      </c>
      <c r="X76" s="70" t="e">
        <f t="shared" si="52"/>
        <v>#REF!</v>
      </c>
      <c r="Y76" s="71" t="e">
        <f t="shared" si="53"/>
        <v>#REF!</v>
      </c>
    </row>
    <row r="77" spans="1:25" ht="16.5" customHeight="1">
      <c r="A77" s="60" t="s">
        <v>191</v>
      </c>
      <c r="B77" s="60" t="s">
        <v>192</v>
      </c>
      <c r="C77" s="69" t="e">
        <f t="shared" si="36"/>
        <v>#REF!</v>
      </c>
      <c r="D77" s="69" t="e">
        <f t="shared" si="37"/>
        <v>#REF!</v>
      </c>
      <c r="E77" s="71" t="e">
        <f t="shared" si="38"/>
        <v>#REF!</v>
      </c>
      <c r="F77" s="69"/>
      <c r="G77" s="69" t="e">
        <f t="shared" si="39"/>
        <v>#REF!</v>
      </c>
      <c r="H77" s="69" t="e">
        <f t="shared" si="40"/>
        <v>#REF!</v>
      </c>
      <c r="I77" s="71" t="e">
        <f t="shared" si="41"/>
        <v>#REF!</v>
      </c>
      <c r="J77" s="69"/>
      <c r="K77" s="69" t="e">
        <f t="shared" si="42"/>
        <v>#REF!</v>
      </c>
      <c r="L77" s="69" t="e">
        <f t="shared" si="43"/>
        <v>#REF!</v>
      </c>
      <c r="M77" s="71" t="e">
        <f t="shared" si="44"/>
        <v>#REF!</v>
      </c>
      <c r="N77" s="71"/>
      <c r="O77" s="70" t="e">
        <f t="shared" si="45"/>
        <v>#REF!</v>
      </c>
      <c r="P77" s="70" t="e">
        <f t="shared" si="46"/>
        <v>#REF!</v>
      </c>
      <c r="Q77" s="71" t="e">
        <f t="shared" si="47"/>
        <v>#REF!</v>
      </c>
      <c r="R77" s="71"/>
      <c r="S77" s="70" t="e">
        <f t="shared" si="48"/>
        <v>#REF!</v>
      </c>
      <c r="T77" s="70" t="e">
        <f t="shared" si="49"/>
        <v>#REF!</v>
      </c>
      <c r="U77" s="71" t="e">
        <f t="shared" si="50"/>
        <v>#REF!</v>
      </c>
      <c r="V77" s="71"/>
      <c r="W77" s="70" t="e">
        <f t="shared" si="51"/>
        <v>#REF!</v>
      </c>
      <c r="X77" s="70" t="e">
        <f t="shared" si="52"/>
        <v>#REF!</v>
      </c>
      <c r="Y77" s="71" t="e">
        <f t="shared" si="53"/>
        <v>#REF!</v>
      </c>
    </row>
    <row r="78" spans="1:25" ht="16.5" customHeight="1">
      <c r="A78" s="60" t="s">
        <v>195</v>
      </c>
      <c r="B78" s="60" t="s">
        <v>196</v>
      </c>
      <c r="C78" s="69" t="e">
        <f t="shared" si="36"/>
        <v>#REF!</v>
      </c>
      <c r="D78" s="69" t="e">
        <f t="shared" si="37"/>
        <v>#REF!</v>
      </c>
      <c r="E78" s="71" t="e">
        <f t="shared" si="38"/>
        <v>#REF!</v>
      </c>
      <c r="F78" s="69"/>
      <c r="G78" s="69" t="e">
        <f t="shared" si="39"/>
        <v>#REF!</v>
      </c>
      <c r="H78" s="69" t="e">
        <f t="shared" si="40"/>
        <v>#REF!</v>
      </c>
      <c r="I78" s="71" t="e">
        <f t="shared" si="41"/>
        <v>#REF!</v>
      </c>
      <c r="J78" s="69"/>
      <c r="K78" s="69" t="e">
        <f t="shared" si="42"/>
        <v>#REF!</v>
      </c>
      <c r="L78" s="69" t="e">
        <f t="shared" si="43"/>
        <v>#REF!</v>
      </c>
      <c r="M78" s="71" t="e">
        <f t="shared" si="44"/>
        <v>#REF!</v>
      </c>
      <c r="N78" s="71"/>
      <c r="O78" s="70" t="e">
        <f t="shared" si="45"/>
        <v>#REF!</v>
      </c>
      <c r="P78" s="70" t="e">
        <f t="shared" si="46"/>
        <v>#REF!</v>
      </c>
      <c r="Q78" s="71" t="e">
        <f t="shared" si="47"/>
        <v>#REF!</v>
      </c>
      <c r="R78" s="71"/>
      <c r="S78" s="70" t="e">
        <f t="shared" si="48"/>
        <v>#REF!</v>
      </c>
      <c r="T78" s="70" t="e">
        <f t="shared" si="49"/>
        <v>#REF!</v>
      </c>
      <c r="U78" s="71" t="e">
        <f t="shared" si="50"/>
        <v>#REF!</v>
      </c>
      <c r="V78" s="71"/>
      <c r="W78" s="70" t="e">
        <f t="shared" si="51"/>
        <v>#REF!</v>
      </c>
      <c r="X78" s="70" t="e">
        <f t="shared" si="52"/>
        <v>#REF!</v>
      </c>
      <c r="Y78" s="71" t="e">
        <f t="shared" si="53"/>
        <v>#REF!</v>
      </c>
    </row>
    <row r="79" spans="1:25" ht="16.5" customHeight="1">
      <c r="A79" s="60" t="s">
        <v>199</v>
      </c>
      <c r="B79" s="60" t="s">
        <v>200</v>
      </c>
      <c r="C79" s="69" t="e">
        <f t="shared" si="36"/>
        <v>#REF!</v>
      </c>
      <c r="D79" s="69" t="e">
        <f t="shared" si="37"/>
        <v>#REF!</v>
      </c>
      <c r="E79" s="71" t="e">
        <f t="shared" si="38"/>
        <v>#REF!</v>
      </c>
      <c r="F79" s="69"/>
      <c r="G79" s="69" t="e">
        <f t="shared" si="39"/>
        <v>#REF!</v>
      </c>
      <c r="H79" s="69" t="e">
        <f t="shared" si="40"/>
        <v>#REF!</v>
      </c>
      <c r="I79" s="71" t="e">
        <f t="shared" si="41"/>
        <v>#REF!</v>
      </c>
      <c r="J79" s="69"/>
      <c r="K79" s="69" t="e">
        <f t="shared" si="42"/>
        <v>#REF!</v>
      </c>
      <c r="L79" s="69" t="e">
        <f t="shared" si="43"/>
        <v>#REF!</v>
      </c>
      <c r="M79" s="71" t="e">
        <f t="shared" si="44"/>
        <v>#REF!</v>
      </c>
      <c r="N79" s="71"/>
      <c r="O79" s="70" t="e">
        <f t="shared" si="45"/>
        <v>#REF!</v>
      </c>
      <c r="P79" s="70" t="e">
        <f t="shared" si="46"/>
        <v>#REF!</v>
      </c>
      <c r="Q79" s="71" t="e">
        <f t="shared" si="47"/>
        <v>#REF!</v>
      </c>
      <c r="R79" s="71"/>
      <c r="S79" s="70" t="e">
        <f t="shared" si="48"/>
        <v>#REF!</v>
      </c>
      <c r="T79" s="70" t="e">
        <f t="shared" si="49"/>
        <v>#REF!</v>
      </c>
      <c r="U79" s="71" t="e">
        <f t="shared" si="50"/>
        <v>#REF!</v>
      </c>
      <c r="V79" s="71"/>
      <c r="W79" s="70" t="e">
        <f t="shared" si="51"/>
        <v>#REF!</v>
      </c>
      <c r="X79" s="70" t="e">
        <f t="shared" si="52"/>
        <v>#REF!</v>
      </c>
      <c r="Y79" s="71" t="e">
        <f t="shared" si="53"/>
        <v>#REF!</v>
      </c>
    </row>
    <row r="80" spans="1:25" ht="16.5" customHeight="1">
      <c r="A80" s="60" t="s">
        <v>203</v>
      </c>
      <c r="B80" s="60" t="s">
        <v>204</v>
      </c>
      <c r="C80" s="69" t="e">
        <f t="shared" si="36"/>
        <v>#REF!</v>
      </c>
      <c r="D80" s="69" t="e">
        <f t="shared" si="37"/>
        <v>#REF!</v>
      </c>
      <c r="E80" s="71" t="e">
        <f t="shared" si="38"/>
        <v>#REF!</v>
      </c>
      <c r="F80" s="69"/>
      <c r="G80" s="69" t="e">
        <f t="shared" si="39"/>
        <v>#REF!</v>
      </c>
      <c r="H80" s="69" t="e">
        <f t="shared" si="40"/>
        <v>#REF!</v>
      </c>
      <c r="I80" s="71" t="e">
        <f t="shared" si="41"/>
        <v>#REF!</v>
      </c>
      <c r="J80" s="69"/>
      <c r="K80" s="69" t="e">
        <f t="shared" si="42"/>
        <v>#REF!</v>
      </c>
      <c r="L80" s="69" t="e">
        <f t="shared" si="43"/>
        <v>#REF!</v>
      </c>
      <c r="M80" s="71" t="e">
        <f t="shared" si="44"/>
        <v>#REF!</v>
      </c>
      <c r="N80" s="71"/>
      <c r="O80" s="70" t="e">
        <f t="shared" si="45"/>
        <v>#REF!</v>
      </c>
      <c r="P80" s="70" t="e">
        <f t="shared" si="46"/>
        <v>#REF!</v>
      </c>
      <c r="Q80" s="71" t="e">
        <f t="shared" si="47"/>
        <v>#REF!</v>
      </c>
      <c r="R80" s="71"/>
      <c r="S80" s="70" t="e">
        <f t="shared" si="48"/>
        <v>#REF!</v>
      </c>
      <c r="T80" s="70" t="e">
        <f t="shared" si="49"/>
        <v>#REF!</v>
      </c>
      <c r="U80" s="71" t="e">
        <f t="shared" si="50"/>
        <v>#REF!</v>
      </c>
      <c r="V80" s="71"/>
      <c r="W80" s="70" t="e">
        <f t="shared" si="51"/>
        <v>#REF!</v>
      </c>
      <c r="X80" s="70" t="e">
        <f t="shared" si="52"/>
        <v>#REF!</v>
      </c>
      <c r="Y80" s="71" t="e">
        <f t="shared" si="53"/>
        <v>#REF!</v>
      </c>
    </row>
    <row r="81" spans="1:25" ht="16.5" customHeight="1">
      <c r="A81" s="60" t="s">
        <v>205</v>
      </c>
      <c r="B81" s="60" t="s">
        <v>206</v>
      </c>
      <c r="C81" s="69" t="e">
        <f t="shared" si="36"/>
        <v>#REF!</v>
      </c>
      <c r="D81" s="69" t="e">
        <f t="shared" si="37"/>
        <v>#REF!</v>
      </c>
      <c r="E81" s="71" t="e">
        <f t="shared" si="38"/>
        <v>#REF!</v>
      </c>
      <c r="F81" s="69"/>
      <c r="G81" s="69" t="e">
        <f t="shared" si="39"/>
        <v>#REF!</v>
      </c>
      <c r="H81" s="69" t="e">
        <f t="shared" si="40"/>
        <v>#REF!</v>
      </c>
      <c r="I81" s="71" t="e">
        <f t="shared" si="41"/>
        <v>#REF!</v>
      </c>
      <c r="J81" s="69"/>
      <c r="K81" s="69" t="e">
        <f t="shared" si="42"/>
        <v>#REF!</v>
      </c>
      <c r="L81" s="69" t="e">
        <f t="shared" si="43"/>
        <v>#REF!</v>
      </c>
      <c r="M81" s="71" t="e">
        <f t="shared" si="44"/>
        <v>#REF!</v>
      </c>
      <c r="N81" s="71"/>
      <c r="O81" s="70" t="e">
        <f t="shared" si="45"/>
        <v>#REF!</v>
      </c>
      <c r="P81" s="70" t="e">
        <f t="shared" si="46"/>
        <v>#REF!</v>
      </c>
      <c r="Q81" s="71" t="e">
        <f t="shared" si="47"/>
        <v>#REF!</v>
      </c>
      <c r="R81" s="71"/>
      <c r="S81" s="70" t="e">
        <f t="shared" si="48"/>
        <v>#REF!</v>
      </c>
      <c r="T81" s="70" t="e">
        <f t="shared" si="49"/>
        <v>#REF!</v>
      </c>
      <c r="U81" s="71" t="e">
        <f t="shared" si="50"/>
        <v>#REF!</v>
      </c>
      <c r="V81" s="71"/>
      <c r="W81" s="70" t="e">
        <f t="shared" si="51"/>
        <v>#REF!</v>
      </c>
      <c r="X81" s="70" t="e">
        <f t="shared" si="52"/>
        <v>#REF!</v>
      </c>
      <c r="Y81" s="71" t="e">
        <f t="shared" si="53"/>
        <v>#REF!</v>
      </c>
    </row>
    <row r="82" spans="1:25" ht="16.5" customHeight="1">
      <c r="A82" s="60" t="s">
        <v>207</v>
      </c>
      <c r="B82" s="60" t="s">
        <v>208</v>
      </c>
      <c r="C82" s="69" t="e">
        <f t="shared" si="36"/>
        <v>#REF!</v>
      </c>
      <c r="D82" s="69" t="e">
        <f t="shared" si="37"/>
        <v>#REF!</v>
      </c>
      <c r="E82" s="71" t="e">
        <f t="shared" si="38"/>
        <v>#REF!</v>
      </c>
      <c r="F82" s="69"/>
      <c r="G82" s="69" t="e">
        <f t="shared" si="39"/>
        <v>#REF!</v>
      </c>
      <c r="H82" s="69" t="e">
        <f t="shared" si="40"/>
        <v>#REF!</v>
      </c>
      <c r="I82" s="71" t="e">
        <f t="shared" si="41"/>
        <v>#REF!</v>
      </c>
      <c r="J82" s="69"/>
      <c r="K82" s="69" t="e">
        <f t="shared" si="42"/>
        <v>#REF!</v>
      </c>
      <c r="L82" s="69" t="e">
        <f t="shared" si="43"/>
        <v>#REF!</v>
      </c>
      <c r="M82" s="71" t="e">
        <f t="shared" si="44"/>
        <v>#REF!</v>
      </c>
      <c r="N82" s="71"/>
      <c r="O82" s="70" t="e">
        <f t="shared" si="45"/>
        <v>#REF!</v>
      </c>
      <c r="P82" s="70" t="e">
        <f t="shared" si="46"/>
        <v>#REF!</v>
      </c>
      <c r="Q82" s="71" t="e">
        <f t="shared" si="47"/>
        <v>#REF!</v>
      </c>
      <c r="R82" s="71"/>
      <c r="S82" s="70" t="e">
        <f t="shared" si="48"/>
        <v>#REF!</v>
      </c>
      <c r="T82" s="70" t="e">
        <f t="shared" si="49"/>
        <v>#REF!</v>
      </c>
      <c r="U82" s="71" t="e">
        <f t="shared" si="50"/>
        <v>#REF!</v>
      </c>
      <c r="V82" s="71"/>
      <c r="W82" s="70" t="e">
        <f t="shared" si="51"/>
        <v>#REF!</v>
      </c>
      <c r="X82" s="70" t="e">
        <f t="shared" si="52"/>
        <v>#REF!</v>
      </c>
      <c r="Y82" s="71" t="e">
        <f t="shared" si="53"/>
        <v>#REF!</v>
      </c>
    </row>
    <row r="83" spans="1:25" ht="16.5" customHeight="1">
      <c r="A83" s="60" t="s">
        <v>209</v>
      </c>
      <c r="B83" s="73" t="s">
        <v>210</v>
      </c>
      <c r="C83" s="69" t="e">
        <f t="shared" si="36"/>
        <v>#REF!</v>
      </c>
      <c r="D83" s="69" t="e">
        <f t="shared" si="37"/>
        <v>#REF!</v>
      </c>
      <c r="E83" s="71" t="e">
        <f t="shared" si="38"/>
        <v>#REF!</v>
      </c>
      <c r="F83" s="69"/>
      <c r="G83" s="69" t="e">
        <f t="shared" si="39"/>
        <v>#REF!</v>
      </c>
      <c r="H83" s="69" t="e">
        <f t="shared" si="40"/>
        <v>#REF!</v>
      </c>
      <c r="I83" s="71" t="e">
        <f t="shared" si="41"/>
        <v>#REF!</v>
      </c>
      <c r="J83" s="69"/>
      <c r="K83" s="69" t="e">
        <f t="shared" si="42"/>
        <v>#REF!</v>
      </c>
      <c r="L83" s="69" t="e">
        <f t="shared" si="43"/>
        <v>#REF!</v>
      </c>
      <c r="M83" s="71" t="e">
        <f t="shared" si="44"/>
        <v>#REF!</v>
      </c>
      <c r="N83" s="71"/>
      <c r="O83" s="70" t="e">
        <f t="shared" si="45"/>
        <v>#REF!</v>
      </c>
      <c r="P83" s="70" t="e">
        <f t="shared" si="46"/>
        <v>#REF!</v>
      </c>
      <c r="Q83" s="71" t="e">
        <f t="shared" si="47"/>
        <v>#REF!</v>
      </c>
      <c r="R83" s="71"/>
      <c r="S83" s="70" t="e">
        <f t="shared" si="48"/>
        <v>#REF!</v>
      </c>
      <c r="T83" s="70" t="e">
        <f t="shared" si="49"/>
        <v>#REF!</v>
      </c>
      <c r="U83" s="71" t="e">
        <f t="shared" si="50"/>
        <v>#REF!</v>
      </c>
      <c r="V83" s="71"/>
      <c r="W83" s="70" t="e">
        <f t="shared" si="51"/>
        <v>#REF!</v>
      </c>
      <c r="X83" s="70" t="e">
        <f t="shared" si="52"/>
        <v>#REF!</v>
      </c>
      <c r="Y83" s="71" t="e">
        <f t="shared" si="53"/>
        <v>#REF!</v>
      </c>
    </row>
    <row r="84" spans="1:25" ht="16.5" customHeight="1">
      <c r="A84" s="60" t="s">
        <v>211</v>
      </c>
      <c r="B84" s="60" t="s">
        <v>212</v>
      </c>
      <c r="C84" s="69" t="e">
        <f t="shared" si="36"/>
        <v>#REF!</v>
      </c>
      <c r="D84" s="69" t="e">
        <f t="shared" si="37"/>
        <v>#REF!</v>
      </c>
      <c r="E84" s="71" t="e">
        <f t="shared" si="38"/>
        <v>#REF!</v>
      </c>
      <c r="F84" s="69"/>
      <c r="G84" s="69" t="e">
        <f t="shared" si="39"/>
        <v>#REF!</v>
      </c>
      <c r="H84" s="69" t="e">
        <f t="shared" si="40"/>
        <v>#REF!</v>
      </c>
      <c r="I84" s="71" t="e">
        <f t="shared" si="41"/>
        <v>#REF!</v>
      </c>
      <c r="J84" s="69"/>
      <c r="K84" s="69" t="e">
        <f t="shared" si="42"/>
        <v>#REF!</v>
      </c>
      <c r="L84" s="69" t="e">
        <f t="shared" si="43"/>
        <v>#REF!</v>
      </c>
      <c r="M84" s="71" t="e">
        <f t="shared" si="44"/>
        <v>#REF!</v>
      </c>
      <c r="N84" s="71"/>
      <c r="O84" s="70" t="e">
        <f t="shared" si="45"/>
        <v>#REF!</v>
      </c>
      <c r="P84" s="70" t="e">
        <f t="shared" si="46"/>
        <v>#REF!</v>
      </c>
      <c r="Q84" s="71" t="e">
        <f t="shared" si="47"/>
        <v>#REF!</v>
      </c>
      <c r="R84" s="71"/>
      <c r="S84" s="70" t="e">
        <f t="shared" si="48"/>
        <v>#REF!</v>
      </c>
      <c r="T84" s="70" t="e">
        <f t="shared" si="49"/>
        <v>#REF!</v>
      </c>
      <c r="U84" s="71" t="e">
        <f t="shared" si="50"/>
        <v>#REF!</v>
      </c>
      <c r="V84" s="71"/>
      <c r="W84" s="70" t="e">
        <f t="shared" si="51"/>
        <v>#REF!</v>
      </c>
      <c r="X84" s="70" t="e">
        <f t="shared" si="52"/>
        <v>#REF!</v>
      </c>
      <c r="Y84" s="71" t="e">
        <f t="shared" si="53"/>
        <v>#REF!</v>
      </c>
    </row>
    <row r="85" spans="1:25" ht="16.5" customHeight="1">
      <c r="A85" s="60" t="s">
        <v>213</v>
      </c>
      <c r="B85" s="60" t="s">
        <v>214</v>
      </c>
      <c r="C85" s="69" t="e">
        <f t="shared" si="36"/>
        <v>#REF!</v>
      </c>
      <c r="D85" s="69" t="e">
        <f t="shared" si="37"/>
        <v>#REF!</v>
      </c>
      <c r="E85" s="71" t="e">
        <f t="shared" si="38"/>
        <v>#REF!</v>
      </c>
      <c r="F85" s="69"/>
      <c r="G85" s="69" t="e">
        <f t="shared" si="39"/>
        <v>#REF!</v>
      </c>
      <c r="H85" s="69" t="e">
        <f t="shared" si="40"/>
        <v>#REF!</v>
      </c>
      <c r="I85" s="71" t="e">
        <f t="shared" si="41"/>
        <v>#REF!</v>
      </c>
      <c r="J85" s="69"/>
      <c r="K85" s="69" t="e">
        <f t="shared" si="42"/>
        <v>#REF!</v>
      </c>
      <c r="L85" s="69" t="e">
        <f t="shared" si="43"/>
        <v>#REF!</v>
      </c>
      <c r="M85" s="71" t="e">
        <f t="shared" si="44"/>
        <v>#REF!</v>
      </c>
      <c r="N85" s="71"/>
      <c r="O85" s="70" t="e">
        <f t="shared" si="45"/>
        <v>#REF!</v>
      </c>
      <c r="P85" s="70" t="e">
        <f t="shared" si="46"/>
        <v>#REF!</v>
      </c>
      <c r="Q85" s="71" t="e">
        <f t="shared" si="47"/>
        <v>#REF!</v>
      </c>
      <c r="R85" s="71"/>
      <c r="S85" s="70" t="e">
        <f t="shared" si="48"/>
        <v>#REF!</v>
      </c>
      <c r="T85" s="70" t="e">
        <f t="shared" si="49"/>
        <v>#REF!</v>
      </c>
      <c r="U85" s="71" t="e">
        <f t="shared" si="50"/>
        <v>#REF!</v>
      </c>
      <c r="V85" s="71"/>
      <c r="W85" s="70" t="e">
        <f t="shared" si="51"/>
        <v>#REF!</v>
      </c>
      <c r="X85" s="70" t="e">
        <f t="shared" si="52"/>
        <v>#REF!</v>
      </c>
      <c r="Y85" s="71" t="e">
        <f t="shared" si="53"/>
        <v>#REF!</v>
      </c>
    </row>
    <row r="86" spans="1:25" ht="16.5" customHeight="1">
      <c r="A86" s="60" t="s">
        <v>215</v>
      </c>
      <c r="B86" s="60" t="s">
        <v>216</v>
      </c>
      <c r="C86" s="69" t="e">
        <f t="shared" si="36"/>
        <v>#REF!</v>
      </c>
      <c r="D86" s="69" t="e">
        <f t="shared" si="37"/>
        <v>#REF!</v>
      </c>
      <c r="E86" s="71" t="e">
        <f t="shared" si="38"/>
        <v>#REF!</v>
      </c>
      <c r="F86" s="69"/>
      <c r="G86" s="69" t="e">
        <f t="shared" si="39"/>
        <v>#REF!</v>
      </c>
      <c r="H86" s="69" t="e">
        <f t="shared" si="40"/>
        <v>#REF!</v>
      </c>
      <c r="I86" s="71" t="e">
        <f t="shared" si="41"/>
        <v>#REF!</v>
      </c>
      <c r="J86" s="69"/>
      <c r="K86" s="69" t="e">
        <f t="shared" si="42"/>
        <v>#REF!</v>
      </c>
      <c r="L86" s="69" t="e">
        <f t="shared" si="43"/>
        <v>#REF!</v>
      </c>
      <c r="M86" s="71" t="e">
        <f t="shared" si="44"/>
        <v>#REF!</v>
      </c>
      <c r="N86" s="71"/>
      <c r="O86" s="70" t="e">
        <f t="shared" si="45"/>
        <v>#REF!</v>
      </c>
      <c r="P86" s="70" t="e">
        <f t="shared" si="46"/>
        <v>#REF!</v>
      </c>
      <c r="Q86" s="71" t="e">
        <f t="shared" si="47"/>
        <v>#REF!</v>
      </c>
      <c r="R86" s="71"/>
      <c r="S86" s="70" t="e">
        <f t="shared" si="48"/>
        <v>#REF!</v>
      </c>
      <c r="T86" s="70" t="e">
        <f t="shared" si="49"/>
        <v>#REF!</v>
      </c>
      <c r="U86" s="71" t="e">
        <f t="shared" si="50"/>
        <v>#REF!</v>
      </c>
      <c r="V86" s="71"/>
      <c r="W86" s="70" t="e">
        <f t="shared" si="51"/>
        <v>#REF!</v>
      </c>
      <c r="X86" s="70" t="e">
        <f t="shared" si="52"/>
        <v>#REF!</v>
      </c>
      <c r="Y86" s="71" t="e">
        <f t="shared" si="53"/>
        <v>#REF!</v>
      </c>
    </row>
    <row r="87" spans="1:25" ht="16.5" customHeight="1">
      <c r="A87" s="60" t="s">
        <v>217</v>
      </c>
      <c r="B87" s="60" t="s">
        <v>218</v>
      </c>
      <c r="C87" s="69" t="e">
        <f t="shared" si="36"/>
        <v>#REF!</v>
      </c>
      <c r="D87" s="69" t="e">
        <f t="shared" si="37"/>
        <v>#REF!</v>
      </c>
      <c r="E87" s="71" t="e">
        <f t="shared" si="38"/>
        <v>#REF!</v>
      </c>
      <c r="F87" s="69"/>
      <c r="G87" s="69" t="e">
        <f t="shared" si="39"/>
        <v>#REF!</v>
      </c>
      <c r="H87" s="69" t="e">
        <f t="shared" si="40"/>
        <v>#REF!</v>
      </c>
      <c r="I87" s="71" t="e">
        <f t="shared" si="41"/>
        <v>#REF!</v>
      </c>
      <c r="J87" s="69"/>
      <c r="K87" s="69" t="e">
        <f t="shared" si="42"/>
        <v>#REF!</v>
      </c>
      <c r="L87" s="69" t="e">
        <f t="shared" si="43"/>
        <v>#REF!</v>
      </c>
      <c r="M87" s="71" t="e">
        <f t="shared" si="44"/>
        <v>#REF!</v>
      </c>
      <c r="N87" s="71"/>
      <c r="O87" s="70" t="e">
        <f t="shared" si="45"/>
        <v>#REF!</v>
      </c>
      <c r="P87" s="70" t="e">
        <f t="shared" si="46"/>
        <v>#REF!</v>
      </c>
      <c r="Q87" s="71" t="e">
        <f t="shared" si="47"/>
        <v>#REF!</v>
      </c>
      <c r="R87" s="71"/>
      <c r="S87" s="70" t="e">
        <f t="shared" si="48"/>
        <v>#REF!</v>
      </c>
      <c r="T87" s="70" t="e">
        <f t="shared" si="49"/>
        <v>#REF!</v>
      </c>
      <c r="U87" s="71" t="e">
        <f t="shared" si="50"/>
        <v>#REF!</v>
      </c>
      <c r="V87" s="71"/>
      <c r="W87" s="70" t="e">
        <f t="shared" si="51"/>
        <v>#REF!</v>
      </c>
      <c r="X87" s="70" t="e">
        <f t="shared" si="52"/>
        <v>#REF!</v>
      </c>
      <c r="Y87" s="71" t="e">
        <f t="shared" si="53"/>
        <v>#REF!</v>
      </c>
    </row>
    <row r="88" spans="1:25" ht="16.5" customHeight="1">
      <c r="A88" s="60" t="s">
        <v>219</v>
      </c>
      <c r="B88" s="60" t="s">
        <v>220</v>
      </c>
      <c r="C88" s="69" t="e">
        <f t="shared" si="36"/>
        <v>#REF!</v>
      </c>
      <c r="D88" s="69" t="e">
        <f t="shared" si="37"/>
        <v>#REF!</v>
      </c>
      <c r="E88" s="71" t="e">
        <f t="shared" si="38"/>
        <v>#REF!</v>
      </c>
      <c r="F88" s="69"/>
      <c r="G88" s="69" t="e">
        <f t="shared" si="39"/>
        <v>#REF!</v>
      </c>
      <c r="H88" s="69" t="e">
        <f t="shared" si="40"/>
        <v>#REF!</v>
      </c>
      <c r="I88" s="71" t="e">
        <f t="shared" si="41"/>
        <v>#REF!</v>
      </c>
      <c r="J88" s="69"/>
      <c r="K88" s="69" t="e">
        <f t="shared" si="42"/>
        <v>#REF!</v>
      </c>
      <c r="L88" s="69" t="e">
        <f t="shared" si="43"/>
        <v>#REF!</v>
      </c>
      <c r="M88" s="71" t="e">
        <f t="shared" si="44"/>
        <v>#REF!</v>
      </c>
      <c r="N88" s="71"/>
      <c r="O88" s="70" t="e">
        <f t="shared" si="45"/>
        <v>#REF!</v>
      </c>
      <c r="P88" s="70" t="e">
        <f t="shared" si="46"/>
        <v>#REF!</v>
      </c>
      <c r="Q88" s="71" t="e">
        <f t="shared" si="47"/>
        <v>#REF!</v>
      </c>
      <c r="R88" s="71"/>
      <c r="S88" s="70" t="e">
        <f t="shared" si="48"/>
        <v>#REF!</v>
      </c>
      <c r="T88" s="70" t="e">
        <f t="shared" si="49"/>
        <v>#REF!</v>
      </c>
      <c r="U88" s="71" t="e">
        <f t="shared" si="50"/>
        <v>#REF!</v>
      </c>
      <c r="V88" s="71"/>
      <c r="W88" s="70" t="e">
        <f t="shared" si="51"/>
        <v>#REF!</v>
      </c>
      <c r="X88" s="70" t="e">
        <f t="shared" si="52"/>
        <v>#REF!</v>
      </c>
      <c r="Y88" s="71" t="e">
        <f t="shared" si="53"/>
        <v>#REF!</v>
      </c>
    </row>
    <row r="89" spans="1:25" ht="16.5" customHeight="1">
      <c r="A89" s="60" t="s">
        <v>221</v>
      </c>
      <c r="B89" s="60" t="s">
        <v>222</v>
      </c>
      <c r="C89" s="69" t="e">
        <f t="shared" si="36"/>
        <v>#REF!</v>
      </c>
      <c r="D89" s="69" t="e">
        <f t="shared" si="37"/>
        <v>#REF!</v>
      </c>
      <c r="E89" s="71" t="e">
        <f t="shared" si="38"/>
        <v>#REF!</v>
      </c>
      <c r="F89" s="69"/>
      <c r="G89" s="69" t="e">
        <f t="shared" si="39"/>
        <v>#REF!</v>
      </c>
      <c r="H89" s="69" t="e">
        <f t="shared" si="40"/>
        <v>#REF!</v>
      </c>
      <c r="I89" s="71" t="e">
        <f t="shared" si="41"/>
        <v>#REF!</v>
      </c>
      <c r="J89" s="69"/>
      <c r="K89" s="69" t="e">
        <f t="shared" si="42"/>
        <v>#REF!</v>
      </c>
      <c r="L89" s="69" t="e">
        <f t="shared" si="43"/>
        <v>#REF!</v>
      </c>
      <c r="M89" s="71" t="e">
        <f t="shared" si="44"/>
        <v>#REF!</v>
      </c>
      <c r="N89" s="71"/>
      <c r="O89" s="70" t="e">
        <f t="shared" si="45"/>
        <v>#REF!</v>
      </c>
      <c r="P89" s="70" t="e">
        <f t="shared" si="46"/>
        <v>#REF!</v>
      </c>
      <c r="Q89" s="71" t="e">
        <f t="shared" si="47"/>
        <v>#REF!</v>
      </c>
      <c r="R89" s="71"/>
      <c r="S89" s="70" t="e">
        <f t="shared" si="48"/>
        <v>#REF!</v>
      </c>
      <c r="T89" s="70" t="e">
        <f t="shared" si="49"/>
        <v>#REF!</v>
      </c>
      <c r="U89" s="71" t="e">
        <f t="shared" si="50"/>
        <v>#REF!</v>
      </c>
      <c r="V89" s="71"/>
      <c r="W89" s="70" t="e">
        <f t="shared" si="51"/>
        <v>#REF!</v>
      </c>
      <c r="X89" s="70" t="e">
        <f t="shared" si="52"/>
        <v>#REF!</v>
      </c>
      <c r="Y89" s="71" t="e">
        <f t="shared" si="53"/>
        <v>#REF!</v>
      </c>
    </row>
    <row r="90" spans="1:25" ht="16.5" customHeight="1">
      <c r="A90" s="60" t="s">
        <v>225</v>
      </c>
      <c r="B90" s="60" t="s">
        <v>226</v>
      </c>
      <c r="C90" s="69" t="e">
        <f t="shared" si="36"/>
        <v>#REF!</v>
      </c>
      <c r="D90" s="69" t="e">
        <f t="shared" si="37"/>
        <v>#REF!</v>
      </c>
      <c r="E90" s="71" t="e">
        <f t="shared" si="38"/>
        <v>#REF!</v>
      </c>
      <c r="F90" s="69"/>
      <c r="G90" s="69" t="e">
        <f t="shared" si="39"/>
        <v>#REF!</v>
      </c>
      <c r="H90" s="69" t="e">
        <f t="shared" si="40"/>
        <v>#REF!</v>
      </c>
      <c r="I90" s="71" t="e">
        <f t="shared" si="41"/>
        <v>#REF!</v>
      </c>
      <c r="J90" s="69"/>
      <c r="K90" s="69" t="e">
        <f t="shared" si="42"/>
        <v>#REF!</v>
      </c>
      <c r="L90" s="69" t="e">
        <f t="shared" si="43"/>
        <v>#REF!</v>
      </c>
      <c r="M90" s="71" t="e">
        <f t="shared" si="44"/>
        <v>#REF!</v>
      </c>
      <c r="N90" s="71"/>
      <c r="O90" s="70" t="e">
        <f t="shared" si="45"/>
        <v>#REF!</v>
      </c>
      <c r="P90" s="70" t="e">
        <f t="shared" si="46"/>
        <v>#REF!</v>
      </c>
      <c r="Q90" s="71" t="e">
        <f t="shared" si="47"/>
        <v>#REF!</v>
      </c>
      <c r="R90" s="71"/>
      <c r="S90" s="70" t="e">
        <f t="shared" si="48"/>
        <v>#REF!</v>
      </c>
      <c r="T90" s="70" t="e">
        <f t="shared" si="49"/>
        <v>#REF!</v>
      </c>
      <c r="U90" s="71" t="e">
        <f t="shared" si="50"/>
        <v>#REF!</v>
      </c>
      <c r="V90" s="71"/>
      <c r="W90" s="70" t="e">
        <f t="shared" si="51"/>
        <v>#REF!</v>
      </c>
      <c r="X90" s="70" t="e">
        <f t="shared" si="52"/>
        <v>#REF!</v>
      </c>
      <c r="Y90" s="71" t="e">
        <f t="shared" si="53"/>
        <v>#REF!</v>
      </c>
    </row>
    <row r="91" spans="1:25" ht="16.5" customHeight="1">
      <c r="A91" s="60" t="s">
        <v>227</v>
      </c>
      <c r="B91" s="60" t="s">
        <v>228</v>
      </c>
      <c r="C91" s="69" t="e">
        <f t="shared" si="36"/>
        <v>#REF!</v>
      </c>
      <c r="D91" s="69" t="e">
        <f t="shared" si="37"/>
        <v>#REF!</v>
      </c>
      <c r="E91" s="71" t="e">
        <f t="shared" si="38"/>
        <v>#REF!</v>
      </c>
      <c r="F91" s="69"/>
      <c r="G91" s="69" t="e">
        <f t="shared" si="39"/>
        <v>#REF!</v>
      </c>
      <c r="H91" s="69" t="e">
        <f t="shared" si="40"/>
        <v>#REF!</v>
      </c>
      <c r="I91" s="71" t="e">
        <f t="shared" si="41"/>
        <v>#REF!</v>
      </c>
      <c r="J91" s="69"/>
      <c r="K91" s="69" t="e">
        <f t="shared" si="42"/>
        <v>#REF!</v>
      </c>
      <c r="L91" s="69" t="e">
        <f t="shared" si="43"/>
        <v>#REF!</v>
      </c>
      <c r="M91" s="71" t="e">
        <f t="shared" si="44"/>
        <v>#REF!</v>
      </c>
      <c r="N91" s="71"/>
      <c r="O91" s="70" t="e">
        <f t="shared" si="45"/>
        <v>#REF!</v>
      </c>
      <c r="P91" s="70" t="e">
        <f t="shared" si="46"/>
        <v>#REF!</v>
      </c>
      <c r="Q91" s="71" t="e">
        <f t="shared" si="47"/>
        <v>#REF!</v>
      </c>
      <c r="R91" s="71"/>
      <c r="S91" s="70" t="e">
        <f t="shared" si="48"/>
        <v>#REF!</v>
      </c>
      <c r="T91" s="70" t="e">
        <f t="shared" si="49"/>
        <v>#REF!</v>
      </c>
      <c r="U91" s="71" t="e">
        <f t="shared" si="50"/>
        <v>#REF!</v>
      </c>
      <c r="V91" s="71"/>
      <c r="W91" s="70" t="e">
        <f t="shared" si="51"/>
        <v>#REF!</v>
      </c>
      <c r="X91" s="70" t="e">
        <f t="shared" si="52"/>
        <v>#REF!</v>
      </c>
      <c r="Y91" s="71" t="e">
        <f t="shared" si="53"/>
        <v>#REF!</v>
      </c>
    </row>
    <row r="92" spans="1:25" ht="16.5" customHeight="1">
      <c r="A92" s="60" t="s">
        <v>229</v>
      </c>
      <c r="B92" s="60" t="s">
        <v>230</v>
      </c>
      <c r="C92" s="69" t="e">
        <f t="shared" si="36"/>
        <v>#REF!</v>
      </c>
      <c r="D92" s="69" t="e">
        <f t="shared" si="37"/>
        <v>#REF!</v>
      </c>
      <c r="E92" s="71" t="e">
        <f t="shared" si="38"/>
        <v>#REF!</v>
      </c>
      <c r="F92" s="69"/>
      <c r="G92" s="69" t="e">
        <f t="shared" si="39"/>
        <v>#REF!</v>
      </c>
      <c r="H92" s="69" t="e">
        <f t="shared" si="40"/>
        <v>#REF!</v>
      </c>
      <c r="I92" s="71" t="e">
        <f t="shared" si="41"/>
        <v>#REF!</v>
      </c>
      <c r="J92" s="69"/>
      <c r="K92" s="69" t="e">
        <f t="shared" si="42"/>
        <v>#REF!</v>
      </c>
      <c r="L92" s="69" t="e">
        <f t="shared" si="43"/>
        <v>#REF!</v>
      </c>
      <c r="M92" s="71" t="e">
        <f t="shared" si="44"/>
        <v>#REF!</v>
      </c>
      <c r="N92" s="71"/>
      <c r="O92" s="70" t="e">
        <f t="shared" si="45"/>
        <v>#REF!</v>
      </c>
      <c r="P92" s="70" t="e">
        <f t="shared" si="46"/>
        <v>#REF!</v>
      </c>
      <c r="Q92" s="71" t="e">
        <f t="shared" si="47"/>
        <v>#REF!</v>
      </c>
      <c r="R92" s="71"/>
      <c r="S92" s="70" t="e">
        <f t="shared" si="48"/>
        <v>#REF!</v>
      </c>
      <c r="T92" s="70" t="e">
        <f t="shared" si="49"/>
        <v>#REF!</v>
      </c>
      <c r="U92" s="71" t="e">
        <f t="shared" si="50"/>
        <v>#REF!</v>
      </c>
      <c r="V92" s="71"/>
      <c r="W92" s="70" t="e">
        <f t="shared" si="51"/>
        <v>#REF!</v>
      </c>
      <c r="X92" s="70" t="e">
        <f t="shared" si="52"/>
        <v>#REF!</v>
      </c>
      <c r="Y92" s="71" t="e">
        <f t="shared" si="53"/>
        <v>#REF!</v>
      </c>
    </row>
    <row r="93" spans="1:25" ht="16.5" customHeight="1">
      <c r="A93" s="60" t="s">
        <v>233</v>
      </c>
      <c r="B93" s="60" t="s">
        <v>234</v>
      </c>
      <c r="C93" s="69" t="e">
        <f t="shared" si="36"/>
        <v>#REF!</v>
      </c>
      <c r="D93" s="69" t="e">
        <f t="shared" si="37"/>
        <v>#REF!</v>
      </c>
      <c r="E93" s="71" t="e">
        <f t="shared" si="38"/>
        <v>#REF!</v>
      </c>
      <c r="F93" s="69"/>
      <c r="G93" s="69" t="e">
        <f t="shared" si="39"/>
        <v>#REF!</v>
      </c>
      <c r="H93" s="69" t="e">
        <f t="shared" si="40"/>
        <v>#REF!</v>
      </c>
      <c r="I93" s="71" t="e">
        <f t="shared" si="41"/>
        <v>#REF!</v>
      </c>
      <c r="J93" s="69"/>
      <c r="K93" s="69" t="e">
        <f t="shared" si="42"/>
        <v>#REF!</v>
      </c>
      <c r="L93" s="69" t="e">
        <f t="shared" si="43"/>
        <v>#REF!</v>
      </c>
      <c r="M93" s="71" t="e">
        <f t="shared" si="44"/>
        <v>#REF!</v>
      </c>
      <c r="N93" s="71"/>
      <c r="O93" s="70" t="e">
        <f t="shared" si="45"/>
        <v>#REF!</v>
      </c>
      <c r="P93" s="70" t="e">
        <f t="shared" si="46"/>
        <v>#REF!</v>
      </c>
      <c r="Q93" s="71" t="e">
        <f t="shared" si="47"/>
        <v>#REF!</v>
      </c>
      <c r="R93" s="71"/>
      <c r="S93" s="70" t="e">
        <f t="shared" si="48"/>
        <v>#REF!</v>
      </c>
      <c r="T93" s="70" t="e">
        <f t="shared" si="49"/>
        <v>#REF!</v>
      </c>
      <c r="U93" s="71" t="e">
        <f t="shared" si="50"/>
        <v>#REF!</v>
      </c>
      <c r="V93" s="71"/>
      <c r="W93" s="70" t="e">
        <f t="shared" si="51"/>
        <v>#REF!</v>
      </c>
      <c r="X93" s="70" t="e">
        <f t="shared" si="52"/>
        <v>#REF!</v>
      </c>
      <c r="Y93" s="71" t="e">
        <f t="shared" si="53"/>
        <v>#REF!</v>
      </c>
    </row>
    <row r="94" spans="1:25" ht="16.5" customHeight="1">
      <c r="A94" s="60" t="s">
        <v>235</v>
      </c>
      <c r="B94" s="60" t="s">
        <v>236</v>
      </c>
      <c r="C94" s="69" t="e">
        <f t="shared" si="36"/>
        <v>#REF!</v>
      </c>
      <c r="D94" s="69" t="e">
        <f t="shared" si="37"/>
        <v>#REF!</v>
      </c>
      <c r="E94" s="71" t="e">
        <f t="shared" si="38"/>
        <v>#REF!</v>
      </c>
      <c r="F94" s="69"/>
      <c r="G94" s="69" t="e">
        <f t="shared" si="39"/>
        <v>#REF!</v>
      </c>
      <c r="H94" s="69" t="e">
        <f t="shared" si="40"/>
        <v>#REF!</v>
      </c>
      <c r="I94" s="71" t="e">
        <f t="shared" si="41"/>
        <v>#REF!</v>
      </c>
      <c r="J94" s="69"/>
      <c r="K94" s="69" t="e">
        <f t="shared" si="42"/>
        <v>#REF!</v>
      </c>
      <c r="L94" s="69" t="e">
        <f t="shared" si="43"/>
        <v>#REF!</v>
      </c>
      <c r="M94" s="71" t="e">
        <f t="shared" si="44"/>
        <v>#REF!</v>
      </c>
      <c r="N94" s="71"/>
      <c r="O94" s="70" t="e">
        <f t="shared" si="45"/>
        <v>#REF!</v>
      </c>
      <c r="P94" s="70" t="e">
        <f t="shared" si="46"/>
        <v>#REF!</v>
      </c>
      <c r="Q94" s="71" t="e">
        <f t="shared" si="47"/>
        <v>#REF!</v>
      </c>
      <c r="R94" s="71"/>
      <c r="S94" s="70" t="e">
        <f t="shared" si="48"/>
        <v>#REF!</v>
      </c>
      <c r="T94" s="70" t="e">
        <f t="shared" si="49"/>
        <v>#REF!</v>
      </c>
      <c r="U94" s="71" t="e">
        <f t="shared" si="50"/>
        <v>#REF!</v>
      </c>
      <c r="V94" s="71"/>
      <c r="W94" s="70" t="e">
        <f t="shared" si="51"/>
        <v>#REF!</v>
      </c>
      <c r="X94" s="70" t="e">
        <f t="shared" si="52"/>
        <v>#REF!</v>
      </c>
      <c r="Y94" s="71" t="e">
        <f t="shared" si="53"/>
        <v>#REF!</v>
      </c>
    </row>
    <row r="95" spans="1:25" ht="16.5" customHeight="1">
      <c r="A95" s="60" t="s">
        <v>237</v>
      </c>
      <c r="B95" s="60" t="s">
        <v>238</v>
      </c>
      <c r="C95" s="69" t="e">
        <f t="shared" si="36"/>
        <v>#REF!</v>
      </c>
      <c r="D95" s="69" t="e">
        <f t="shared" si="37"/>
        <v>#REF!</v>
      </c>
      <c r="E95" s="71" t="e">
        <f t="shared" si="38"/>
        <v>#REF!</v>
      </c>
      <c r="F95" s="69"/>
      <c r="G95" s="69" t="e">
        <f t="shared" si="39"/>
        <v>#REF!</v>
      </c>
      <c r="H95" s="69" t="e">
        <f t="shared" si="40"/>
        <v>#REF!</v>
      </c>
      <c r="I95" s="71" t="e">
        <f t="shared" si="41"/>
        <v>#REF!</v>
      </c>
      <c r="J95" s="69"/>
      <c r="K95" s="69" t="e">
        <f t="shared" si="42"/>
        <v>#REF!</v>
      </c>
      <c r="L95" s="69" t="e">
        <f t="shared" si="43"/>
        <v>#REF!</v>
      </c>
      <c r="M95" s="71" t="e">
        <f t="shared" si="44"/>
        <v>#REF!</v>
      </c>
      <c r="N95" s="71"/>
      <c r="O95" s="70" t="e">
        <f t="shared" si="45"/>
        <v>#REF!</v>
      </c>
      <c r="P95" s="70" t="e">
        <f t="shared" si="46"/>
        <v>#REF!</v>
      </c>
      <c r="Q95" s="71" t="e">
        <f t="shared" si="47"/>
        <v>#REF!</v>
      </c>
      <c r="R95" s="71"/>
      <c r="S95" s="70" t="e">
        <f t="shared" si="48"/>
        <v>#REF!</v>
      </c>
      <c r="T95" s="70" t="e">
        <f t="shared" si="49"/>
        <v>#REF!</v>
      </c>
      <c r="U95" s="71" t="e">
        <f t="shared" si="50"/>
        <v>#REF!</v>
      </c>
      <c r="V95" s="71"/>
      <c r="W95" s="70" t="e">
        <f t="shared" si="51"/>
        <v>#REF!</v>
      </c>
      <c r="X95" s="70" t="e">
        <f t="shared" si="52"/>
        <v>#REF!</v>
      </c>
      <c r="Y95" s="71" t="e">
        <f t="shared" si="53"/>
        <v>#REF!</v>
      </c>
    </row>
    <row r="96" spans="1:25" ht="16.5" customHeight="1">
      <c r="A96" s="60" t="s">
        <v>243</v>
      </c>
      <c r="B96" s="60" t="s">
        <v>244</v>
      </c>
      <c r="C96" s="69" t="e">
        <f t="shared" si="36"/>
        <v>#REF!</v>
      </c>
      <c r="D96" s="69" t="e">
        <f t="shared" si="37"/>
        <v>#REF!</v>
      </c>
      <c r="E96" s="71" t="e">
        <f t="shared" si="38"/>
        <v>#REF!</v>
      </c>
      <c r="F96" s="69"/>
      <c r="G96" s="69" t="e">
        <f t="shared" si="39"/>
        <v>#REF!</v>
      </c>
      <c r="H96" s="69" t="e">
        <f t="shared" si="40"/>
        <v>#REF!</v>
      </c>
      <c r="I96" s="71" t="e">
        <f t="shared" si="41"/>
        <v>#REF!</v>
      </c>
      <c r="J96" s="69"/>
      <c r="K96" s="69" t="e">
        <f t="shared" si="42"/>
        <v>#REF!</v>
      </c>
      <c r="L96" s="69" t="e">
        <f t="shared" si="43"/>
        <v>#REF!</v>
      </c>
      <c r="M96" s="71" t="e">
        <f t="shared" si="44"/>
        <v>#REF!</v>
      </c>
      <c r="N96" s="71"/>
      <c r="O96" s="70" t="e">
        <f t="shared" si="45"/>
        <v>#REF!</v>
      </c>
      <c r="P96" s="70" t="e">
        <f t="shared" si="46"/>
        <v>#REF!</v>
      </c>
      <c r="Q96" s="71" t="e">
        <f t="shared" si="47"/>
        <v>#REF!</v>
      </c>
      <c r="R96" s="71"/>
      <c r="S96" s="70" t="e">
        <f t="shared" si="48"/>
        <v>#REF!</v>
      </c>
      <c r="T96" s="70" t="e">
        <f t="shared" si="49"/>
        <v>#REF!</v>
      </c>
      <c r="U96" s="71" t="e">
        <f t="shared" si="50"/>
        <v>#REF!</v>
      </c>
      <c r="V96" s="71"/>
      <c r="W96" s="70" t="e">
        <f t="shared" si="51"/>
        <v>#REF!</v>
      </c>
      <c r="X96" s="70" t="e">
        <f t="shared" si="52"/>
        <v>#REF!</v>
      </c>
      <c r="Y96" s="71" t="e">
        <f t="shared" si="53"/>
        <v>#REF!</v>
      </c>
    </row>
    <row r="97" spans="1:25" ht="16.5" customHeight="1">
      <c r="A97" s="60" t="s">
        <v>245</v>
      </c>
      <c r="B97" s="60" t="s">
        <v>246</v>
      </c>
      <c r="C97" s="69" t="e">
        <f t="shared" si="36"/>
        <v>#REF!</v>
      </c>
      <c r="D97" s="69" t="e">
        <f t="shared" si="37"/>
        <v>#REF!</v>
      </c>
      <c r="E97" s="71" t="e">
        <f t="shared" si="38"/>
        <v>#REF!</v>
      </c>
      <c r="F97" s="69"/>
      <c r="G97" s="69" t="e">
        <f t="shared" si="39"/>
        <v>#REF!</v>
      </c>
      <c r="H97" s="69" t="e">
        <f t="shared" si="40"/>
        <v>#REF!</v>
      </c>
      <c r="I97" s="71" t="e">
        <f t="shared" si="41"/>
        <v>#REF!</v>
      </c>
      <c r="J97" s="69"/>
      <c r="K97" s="69" t="e">
        <f t="shared" si="42"/>
        <v>#REF!</v>
      </c>
      <c r="L97" s="69" t="e">
        <f t="shared" si="43"/>
        <v>#REF!</v>
      </c>
      <c r="M97" s="71" t="e">
        <f t="shared" si="44"/>
        <v>#REF!</v>
      </c>
      <c r="N97" s="71"/>
      <c r="O97" s="70" t="e">
        <f t="shared" si="45"/>
        <v>#REF!</v>
      </c>
      <c r="P97" s="70" t="e">
        <f t="shared" si="46"/>
        <v>#REF!</v>
      </c>
      <c r="Q97" s="71" t="e">
        <f t="shared" si="47"/>
        <v>#REF!</v>
      </c>
      <c r="R97" s="71"/>
      <c r="S97" s="70" t="e">
        <f t="shared" si="48"/>
        <v>#REF!</v>
      </c>
      <c r="T97" s="70" t="e">
        <f t="shared" si="49"/>
        <v>#REF!</v>
      </c>
      <c r="U97" s="71" t="e">
        <f t="shared" si="50"/>
        <v>#REF!</v>
      </c>
      <c r="V97" s="71"/>
      <c r="W97" s="70" t="e">
        <f t="shared" si="51"/>
        <v>#REF!</v>
      </c>
      <c r="X97" s="70" t="e">
        <f t="shared" si="52"/>
        <v>#REF!</v>
      </c>
      <c r="Y97" s="71" t="e">
        <f t="shared" si="53"/>
        <v>#REF!</v>
      </c>
    </row>
    <row r="98" spans="1:25" ht="16.5" customHeight="1">
      <c r="A98" s="60" t="s">
        <v>247</v>
      </c>
      <c r="B98" s="60" t="s">
        <v>389</v>
      </c>
      <c r="C98" s="69" t="e">
        <f t="shared" si="36"/>
        <v>#REF!</v>
      </c>
      <c r="D98" s="69" t="e">
        <f t="shared" si="37"/>
        <v>#REF!</v>
      </c>
      <c r="E98" s="71" t="e">
        <f t="shared" si="38"/>
        <v>#REF!</v>
      </c>
      <c r="F98" s="69"/>
      <c r="G98" s="69" t="e">
        <f t="shared" si="39"/>
        <v>#REF!</v>
      </c>
      <c r="H98" s="69" t="e">
        <f t="shared" si="40"/>
        <v>#REF!</v>
      </c>
      <c r="I98" s="71" t="e">
        <f t="shared" si="41"/>
        <v>#REF!</v>
      </c>
      <c r="J98" s="69"/>
      <c r="K98" s="69" t="e">
        <f t="shared" si="42"/>
        <v>#REF!</v>
      </c>
      <c r="L98" s="69" t="e">
        <f t="shared" si="43"/>
        <v>#REF!</v>
      </c>
      <c r="M98" s="71" t="e">
        <f t="shared" si="44"/>
        <v>#REF!</v>
      </c>
      <c r="N98" s="71"/>
      <c r="O98" s="70" t="e">
        <f t="shared" si="45"/>
        <v>#REF!</v>
      </c>
      <c r="P98" s="70" t="e">
        <f t="shared" si="46"/>
        <v>#REF!</v>
      </c>
      <c r="Q98" s="71" t="e">
        <f t="shared" si="47"/>
        <v>#REF!</v>
      </c>
      <c r="R98" s="71"/>
      <c r="S98" s="70" t="e">
        <f t="shared" si="48"/>
        <v>#REF!</v>
      </c>
      <c r="T98" s="70" t="e">
        <f t="shared" si="49"/>
        <v>#REF!</v>
      </c>
      <c r="U98" s="71" t="e">
        <f t="shared" si="50"/>
        <v>#REF!</v>
      </c>
      <c r="V98" s="71"/>
      <c r="W98" s="70" t="e">
        <f t="shared" si="51"/>
        <v>#REF!</v>
      </c>
      <c r="X98" s="70" t="e">
        <f t="shared" si="52"/>
        <v>#REF!</v>
      </c>
      <c r="Y98" s="71" t="e">
        <f t="shared" si="53"/>
        <v>#REF!</v>
      </c>
    </row>
    <row r="99" spans="1:25" ht="16.5" customHeight="1">
      <c r="A99" s="60" t="s">
        <v>14</v>
      </c>
      <c r="B99" s="60" t="s">
        <v>15</v>
      </c>
      <c r="C99" s="69" t="e">
        <f t="shared" si="36"/>
        <v>#REF!</v>
      </c>
      <c r="D99" s="69" t="e">
        <f t="shared" si="37"/>
        <v>#REF!</v>
      </c>
      <c r="E99" s="71" t="e">
        <f t="shared" si="38"/>
        <v>#REF!</v>
      </c>
      <c r="F99" s="69"/>
      <c r="G99" s="69" t="e">
        <f t="shared" si="39"/>
        <v>#REF!</v>
      </c>
      <c r="H99" s="69" t="e">
        <f t="shared" si="40"/>
        <v>#REF!</v>
      </c>
      <c r="I99" s="71" t="e">
        <f t="shared" si="41"/>
        <v>#REF!</v>
      </c>
      <c r="J99" s="69"/>
      <c r="K99" s="69" t="e">
        <f t="shared" si="42"/>
        <v>#REF!</v>
      </c>
      <c r="L99" s="69" t="e">
        <f t="shared" si="43"/>
        <v>#REF!</v>
      </c>
      <c r="M99" s="71" t="e">
        <f t="shared" si="44"/>
        <v>#REF!</v>
      </c>
      <c r="N99" s="71"/>
      <c r="O99" s="70" t="e">
        <f t="shared" si="45"/>
        <v>#REF!</v>
      </c>
      <c r="P99" s="70" t="e">
        <f t="shared" si="46"/>
        <v>#REF!</v>
      </c>
      <c r="Q99" s="71" t="e">
        <f t="shared" si="47"/>
        <v>#REF!</v>
      </c>
      <c r="R99" s="71"/>
      <c r="S99" s="70" t="e">
        <f t="shared" si="48"/>
        <v>#REF!</v>
      </c>
      <c r="T99" s="70" t="e">
        <f t="shared" si="49"/>
        <v>#REF!</v>
      </c>
      <c r="U99" s="71" t="e">
        <f t="shared" si="50"/>
        <v>#REF!</v>
      </c>
      <c r="V99" s="71"/>
      <c r="W99" s="70" t="e">
        <f t="shared" si="51"/>
        <v>#REF!</v>
      </c>
      <c r="X99" s="70" t="e">
        <f t="shared" si="52"/>
        <v>#REF!</v>
      </c>
      <c r="Y99" s="71" t="e">
        <f t="shared" si="53"/>
        <v>#REF!</v>
      </c>
    </row>
    <row r="100" spans="1:25" ht="16.5" customHeight="1">
      <c r="A100" s="60" t="s">
        <v>35</v>
      </c>
      <c r="B100" s="60" t="s">
        <v>36</v>
      </c>
      <c r="C100" s="69" t="e">
        <f t="shared" ref="C100:C123" si="54">VLOOKUP(A100,TANF_DEMO,7,FALSE)</f>
        <v>#REF!</v>
      </c>
      <c r="D100" s="69" t="e">
        <f t="shared" ref="D100:D123" si="55">VLOOKUP(A100,Pop,14,FALSE)</f>
        <v>#REF!</v>
      </c>
      <c r="E100" s="71" t="e">
        <f t="shared" ref="E100:E123" si="56">+C100/D100</f>
        <v>#REF!</v>
      </c>
      <c r="F100" s="69"/>
      <c r="G100" s="69" t="e">
        <f t="shared" ref="G100:G123" si="57">VLOOKUP(A100,TANF_DEMO,8,FALSE)</f>
        <v>#REF!</v>
      </c>
      <c r="H100" s="69" t="e">
        <f t="shared" ref="H100:H123" si="58">VLOOKUP(A100,Pop,15,FALSE)</f>
        <v>#REF!</v>
      </c>
      <c r="I100" s="71" t="e">
        <f t="shared" ref="I100:I123" si="59">+G100/H100</f>
        <v>#REF!</v>
      </c>
      <c r="J100" s="69"/>
      <c r="K100" s="69" t="e">
        <f t="shared" ref="K100:K123" si="60">VLOOKUP(A100,TANF_DEMO,9,FALSE)</f>
        <v>#REF!</v>
      </c>
      <c r="L100" s="69" t="e">
        <f t="shared" ref="L100:L123" si="61">VLOOKUP(A100,Pop,16,FALSE)</f>
        <v>#REF!</v>
      </c>
      <c r="M100" s="71" t="e">
        <f t="shared" ref="M100:M123" si="62">+K100/L100</f>
        <v>#REF!</v>
      </c>
      <c r="N100" s="71"/>
      <c r="O100" s="70" t="e">
        <f t="shared" ref="O100:O123" si="63">VLOOKUP(A100,TANF_DEMO,3,FALSE)</f>
        <v>#REF!</v>
      </c>
      <c r="P100" s="70" t="e">
        <f t="shared" ref="P100:P123" si="64">VLOOKUP(A100,Pop,8,FALSE)</f>
        <v>#REF!</v>
      </c>
      <c r="Q100" s="71" t="e">
        <f t="shared" ref="Q100:Q123" si="65">+O100/P100</f>
        <v>#REF!</v>
      </c>
      <c r="R100" s="71"/>
      <c r="S100" s="70" t="e">
        <f t="shared" ref="S100:S123" si="66">VLOOKUP(A100,TANF_DEMO,4,FALSE)</f>
        <v>#REF!</v>
      </c>
      <c r="T100" s="70" t="e">
        <f t="shared" ref="T100:T123" si="67">VLOOKUP(A100,Pop,9,FALSE)</f>
        <v>#REF!</v>
      </c>
      <c r="U100" s="71" t="e">
        <f t="shared" ref="U100:U123" si="68">+S100/T100</f>
        <v>#REF!</v>
      </c>
      <c r="V100" s="71"/>
      <c r="W100" s="70" t="e">
        <f t="shared" ref="W100:W123" si="69">VLOOKUP(A100,TANF_DEMO,5,FALSE)</f>
        <v>#REF!</v>
      </c>
      <c r="X100" s="70" t="e">
        <f t="shared" ref="X100:X123" si="70">VLOOKUP(A100,Pop,10,FALSE)</f>
        <v>#REF!</v>
      </c>
      <c r="Y100" s="71" t="e">
        <f t="shared" ref="Y100:Y123" si="71">+W100/X100</f>
        <v>#REF!</v>
      </c>
    </row>
    <row r="101" spans="1:25" ht="16.5" customHeight="1">
      <c r="A101" s="60" t="s">
        <v>53</v>
      </c>
      <c r="B101" s="60" t="s">
        <v>54</v>
      </c>
      <c r="C101" s="69" t="e">
        <f t="shared" si="54"/>
        <v>#REF!</v>
      </c>
      <c r="D101" s="69" t="e">
        <f t="shared" si="55"/>
        <v>#REF!</v>
      </c>
      <c r="E101" s="71" t="e">
        <f t="shared" si="56"/>
        <v>#REF!</v>
      </c>
      <c r="F101" s="69"/>
      <c r="G101" s="69" t="e">
        <f t="shared" si="57"/>
        <v>#REF!</v>
      </c>
      <c r="H101" s="69" t="e">
        <f t="shared" si="58"/>
        <v>#REF!</v>
      </c>
      <c r="I101" s="71" t="e">
        <f t="shared" si="59"/>
        <v>#REF!</v>
      </c>
      <c r="J101" s="69"/>
      <c r="K101" s="69" t="e">
        <f t="shared" si="60"/>
        <v>#REF!</v>
      </c>
      <c r="L101" s="69" t="e">
        <f t="shared" si="61"/>
        <v>#REF!</v>
      </c>
      <c r="M101" s="71" t="e">
        <f t="shared" si="62"/>
        <v>#REF!</v>
      </c>
      <c r="N101" s="71"/>
      <c r="O101" s="70" t="e">
        <f t="shared" si="63"/>
        <v>#REF!</v>
      </c>
      <c r="P101" s="70" t="e">
        <f t="shared" si="64"/>
        <v>#REF!</v>
      </c>
      <c r="Q101" s="71" t="e">
        <f t="shared" si="65"/>
        <v>#REF!</v>
      </c>
      <c r="R101" s="71"/>
      <c r="S101" s="70" t="e">
        <f t="shared" si="66"/>
        <v>#REF!</v>
      </c>
      <c r="T101" s="70" t="e">
        <f t="shared" si="67"/>
        <v>#REF!</v>
      </c>
      <c r="U101" s="71" t="e">
        <f t="shared" si="68"/>
        <v>#REF!</v>
      </c>
      <c r="V101" s="71"/>
      <c r="W101" s="70" t="e">
        <f t="shared" si="69"/>
        <v>#REF!</v>
      </c>
      <c r="X101" s="70" t="e">
        <f t="shared" si="70"/>
        <v>#REF!</v>
      </c>
      <c r="Y101" s="71" t="e">
        <f t="shared" si="71"/>
        <v>#REF!</v>
      </c>
    </row>
    <row r="102" spans="1:25" ht="16.5" customHeight="1">
      <c r="A102" s="60" t="s">
        <v>55</v>
      </c>
      <c r="B102" s="60" t="s">
        <v>56</v>
      </c>
      <c r="C102" s="69" t="e">
        <f t="shared" si="54"/>
        <v>#REF!</v>
      </c>
      <c r="D102" s="69" t="e">
        <f t="shared" si="55"/>
        <v>#REF!</v>
      </c>
      <c r="E102" s="71" t="e">
        <f t="shared" si="56"/>
        <v>#REF!</v>
      </c>
      <c r="F102" s="69"/>
      <c r="G102" s="69" t="e">
        <f t="shared" si="57"/>
        <v>#REF!</v>
      </c>
      <c r="H102" s="69" t="e">
        <f t="shared" si="58"/>
        <v>#REF!</v>
      </c>
      <c r="I102" s="71" t="e">
        <f t="shared" si="59"/>
        <v>#REF!</v>
      </c>
      <c r="J102" s="69"/>
      <c r="K102" s="69" t="e">
        <f t="shared" si="60"/>
        <v>#REF!</v>
      </c>
      <c r="L102" s="69" t="e">
        <f t="shared" si="61"/>
        <v>#REF!</v>
      </c>
      <c r="M102" s="71" t="e">
        <f t="shared" si="62"/>
        <v>#REF!</v>
      </c>
      <c r="N102" s="71"/>
      <c r="O102" s="70" t="e">
        <f t="shared" si="63"/>
        <v>#REF!</v>
      </c>
      <c r="P102" s="70" t="e">
        <f t="shared" si="64"/>
        <v>#REF!</v>
      </c>
      <c r="Q102" s="71" t="e">
        <f t="shared" si="65"/>
        <v>#REF!</v>
      </c>
      <c r="R102" s="71"/>
      <c r="S102" s="70" t="e">
        <f t="shared" si="66"/>
        <v>#REF!</v>
      </c>
      <c r="T102" s="70" t="e">
        <f t="shared" si="67"/>
        <v>#REF!</v>
      </c>
      <c r="U102" s="71" t="e">
        <f t="shared" si="68"/>
        <v>#REF!</v>
      </c>
      <c r="V102" s="71"/>
      <c r="W102" s="70" t="e">
        <f t="shared" si="69"/>
        <v>#REF!</v>
      </c>
      <c r="X102" s="70" t="e">
        <f t="shared" si="70"/>
        <v>#REF!</v>
      </c>
      <c r="Y102" s="71" t="e">
        <f t="shared" si="71"/>
        <v>#REF!</v>
      </c>
    </row>
    <row r="103" spans="1:25" ht="16.5" customHeight="1">
      <c r="A103" s="60" t="s">
        <v>67</v>
      </c>
      <c r="B103" s="60" t="s">
        <v>68</v>
      </c>
      <c r="C103" s="69" t="e">
        <f t="shared" si="54"/>
        <v>#REF!</v>
      </c>
      <c r="D103" s="69" t="e">
        <f t="shared" si="55"/>
        <v>#REF!</v>
      </c>
      <c r="E103" s="71" t="e">
        <f t="shared" si="56"/>
        <v>#REF!</v>
      </c>
      <c r="F103" s="69"/>
      <c r="G103" s="69" t="e">
        <f t="shared" si="57"/>
        <v>#REF!</v>
      </c>
      <c r="H103" s="69" t="e">
        <f t="shared" si="58"/>
        <v>#REF!</v>
      </c>
      <c r="I103" s="71" t="e">
        <f t="shared" si="59"/>
        <v>#REF!</v>
      </c>
      <c r="J103" s="69"/>
      <c r="K103" s="69" t="e">
        <f t="shared" si="60"/>
        <v>#REF!</v>
      </c>
      <c r="L103" s="69" t="e">
        <f t="shared" si="61"/>
        <v>#REF!</v>
      </c>
      <c r="M103" s="71" t="e">
        <f t="shared" si="62"/>
        <v>#REF!</v>
      </c>
      <c r="N103" s="71"/>
      <c r="O103" s="70" t="e">
        <f t="shared" si="63"/>
        <v>#REF!</v>
      </c>
      <c r="P103" s="70" t="e">
        <f t="shared" si="64"/>
        <v>#REF!</v>
      </c>
      <c r="Q103" s="71" t="e">
        <f t="shared" si="65"/>
        <v>#REF!</v>
      </c>
      <c r="R103" s="71"/>
      <c r="S103" s="70" t="e">
        <f t="shared" si="66"/>
        <v>#REF!</v>
      </c>
      <c r="T103" s="70" t="e">
        <f t="shared" si="67"/>
        <v>#REF!</v>
      </c>
      <c r="U103" s="71" t="e">
        <f t="shared" si="68"/>
        <v>#REF!</v>
      </c>
      <c r="V103" s="71"/>
      <c r="W103" s="70" t="e">
        <f t="shared" si="69"/>
        <v>#REF!</v>
      </c>
      <c r="X103" s="70" t="e">
        <f t="shared" si="70"/>
        <v>#REF!</v>
      </c>
      <c r="Y103" s="71" t="e">
        <f t="shared" si="71"/>
        <v>#REF!</v>
      </c>
    </row>
    <row r="104" spans="1:25" ht="16.5" customHeight="1">
      <c r="A104" s="60" t="s">
        <v>83</v>
      </c>
      <c r="B104" s="60" t="s">
        <v>390</v>
      </c>
      <c r="C104" s="69" t="e">
        <f t="shared" si="54"/>
        <v>#REF!</v>
      </c>
      <c r="D104" s="69" t="e">
        <f t="shared" si="55"/>
        <v>#REF!</v>
      </c>
      <c r="E104" s="71" t="e">
        <f t="shared" si="56"/>
        <v>#REF!</v>
      </c>
      <c r="F104" s="69"/>
      <c r="G104" s="69" t="e">
        <f t="shared" si="57"/>
        <v>#REF!</v>
      </c>
      <c r="H104" s="69" t="e">
        <f t="shared" si="58"/>
        <v>#REF!</v>
      </c>
      <c r="I104" s="71" t="e">
        <f t="shared" si="59"/>
        <v>#REF!</v>
      </c>
      <c r="J104" s="69"/>
      <c r="K104" s="69" t="e">
        <f t="shared" si="60"/>
        <v>#REF!</v>
      </c>
      <c r="L104" s="69" t="e">
        <f t="shared" si="61"/>
        <v>#REF!</v>
      </c>
      <c r="M104" s="71" t="e">
        <f t="shared" si="62"/>
        <v>#REF!</v>
      </c>
      <c r="N104" s="71"/>
      <c r="O104" s="70" t="e">
        <f t="shared" si="63"/>
        <v>#REF!</v>
      </c>
      <c r="P104" s="70" t="e">
        <f t="shared" si="64"/>
        <v>#REF!</v>
      </c>
      <c r="Q104" s="71" t="e">
        <f t="shared" si="65"/>
        <v>#REF!</v>
      </c>
      <c r="R104" s="71"/>
      <c r="S104" s="70" t="e">
        <f t="shared" si="66"/>
        <v>#REF!</v>
      </c>
      <c r="T104" s="70" t="e">
        <f t="shared" si="67"/>
        <v>#REF!</v>
      </c>
      <c r="U104" s="71" t="e">
        <f t="shared" si="68"/>
        <v>#REF!</v>
      </c>
      <c r="V104" s="71"/>
      <c r="W104" s="70" t="e">
        <f t="shared" si="69"/>
        <v>#REF!</v>
      </c>
      <c r="X104" s="70" t="e">
        <f t="shared" si="70"/>
        <v>#REF!</v>
      </c>
      <c r="Y104" s="71" t="e">
        <f t="shared" si="71"/>
        <v>#REF!</v>
      </c>
    </row>
    <row r="105" spans="1:25" ht="16.5" customHeight="1">
      <c r="A105" s="60" t="s">
        <v>89</v>
      </c>
      <c r="B105" s="60" t="s">
        <v>90</v>
      </c>
      <c r="C105" s="69" t="e">
        <f t="shared" si="54"/>
        <v>#REF!</v>
      </c>
      <c r="D105" s="69" t="e">
        <f t="shared" si="55"/>
        <v>#REF!</v>
      </c>
      <c r="E105" s="71" t="e">
        <f t="shared" si="56"/>
        <v>#REF!</v>
      </c>
      <c r="F105" s="69"/>
      <c r="G105" s="69" t="e">
        <f t="shared" si="57"/>
        <v>#REF!</v>
      </c>
      <c r="H105" s="69" t="e">
        <f t="shared" si="58"/>
        <v>#REF!</v>
      </c>
      <c r="I105" s="71" t="e">
        <f t="shared" si="59"/>
        <v>#REF!</v>
      </c>
      <c r="J105" s="69"/>
      <c r="K105" s="69" t="e">
        <f t="shared" si="60"/>
        <v>#REF!</v>
      </c>
      <c r="L105" s="69" t="e">
        <f t="shared" si="61"/>
        <v>#REF!</v>
      </c>
      <c r="M105" s="71" t="e">
        <f t="shared" si="62"/>
        <v>#REF!</v>
      </c>
      <c r="N105" s="71"/>
      <c r="O105" s="70" t="e">
        <f t="shared" si="63"/>
        <v>#REF!</v>
      </c>
      <c r="P105" s="70" t="e">
        <f t="shared" si="64"/>
        <v>#REF!</v>
      </c>
      <c r="Q105" s="71" t="e">
        <f t="shared" si="65"/>
        <v>#REF!</v>
      </c>
      <c r="R105" s="71"/>
      <c r="S105" s="70" t="e">
        <f t="shared" si="66"/>
        <v>#REF!</v>
      </c>
      <c r="T105" s="70" t="e">
        <f t="shared" si="67"/>
        <v>#REF!</v>
      </c>
      <c r="U105" s="71" t="e">
        <f t="shared" si="68"/>
        <v>#REF!</v>
      </c>
      <c r="V105" s="71"/>
      <c r="W105" s="70" t="e">
        <f t="shared" si="69"/>
        <v>#REF!</v>
      </c>
      <c r="X105" s="70" t="e">
        <f t="shared" si="70"/>
        <v>#REF!</v>
      </c>
      <c r="Y105" s="71" t="e">
        <f t="shared" si="71"/>
        <v>#REF!</v>
      </c>
    </row>
    <row r="106" spans="1:25" ht="16.5" customHeight="1">
      <c r="A106" s="60" t="s">
        <v>91</v>
      </c>
      <c r="B106" s="60" t="s">
        <v>92</v>
      </c>
      <c r="C106" s="69" t="e">
        <f t="shared" si="54"/>
        <v>#REF!</v>
      </c>
      <c r="D106" s="69" t="e">
        <f t="shared" si="55"/>
        <v>#REF!</v>
      </c>
      <c r="E106" s="71" t="e">
        <f t="shared" si="56"/>
        <v>#REF!</v>
      </c>
      <c r="F106" s="69"/>
      <c r="G106" s="69" t="e">
        <f t="shared" si="57"/>
        <v>#REF!</v>
      </c>
      <c r="H106" s="69" t="e">
        <f t="shared" si="58"/>
        <v>#REF!</v>
      </c>
      <c r="I106" s="71" t="e">
        <f t="shared" si="59"/>
        <v>#REF!</v>
      </c>
      <c r="J106" s="69"/>
      <c r="K106" s="69" t="e">
        <f t="shared" si="60"/>
        <v>#REF!</v>
      </c>
      <c r="L106" s="69" t="e">
        <f t="shared" si="61"/>
        <v>#REF!</v>
      </c>
      <c r="M106" s="71" t="e">
        <f t="shared" si="62"/>
        <v>#REF!</v>
      </c>
      <c r="N106" s="71"/>
      <c r="O106" s="70" t="e">
        <f t="shared" si="63"/>
        <v>#REF!</v>
      </c>
      <c r="P106" s="70" t="e">
        <f t="shared" si="64"/>
        <v>#REF!</v>
      </c>
      <c r="Q106" s="71" t="e">
        <f t="shared" si="65"/>
        <v>#REF!</v>
      </c>
      <c r="R106" s="71"/>
      <c r="S106" s="70" t="e">
        <f t="shared" si="66"/>
        <v>#REF!</v>
      </c>
      <c r="T106" s="70" t="e">
        <f t="shared" si="67"/>
        <v>#REF!</v>
      </c>
      <c r="U106" s="71" t="e">
        <f t="shared" si="68"/>
        <v>#REF!</v>
      </c>
      <c r="V106" s="71"/>
      <c r="W106" s="70" t="e">
        <f t="shared" si="69"/>
        <v>#REF!</v>
      </c>
      <c r="X106" s="70" t="e">
        <f t="shared" si="70"/>
        <v>#REF!</v>
      </c>
      <c r="Y106" s="71" t="e">
        <f t="shared" si="71"/>
        <v>#REF!</v>
      </c>
    </row>
    <row r="107" spans="1:25" ht="16.5" customHeight="1">
      <c r="A107" s="60" t="s">
        <v>107</v>
      </c>
      <c r="B107" s="60" t="s">
        <v>108</v>
      </c>
      <c r="C107" s="69" t="e">
        <f t="shared" si="54"/>
        <v>#REF!</v>
      </c>
      <c r="D107" s="69" t="e">
        <f t="shared" si="55"/>
        <v>#REF!</v>
      </c>
      <c r="E107" s="71" t="e">
        <f t="shared" si="56"/>
        <v>#REF!</v>
      </c>
      <c r="F107" s="69"/>
      <c r="G107" s="69" t="e">
        <f t="shared" si="57"/>
        <v>#REF!</v>
      </c>
      <c r="H107" s="69" t="e">
        <f t="shared" si="58"/>
        <v>#REF!</v>
      </c>
      <c r="I107" s="71" t="e">
        <f t="shared" si="59"/>
        <v>#REF!</v>
      </c>
      <c r="J107" s="69"/>
      <c r="K107" s="69" t="e">
        <f t="shared" si="60"/>
        <v>#REF!</v>
      </c>
      <c r="L107" s="69" t="e">
        <f t="shared" si="61"/>
        <v>#REF!</v>
      </c>
      <c r="M107" s="71" t="e">
        <f t="shared" si="62"/>
        <v>#REF!</v>
      </c>
      <c r="N107" s="71"/>
      <c r="O107" s="70" t="e">
        <f t="shared" si="63"/>
        <v>#REF!</v>
      </c>
      <c r="P107" s="70" t="e">
        <f t="shared" si="64"/>
        <v>#REF!</v>
      </c>
      <c r="Q107" s="71" t="e">
        <f t="shared" si="65"/>
        <v>#REF!</v>
      </c>
      <c r="R107" s="71"/>
      <c r="S107" s="70" t="e">
        <f t="shared" si="66"/>
        <v>#REF!</v>
      </c>
      <c r="T107" s="70" t="e">
        <f t="shared" si="67"/>
        <v>#REF!</v>
      </c>
      <c r="U107" s="71" t="e">
        <f t="shared" si="68"/>
        <v>#REF!</v>
      </c>
      <c r="V107" s="71"/>
      <c r="W107" s="70" t="e">
        <f t="shared" si="69"/>
        <v>#REF!</v>
      </c>
      <c r="X107" s="70" t="e">
        <f t="shared" si="70"/>
        <v>#REF!</v>
      </c>
      <c r="Y107" s="71" t="e">
        <f t="shared" si="71"/>
        <v>#REF!</v>
      </c>
    </row>
    <row r="108" spans="1:25" ht="16.5" customHeight="1">
      <c r="A108" s="60" t="s">
        <v>117</v>
      </c>
      <c r="B108" s="60" t="s">
        <v>118</v>
      </c>
      <c r="C108" s="69" t="e">
        <f t="shared" si="54"/>
        <v>#REF!</v>
      </c>
      <c r="D108" s="69" t="e">
        <f t="shared" si="55"/>
        <v>#REF!</v>
      </c>
      <c r="E108" s="71" t="e">
        <f t="shared" si="56"/>
        <v>#REF!</v>
      </c>
      <c r="F108" s="69"/>
      <c r="G108" s="69" t="e">
        <f t="shared" si="57"/>
        <v>#REF!</v>
      </c>
      <c r="H108" s="69" t="e">
        <f t="shared" si="58"/>
        <v>#REF!</v>
      </c>
      <c r="I108" s="71" t="e">
        <f t="shared" si="59"/>
        <v>#REF!</v>
      </c>
      <c r="J108" s="69"/>
      <c r="K108" s="69" t="e">
        <f t="shared" si="60"/>
        <v>#REF!</v>
      </c>
      <c r="L108" s="69" t="e">
        <f t="shared" si="61"/>
        <v>#REF!</v>
      </c>
      <c r="M108" s="71" t="e">
        <f t="shared" si="62"/>
        <v>#REF!</v>
      </c>
      <c r="N108" s="71"/>
      <c r="O108" s="70" t="e">
        <f t="shared" si="63"/>
        <v>#REF!</v>
      </c>
      <c r="P108" s="70" t="e">
        <f t="shared" si="64"/>
        <v>#REF!</v>
      </c>
      <c r="Q108" s="71" t="e">
        <f t="shared" si="65"/>
        <v>#REF!</v>
      </c>
      <c r="R108" s="71"/>
      <c r="S108" s="70" t="e">
        <f t="shared" si="66"/>
        <v>#REF!</v>
      </c>
      <c r="T108" s="70" t="e">
        <f t="shared" si="67"/>
        <v>#REF!</v>
      </c>
      <c r="U108" s="71" t="e">
        <f t="shared" si="68"/>
        <v>#REF!</v>
      </c>
      <c r="V108" s="71"/>
      <c r="W108" s="70" t="e">
        <f t="shared" si="69"/>
        <v>#REF!</v>
      </c>
      <c r="X108" s="70" t="e">
        <f t="shared" si="70"/>
        <v>#REF!</v>
      </c>
      <c r="Y108" s="71" t="e">
        <f t="shared" si="71"/>
        <v>#REF!</v>
      </c>
    </row>
    <row r="109" spans="1:25" ht="16.5" customHeight="1">
      <c r="A109" s="60" t="s">
        <v>139</v>
      </c>
      <c r="B109" s="60" t="s">
        <v>140</v>
      </c>
      <c r="C109" s="69" t="e">
        <f t="shared" si="54"/>
        <v>#REF!</v>
      </c>
      <c r="D109" s="69" t="e">
        <f t="shared" si="55"/>
        <v>#REF!</v>
      </c>
      <c r="E109" s="71" t="e">
        <f t="shared" si="56"/>
        <v>#REF!</v>
      </c>
      <c r="F109" s="69"/>
      <c r="G109" s="69" t="e">
        <f t="shared" si="57"/>
        <v>#REF!</v>
      </c>
      <c r="H109" s="69" t="e">
        <f t="shared" si="58"/>
        <v>#REF!</v>
      </c>
      <c r="I109" s="71" t="e">
        <f t="shared" si="59"/>
        <v>#REF!</v>
      </c>
      <c r="J109" s="69"/>
      <c r="K109" s="69" t="e">
        <f t="shared" si="60"/>
        <v>#REF!</v>
      </c>
      <c r="L109" s="69" t="e">
        <f t="shared" si="61"/>
        <v>#REF!</v>
      </c>
      <c r="M109" s="71" t="e">
        <f t="shared" si="62"/>
        <v>#REF!</v>
      </c>
      <c r="N109" s="71"/>
      <c r="O109" s="70" t="e">
        <f t="shared" si="63"/>
        <v>#REF!</v>
      </c>
      <c r="P109" s="70" t="e">
        <f t="shared" si="64"/>
        <v>#REF!</v>
      </c>
      <c r="Q109" s="71" t="e">
        <f t="shared" si="65"/>
        <v>#REF!</v>
      </c>
      <c r="R109" s="71"/>
      <c r="S109" s="70" t="e">
        <f t="shared" si="66"/>
        <v>#REF!</v>
      </c>
      <c r="T109" s="70" t="e">
        <f t="shared" si="67"/>
        <v>#REF!</v>
      </c>
      <c r="U109" s="71" t="e">
        <f t="shared" si="68"/>
        <v>#REF!</v>
      </c>
      <c r="V109" s="71"/>
      <c r="W109" s="70" t="e">
        <f t="shared" si="69"/>
        <v>#REF!</v>
      </c>
      <c r="X109" s="70" t="e">
        <f t="shared" si="70"/>
        <v>#REF!</v>
      </c>
      <c r="Y109" s="71" t="e">
        <f t="shared" si="71"/>
        <v>#REF!</v>
      </c>
    </row>
    <row r="110" spans="1:25" ht="16.5" customHeight="1">
      <c r="A110" s="60" t="s">
        <v>143</v>
      </c>
      <c r="B110" s="60" t="s">
        <v>144</v>
      </c>
      <c r="C110" s="69" t="e">
        <f t="shared" si="54"/>
        <v>#REF!</v>
      </c>
      <c r="D110" s="69" t="e">
        <f t="shared" si="55"/>
        <v>#REF!</v>
      </c>
      <c r="E110" s="71" t="e">
        <f t="shared" si="56"/>
        <v>#REF!</v>
      </c>
      <c r="F110" s="69"/>
      <c r="G110" s="69" t="e">
        <f t="shared" si="57"/>
        <v>#REF!</v>
      </c>
      <c r="H110" s="69" t="e">
        <f t="shared" si="58"/>
        <v>#REF!</v>
      </c>
      <c r="I110" s="71" t="e">
        <f t="shared" si="59"/>
        <v>#REF!</v>
      </c>
      <c r="J110" s="69"/>
      <c r="K110" s="69" t="e">
        <f t="shared" si="60"/>
        <v>#REF!</v>
      </c>
      <c r="L110" s="69" t="e">
        <f t="shared" si="61"/>
        <v>#REF!</v>
      </c>
      <c r="M110" s="71" t="e">
        <f t="shared" si="62"/>
        <v>#REF!</v>
      </c>
      <c r="N110" s="71"/>
      <c r="O110" s="70" t="e">
        <f t="shared" si="63"/>
        <v>#REF!</v>
      </c>
      <c r="P110" s="70" t="e">
        <f t="shared" si="64"/>
        <v>#REF!</v>
      </c>
      <c r="Q110" s="71" t="e">
        <f t="shared" si="65"/>
        <v>#REF!</v>
      </c>
      <c r="R110" s="71"/>
      <c r="S110" s="70" t="e">
        <f t="shared" si="66"/>
        <v>#REF!</v>
      </c>
      <c r="T110" s="70" t="e">
        <f t="shared" si="67"/>
        <v>#REF!</v>
      </c>
      <c r="U110" s="71" t="e">
        <f t="shared" si="68"/>
        <v>#REF!</v>
      </c>
      <c r="V110" s="71"/>
      <c r="W110" s="70" t="e">
        <f t="shared" si="69"/>
        <v>#REF!</v>
      </c>
      <c r="X110" s="70" t="e">
        <f t="shared" si="70"/>
        <v>#REF!</v>
      </c>
      <c r="Y110" s="71" t="e">
        <f t="shared" si="71"/>
        <v>#REF!</v>
      </c>
    </row>
    <row r="111" spans="1:25" ht="16.5" customHeight="1">
      <c r="A111" s="60" t="s">
        <v>145</v>
      </c>
      <c r="B111" s="60" t="s">
        <v>146</v>
      </c>
      <c r="C111" s="69" t="e">
        <f t="shared" si="54"/>
        <v>#REF!</v>
      </c>
      <c r="D111" s="69" t="e">
        <f t="shared" si="55"/>
        <v>#REF!</v>
      </c>
      <c r="E111" s="71" t="e">
        <f t="shared" si="56"/>
        <v>#REF!</v>
      </c>
      <c r="F111" s="69"/>
      <c r="G111" s="69" t="e">
        <f t="shared" si="57"/>
        <v>#REF!</v>
      </c>
      <c r="H111" s="69" t="e">
        <f t="shared" si="58"/>
        <v>#REF!</v>
      </c>
      <c r="I111" s="71" t="e">
        <f t="shared" si="59"/>
        <v>#REF!</v>
      </c>
      <c r="J111" s="69"/>
      <c r="K111" s="69" t="e">
        <f t="shared" si="60"/>
        <v>#REF!</v>
      </c>
      <c r="L111" s="69" t="e">
        <f t="shared" si="61"/>
        <v>#REF!</v>
      </c>
      <c r="M111" s="71" t="e">
        <f t="shared" si="62"/>
        <v>#REF!</v>
      </c>
      <c r="N111" s="71"/>
      <c r="O111" s="70" t="e">
        <f t="shared" si="63"/>
        <v>#REF!</v>
      </c>
      <c r="P111" s="70" t="e">
        <f t="shared" si="64"/>
        <v>#REF!</v>
      </c>
      <c r="Q111" s="71" t="e">
        <f t="shared" si="65"/>
        <v>#REF!</v>
      </c>
      <c r="R111" s="71"/>
      <c r="S111" s="70" t="e">
        <f t="shared" si="66"/>
        <v>#REF!</v>
      </c>
      <c r="T111" s="70" t="e">
        <f t="shared" si="67"/>
        <v>#REF!</v>
      </c>
      <c r="U111" s="71" t="e">
        <f t="shared" si="68"/>
        <v>#REF!</v>
      </c>
      <c r="V111" s="71"/>
      <c r="W111" s="70" t="e">
        <f t="shared" si="69"/>
        <v>#REF!</v>
      </c>
      <c r="X111" s="70" t="e">
        <f t="shared" si="70"/>
        <v>#REF!</v>
      </c>
      <c r="Y111" s="71" t="e">
        <f t="shared" si="71"/>
        <v>#REF!</v>
      </c>
    </row>
    <row r="112" spans="1:25" ht="16.5" customHeight="1">
      <c r="A112" s="60" t="s">
        <v>159</v>
      </c>
      <c r="B112" s="60" t="s">
        <v>160</v>
      </c>
      <c r="C112" s="69" t="e">
        <f t="shared" si="54"/>
        <v>#REF!</v>
      </c>
      <c r="D112" s="69" t="e">
        <f t="shared" si="55"/>
        <v>#REF!</v>
      </c>
      <c r="E112" s="71" t="e">
        <f t="shared" si="56"/>
        <v>#REF!</v>
      </c>
      <c r="F112" s="69"/>
      <c r="G112" s="69" t="e">
        <f t="shared" si="57"/>
        <v>#REF!</v>
      </c>
      <c r="H112" s="69" t="e">
        <f t="shared" si="58"/>
        <v>#REF!</v>
      </c>
      <c r="I112" s="71" t="e">
        <f t="shared" si="59"/>
        <v>#REF!</v>
      </c>
      <c r="J112" s="69"/>
      <c r="K112" s="69" t="e">
        <f t="shared" si="60"/>
        <v>#REF!</v>
      </c>
      <c r="L112" s="69" t="e">
        <f t="shared" si="61"/>
        <v>#REF!</v>
      </c>
      <c r="M112" s="71" t="e">
        <f t="shared" si="62"/>
        <v>#REF!</v>
      </c>
      <c r="N112" s="71"/>
      <c r="O112" s="70" t="e">
        <f t="shared" si="63"/>
        <v>#REF!</v>
      </c>
      <c r="P112" s="70" t="e">
        <f t="shared" si="64"/>
        <v>#REF!</v>
      </c>
      <c r="Q112" s="71" t="e">
        <f t="shared" si="65"/>
        <v>#REF!</v>
      </c>
      <c r="R112" s="71"/>
      <c r="S112" s="70" t="e">
        <f t="shared" si="66"/>
        <v>#REF!</v>
      </c>
      <c r="T112" s="70" t="e">
        <f t="shared" si="67"/>
        <v>#REF!</v>
      </c>
      <c r="U112" s="71" t="e">
        <f t="shared" si="68"/>
        <v>#REF!</v>
      </c>
      <c r="V112" s="71"/>
      <c r="W112" s="70" t="e">
        <f t="shared" si="69"/>
        <v>#REF!</v>
      </c>
      <c r="X112" s="70" t="e">
        <f t="shared" si="70"/>
        <v>#REF!</v>
      </c>
      <c r="Y112" s="71" t="e">
        <f t="shared" si="71"/>
        <v>#REF!</v>
      </c>
    </row>
    <row r="113" spans="1:25" ht="16.5" customHeight="1">
      <c r="A113" s="60" t="s">
        <v>161</v>
      </c>
      <c r="B113" s="60" t="s">
        <v>162</v>
      </c>
      <c r="C113" s="69" t="e">
        <f t="shared" si="54"/>
        <v>#REF!</v>
      </c>
      <c r="D113" s="69" t="e">
        <f t="shared" si="55"/>
        <v>#REF!</v>
      </c>
      <c r="E113" s="71" t="e">
        <f t="shared" si="56"/>
        <v>#REF!</v>
      </c>
      <c r="F113" s="69"/>
      <c r="G113" s="69" t="e">
        <f t="shared" si="57"/>
        <v>#REF!</v>
      </c>
      <c r="H113" s="69" t="e">
        <f t="shared" si="58"/>
        <v>#REF!</v>
      </c>
      <c r="I113" s="71" t="e">
        <f t="shared" si="59"/>
        <v>#REF!</v>
      </c>
      <c r="J113" s="69"/>
      <c r="K113" s="69" t="e">
        <f t="shared" si="60"/>
        <v>#REF!</v>
      </c>
      <c r="L113" s="69" t="e">
        <f t="shared" si="61"/>
        <v>#REF!</v>
      </c>
      <c r="M113" s="71" t="e">
        <f t="shared" si="62"/>
        <v>#REF!</v>
      </c>
      <c r="N113" s="71"/>
      <c r="O113" s="70" t="e">
        <f t="shared" si="63"/>
        <v>#REF!</v>
      </c>
      <c r="P113" s="70" t="e">
        <f t="shared" si="64"/>
        <v>#REF!</v>
      </c>
      <c r="Q113" s="71" t="e">
        <f t="shared" si="65"/>
        <v>#REF!</v>
      </c>
      <c r="R113" s="71"/>
      <c r="S113" s="70" t="e">
        <f t="shared" si="66"/>
        <v>#REF!</v>
      </c>
      <c r="T113" s="70" t="e">
        <f t="shared" si="67"/>
        <v>#REF!</v>
      </c>
      <c r="U113" s="71" t="e">
        <f t="shared" si="68"/>
        <v>#REF!</v>
      </c>
      <c r="V113" s="71"/>
      <c r="W113" s="70" t="e">
        <f t="shared" si="69"/>
        <v>#REF!</v>
      </c>
      <c r="X113" s="70" t="e">
        <f t="shared" si="70"/>
        <v>#REF!</v>
      </c>
      <c r="Y113" s="71" t="e">
        <f t="shared" si="71"/>
        <v>#REF!</v>
      </c>
    </row>
    <row r="114" spans="1:25" ht="16.5" customHeight="1">
      <c r="A114" s="60" t="s">
        <v>167</v>
      </c>
      <c r="B114" s="60" t="s">
        <v>168</v>
      </c>
      <c r="C114" s="69" t="e">
        <f t="shared" si="54"/>
        <v>#REF!</v>
      </c>
      <c r="D114" s="69" t="e">
        <f t="shared" si="55"/>
        <v>#REF!</v>
      </c>
      <c r="E114" s="71" t="e">
        <f t="shared" si="56"/>
        <v>#REF!</v>
      </c>
      <c r="F114" s="69"/>
      <c r="G114" s="69" t="e">
        <f t="shared" si="57"/>
        <v>#REF!</v>
      </c>
      <c r="H114" s="69" t="e">
        <f t="shared" si="58"/>
        <v>#REF!</v>
      </c>
      <c r="I114" s="71" t="e">
        <f t="shared" si="59"/>
        <v>#REF!</v>
      </c>
      <c r="J114" s="69"/>
      <c r="K114" s="69" t="e">
        <f t="shared" si="60"/>
        <v>#REF!</v>
      </c>
      <c r="L114" s="69" t="e">
        <f t="shared" si="61"/>
        <v>#REF!</v>
      </c>
      <c r="M114" s="71" t="e">
        <f t="shared" si="62"/>
        <v>#REF!</v>
      </c>
      <c r="N114" s="71"/>
      <c r="O114" s="70" t="e">
        <f t="shared" si="63"/>
        <v>#REF!</v>
      </c>
      <c r="P114" s="70" t="e">
        <f t="shared" si="64"/>
        <v>#REF!</v>
      </c>
      <c r="Q114" s="71" t="e">
        <f t="shared" si="65"/>
        <v>#REF!</v>
      </c>
      <c r="R114" s="71"/>
      <c r="S114" s="70" t="e">
        <f t="shared" si="66"/>
        <v>#REF!</v>
      </c>
      <c r="T114" s="70" t="e">
        <f t="shared" si="67"/>
        <v>#REF!</v>
      </c>
      <c r="U114" s="71" t="e">
        <f t="shared" si="68"/>
        <v>#REF!</v>
      </c>
      <c r="V114" s="71"/>
      <c r="W114" s="70" t="e">
        <f t="shared" si="69"/>
        <v>#REF!</v>
      </c>
      <c r="X114" s="70" t="e">
        <f t="shared" si="70"/>
        <v>#REF!</v>
      </c>
      <c r="Y114" s="71" t="e">
        <f t="shared" si="71"/>
        <v>#REF!</v>
      </c>
    </row>
    <row r="115" spans="1:25" ht="16.5" customHeight="1">
      <c r="A115" s="60" t="s">
        <v>177</v>
      </c>
      <c r="B115" s="60" t="s">
        <v>178</v>
      </c>
      <c r="C115" s="69" t="e">
        <f t="shared" si="54"/>
        <v>#REF!</v>
      </c>
      <c r="D115" s="69" t="e">
        <f t="shared" si="55"/>
        <v>#REF!</v>
      </c>
      <c r="E115" s="71" t="e">
        <f t="shared" si="56"/>
        <v>#REF!</v>
      </c>
      <c r="F115" s="69"/>
      <c r="G115" s="69" t="e">
        <f t="shared" si="57"/>
        <v>#REF!</v>
      </c>
      <c r="H115" s="69" t="e">
        <f t="shared" si="58"/>
        <v>#REF!</v>
      </c>
      <c r="I115" s="71" t="e">
        <f t="shared" si="59"/>
        <v>#REF!</v>
      </c>
      <c r="J115" s="69"/>
      <c r="K115" s="69" t="e">
        <f t="shared" si="60"/>
        <v>#REF!</v>
      </c>
      <c r="L115" s="69" t="e">
        <f t="shared" si="61"/>
        <v>#REF!</v>
      </c>
      <c r="M115" s="71" t="e">
        <f t="shared" si="62"/>
        <v>#REF!</v>
      </c>
      <c r="N115" s="71"/>
      <c r="O115" s="70" t="e">
        <f t="shared" si="63"/>
        <v>#REF!</v>
      </c>
      <c r="P115" s="70" t="e">
        <f t="shared" si="64"/>
        <v>#REF!</v>
      </c>
      <c r="Q115" s="71" t="e">
        <f t="shared" si="65"/>
        <v>#REF!</v>
      </c>
      <c r="R115" s="71"/>
      <c r="S115" s="70" t="e">
        <f t="shared" si="66"/>
        <v>#REF!</v>
      </c>
      <c r="T115" s="70" t="e">
        <f t="shared" si="67"/>
        <v>#REF!</v>
      </c>
      <c r="U115" s="71" t="e">
        <f t="shared" si="68"/>
        <v>#REF!</v>
      </c>
      <c r="V115" s="71"/>
      <c r="W115" s="70" t="e">
        <f t="shared" si="69"/>
        <v>#REF!</v>
      </c>
      <c r="X115" s="70" t="e">
        <f t="shared" si="70"/>
        <v>#REF!</v>
      </c>
      <c r="Y115" s="71" t="e">
        <f t="shared" si="71"/>
        <v>#REF!</v>
      </c>
    </row>
    <row r="116" spans="1:25" ht="16.5" customHeight="1">
      <c r="A116" s="60" t="s">
        <v>181</v>
      </c>
      <c r="B116" s="60" t="s">
        <v>182</v>
      </c>
      <c r="C116" s="69" t="e">
        <f t="shared" si="54"/>
        <v>#REF!</v>
      </c>
      <c r="D116" s="69" t="e">
        <f t="shared" si="55"/>
        <v>#REF!</v>
      </c>
      <c r="E116" s="71" t="e">
        <f t="shared" si="56"/>
        <v>#REF!</v>
      </c>
      <c r="F116" s="69"/>
      <c r="G116" s="69" t="e">
        <f t="shared" si="57"/>
        <v>#REF!</v>
      </c>
      <c r="H116" s="69" t="e">
        <f t="shared" si="58"/>
        <v>#REF!</v>
      </c>
      <c r="I116" s="71" t="e">
        <f t="shared" si="59"/>
        <v>#REF!</v>
      </c>
      <c r="J116" s="69"/>
      <c r="K116" s="69" t="e">
        <f t="shared" si="60"/>
        <v>#REF!</v>
      </c>
      <c r="L116" s="69" t="e">
        <f t="shared" si="61"/>
        <v>#REF!</v>
      </c>
      <c r="M116" s="71" t="e">
        <f t="shared" si="62"/>
        <v>#REF!</v>
      </c>
      <c r="N116" s="71"/>
      <c r="O116" s="70" t="e">
        <f t="shared" si="63"/>
        <v>#REF!</v>
      </c>
      <c r="P116" s="70" t="e">
        <f t="shared" si="64"/>
        <v>#REF!</v>
      </c>
      <c r="Q116" s="71" t="e">
        <f t="shared" si="65"/>
        <v>#REF!</v>
      </c>
      <c r="R116" s="71"/>
      <c r="S116" s="70" t="e">
        <f t="shared" si="66"/>
        <v>#REF!</v>
      </c>
      <c r="T116" s="70" t="e">
        <f t="shared" si="67"/>
        <v>#REF!</v>
      </c>
      <c r="U116" s="71" t="e">
        <f t="shared" si="68"/>
        <v>#REF!</v>
      </c>
      <c r="V116" s="71"/>
      <c r="W116" s="70" t="e">
        <f t="shared" si="69"/>
        <v>#REF!</v>
      </c>
      <c r="X116" s="70" t="e">
        <f t="shared" si="70"/>
        <v>#REF!</v>
      </c>
      <c r="Y116" s="71" t="e">
        <f t="shared" si="71"/>
        <v>#REF!</v>
      </c>
    </row>
    <row r="117" spans="1:25" ht="16.5" customHeight="1">
      <c r="A117" s="60" t="s">
        <v>193</v>
      </c>
      <c r="B117" s="60" t="s">
        <v>194</v>
      </c>
      <c r="C117" s="69" t="e">
        <f t="shared" si="54"/>
        <v>#REF!</v>
      </c>
      <c r="D117" s="69" t="e">
        <f t="shared" si="55"/>
        <v>#REF!</v>
      </c>
      <c r="E117" s="71" t="e">
        <f t="shared" si="56"/>
        <v>#REF!</v>
      </c>
      <c r="F117" s="69"/>
      <c r="G117" s="69" t="e">
        <f t="shared" si="57"/>
        <v>#REF!</v>
      </c>
      <c r="H117" s="69" t="e">
        <f t="shared" si="58"/>
        <v>#REF!</v>
      </c>
      <c r="I117" s="71" t="e">
        <f t="shared" si="59"/>
        <v>#REF!</v>
      </c>
      <c r="J117" s="69"/>
      <c r="K117" s="69" t="e">
        <f t="shared" si="60"/>
        <v>#REF!</v>
      </c>
      <c r="L117" s="69" t="e">
        <f t="shared" si="61"/>
        <v>#REF!</v>
      </c>
      <c r="M117" s="71" t="e">
        <f t="shared" si="62"/>
        <v>#REF!</v>
      </c>
      <c r="N117" s="71"/>
      <c r="O117" s="70" t="e">
        <f t="shared" si="63"/>
        <v>#REF!</v>
      </c>
      <c r="P117" s="70" t="e">
        <f t="shared" si="64"/>
        <v>#REF!</v>
      </c>
      <c r="Q117" s="71" t="e">
        <f t="shared" si="65"/>
        <v>#REF!</v>
      </c>
      <c r="R117" s="71"/>
      <c r="S117" s="70" t="e">
        <f t="shared" si="66"/>
        <v>#REF!</v>
      </c>
      <c r="T117" s="70" t="e">
        <f t="shared" si="67"/>
        <v>#REF!</v>
      </c>
      <c r="U117" s="71" t="e">
        <f t="shared" si="68"/>
        <v>#REF!</v>
      </c>
      <c r="V117" s="71"/>
      <c r="W117" s="70" t="e">
        <f t="shared" si="69"/>
        <v>#REF!</v>
      </c>
      <c r="X117" s="70" t="e">
        <f t="shared" si="70"/>
        <v>#REF!</v>
      </c>
      <c r="Y117" s="71" t="e">
        <f t="shared" si="71"/>
        <v>#REF!</v>
      </c>
    </row>
    <row r="118" spans="1:25" ht="16.5" customHeight="1">
      <c r="A118" s="60" t="s">
        <v>197</v>
      </c>
      <c r="B118" s="60" t="s">
        <v>391</v>
      </c>
      <c r="C118" s="69" t="e">
        <f t="shared" si="54"/>
        <v>#REF!</v>
      </c>
      <c r="D118" s="69" t="e">
        <f t="shared" si="55"/>
        <v>#REF!</v>
      </c>
      <c r="E118" s="71" t="e">
        <f t="shared" si="56"/>
        <v>#REF!</v>
      </c>
      <c r="F118" s="69"/>
      <c r="G118" s="69" t="e">
        <f t="shared" si="57"/>
        <v>#REF!</v>
      </c>
      <c r="H118" s="69" t="e">
        <f t="shared" si="58"/>
        <v>#REF!</v>
      </c>
      <c r="I118" s="71" t="e">
        <f t="shared" si="59"/>
        <v>#REF!</v>
      </c>
      <c r="J118" s="69"/>
      <c r="K118" s="69" t="e">
        <f t="shared" si="60"/>
        <v>#REF!</v>
      </c>
      <c r="L118" s="69" t="e">
        <f t="shared" si="61"/>
        <v>#REF!</v>
      </c>
      <c r="M118" s="71" t="e">
        <f t="shared" si="62"/>
        <v>#REF!</v>
      </c>
      <c r="N118" s="71"/>
      <c r="O118" s="70" t="e">
        <f t="shared" si="63"/>
        <v>#REF!</v>
      </c>
      <c r="P118" s="70" t="e">
        <f t="shared" si="64"/>
        <v>#REF!</v>
      </c>
      <c r="Q118" s="71" t="e">
        <f t="shared" si="65"/>
        <v>#REF!</v>
      </c>
      <c r="R118" s="71"/>
      <c r="S118" s="70" t="e">
        <f t="shared" si="66"/>
        <v>#REF!</v>
      </c>
      <c r="T118" s="70" t="e">
        <f t="shared" si="67"/>
        <v>#REF!</v>
      </c>
      <c r="U118" s="71" t="e">
        <f t="shared" si="68"/>
        <v>#REF!</v>
      </c>
      <c r="V118" s="71"/>
      <c r="W118" s="70" t="e">
        <f t="shared" si="69"/>
        <v>#REF!</v>
      </c>
      <c r="X118" s="70" t="e">
        <f t="shared" si="70"/>
        <v>#REF!</v>
      </c>
      <c r="Y118" s="71" t="e">
        <f t="shared" si="71"/>
        <v>#REF!</v>
      </c>
    </row>
    <row r="119" spans="1:25" ht="16.5" customHeight="1">
      <c r="A119" s="60" t="s">
        <v>201</v>
      </c>
      <c r="B119" s="60" t="s">
        <v>392</v>
      </c>
      <c r="C119" s="69" t="e">
        <f t="shared" si="54"/>
        <v>#REF!</v>
      </c>
      <c r="D119" s="69" t="e">
        <f t="shared" si="55"/>
        <v>#REF!</v>
      </c>
      <c r="E119" s="71" t="e">
        <f t="shared" si="56"/>
        <v>#REF!</v>
      </c>
      <c r="F119" s="69"/>
      <c r="G119" s="69" t="e">
        <f t="shared" si="57"/>
        <v>#REF!</v>
      </c>
      <c r="H119" s="69" t="e">
        <f t="shared" si="58"/>
        <v>#REF!</v>
      </c>
      <c r="I119" s="71" t="e">
        <f t="shared" si="59"/>
        <v>#REF!</v>
      </c>
      <c r="J119" s="69"/>
      <c r="K119" s="69" t="e">
        <f t="shared" si="60"/>
        <v>#REF!</v>
      </c>
      <c r="L119" s="69" t="e">
        <f t="shared" si="61"/>
        <v>#REF!</v>
      </c>
      <c r="M119" s="71" t="e">
        <f t="shared" si="62"/>
        <v>#REF!</v>
      </c>
      <c r="N119" s="71"/>
      <c r="O119" s="70" t="e">
        <f t="shared" si="63"/>
        <v>#REF!</v>
      </c>
      <c r="P119" s="70" t="e">
        <f t="shared" si="64"/>
        <v>#REF!</v>
      </c>
      <c r="Q119" s="71" t="e">
        <f t="shared" si="65"/>
        <v>#REF!</v>
      </c>
      <c r="R119" s="71"/>
      <c r="S119" s="70" t="e">
        <f t="shared" si="66"/>
        <v>#REF!</v>
      </c>
      <c r="T119" s="70" t="e">
        <f t="shared" si="67"/>
        <v>#REF!</v>
      </c>
      <c r="U119" s="71" t="e">
        <f t="shared" si="68"/>
        <v>#REF!</v>
      </c>
      <c r="V119" s="71"/>
      <c r="W119" s="70" t="e">
        <f t="shared" si="69"/>
        <v>#REF!</v>
      </c>
      <c r="X119" s="70" t="e">
        <f t="shared" si="70"/>
        <v>#REF!</v>
      </c>
      <c r="Y119" s="71" t="e">
        <f t="shared" si="71"/>
        <v>#REF!</v>
      </c>
    </row>
    <row r="120" spans="1:25" ht="16.5" customHeight="1">
      <c r="A120" s="60" t="s">
        <v>223</v>
      </c>
      <c r="B120" s="60" t="s">
        <v>224</v>
      </c>
      <c r="C120" s="69" t="e">
        <f t="shared" si="54"/>
        <v>#REF!</v>
      </c>
      <c r="D120" s="69" t="e">
        <f t="shared" si="55"/>
        <v>#REF!</v>
      </c>
      <c r="E120" s="71" t="e">
        <f t="shared" si="56"/>
        <v>#REF!</v>
      </c>
      <c r="F120" s="69"/>
      <c r="G120" s="69" t="e">
        <f t="shared" si="57"/>
        <v>#REF!</v>
      </c>
      <c r="H120" s="69" t="e">
        <f t="shared" si="58"/>
        <v>#REF!</v>
      </c>
      <c r="I120" s="71" t="e">
        <f t="shared" si="59"/>
        <v>#REF!</v>
      </c>
      <c r="J120" s="69"/>
      <c r="K120" s="69" t="e">
        <f t="shared" si="60"/>
        <v>#REF!</v>
      </c>
      <c r="L120" s="69" t="e">
        <f t="shared" si="61"/>
        <v>#REF!</v>
      </c>
      <c r="M120" s="71" t="e">
        <f t="shared" si="62"/>
        <v>#REF!</v>
      </c>
      <c r="N120" s="71"/>
      <c r="O120" s="70" t="e">
        <f t="shared" si="63"/>
        <v>#REF!</v>
      </c>
      <c r="P120" s="70" t="e">
        <f t="shared" si="64"/>
        <v>#REF!</v>
      </c>
      <c r="Q120" s="71" t="e">
        <f t="shared" si="65"/>
        <v>#REF!</v>
      </c>
      <c r="R120" s="71"/>
      <c r="S120" s="70" t="e">
        <f t="shared" si="66"/>
        <v>#REF!</v>
      </c>
      <c r="T120" s="70" t="e">
        <f t="shared" si="67"/>
        <v>#REF!</v>
      </c>
      <c r="U120" s="71" t="e">
        <f t="shared" si="68"/>
        <v>#REF!</v>
      </c>
      <c r="V120" s="71"/>
      <c r="W120" s="70" t="e">
        <f t="shared" si="69"/>
        <v>#REF!</v>
      </c>
      <c r="X120" s="70" t="e">
        <f t="shared" si="70"/>
        <v>#REF!</v>
      </c>
      <c r="Y120" s="71" t="e">
        <f t="shared" si="71"/>
        <v>#REF!</v>
      </c>
    </row>
    <row r="121" spans="1:25" ht="16.5" customHeight="1">
      <c r="A121" s="60" t="s">
        <v>231</v>
      </c>
      <c r="B121" s="60" t="s">
        <v>232</v>
      </c>
      <c r="C121" s="69" t="e">
        <f t="shared" si="54"/>
        <v>#REF!</v>
      </c>
      <c r="D121" s="69" t="e">
        <f t="shared" si="55"/>
        <v>#REF!</v>
      </c>
      <c r="E121" s="71" t="e">
        <f t="shared" si="56"/>
        <v>#REF!</v>
      </c>
      <c r="F121" s="69"/>
      <c r="G121" s="69" t="e">
        <f t="shared" si="57"/>
        <v>#REF!</v>
      </c>
      <c r="H121" s="69" t="e">
        <f t="shared" si="58"/>
        <v>#REF!</v>
      </c>
      <c r="I121" s="71" t="e">
        <f t="shared" si="59"/>
        <v>#REF!</v>
      </c>
      <c r="J121" s="69"/>
      <c r="K121" s="69" t="e">
        <f t="shared" si="60"/>
        <v>#REF!</v>
      </c>
      <c r="L121" s="69" t="e">
        <f t="shared" si="61"/>
        <v>#REF!</v>
      </c>
      <c r="M121" s="71" t="e">
        <f t="shared" si="62"/>
        <v>#REF!</v>
      </c>
      <c r="N121" s="71"/>
      <c r="O121" s="70" t="e">
        <f t="shared" si="63"/>
        <v>#REF!</v>
      </c>
      <c r="P121" s="70" t="e">
        <f t="shared" si="64"/>
        <v>#REF!</v>
      </c>
      <c r="Q121" s="71" t="e">
        <f t="shared" si="65"/>
        <v>#REF!</v>
      </c>
      <c r="R121" s="71"/>
      <c r="S121" s="70" t="e">
        <f t="shared" si="66"/>
        <v>#REF!</v>
      </c>
      <c r="T121" s="70" t="e">
        <f t="shared" si="67"/>
        <v>#REF!</v>
      </c>
      <c r="U121" s="71" t="e">
        <f t="shared" si="68"/>
        <v>#REF!</v>
      </c>
      <c r="V121" s="71"/>
      <c r="W121" s="70" t="e">
        <f t="shared" si="69"/>
        <v>#REF!</v>
      </c>
      <c r="X121" s="70" t="e">
        <f t="shared" si="70"/>
        <v>#REF!</v>
      </c>
      <c r="Y121" s="71" t="e">
        <f t="shared" si="71"/>
        <v>#REF!</v>
      </c>
    </row>
    <row r="122" spans="1:25" ht="16.5" customHeight="1">
      <c r="A122" s="60" t="s">
        <v>239</v>
      </c>
      <c r="B122" s="60" t="s">
        <v>240</v>
      </c>
      <c r="C122" s="69" t="e">
        <f t="shared" si="54"/>
        <v>#REF!</v>
      </c>
      <c r="D122" s="69" t="e">
        <f t="shared" si="55"/>
        <v>#REF!</v>
      </c>
      <c r="E122" s="71" t="e">
        <f t="shared" si="56"/>
        <v>#REF!</v>
      </c>
      <c r="F122" s="69"/>
      <c r="G122" s="69" t="e">
        <f t="shared" si="57"/>
        <v>#REF!</v>
      </c>
      <c r="H122" s="69" t="e">
        <f t="shared" si="58"/>
        <v>#REF!</v>
      </c>
      <c r="I122" s="71" t="e">
        <f t="shared" si="59"/>
        <v>#REF!</v>
      </c>
      <c r="J122" s="69"/>
      <c r="K122" s="69" t="e">
        <f t="shared" si="60"/>
        <v>#REF!</v>
      </c>
      <c r="L122" s="69" t="e">
        <f t="shared" si="61"/>
        <v>#REF!</v>
      </c>
      <c r="M122" s="71" t="e">
        <f t="shared" si="62"/>
        <v>#REF!</v>
      </c>
      <c r="N122" s="71"/>
      <c r="O122" s="70" t="e">
        <f t="shared" si="63"/>
        <v>#REF!</v>
      </c>
      <c r="P122" s="70" t="e">
        <f t="shared" si="64"/>
        <v>#REF!</v>
      </c>
      <c r="Q122" s="71" t="e">
        <f t="shared" si="65"/>
        <v>#REF!</v>
      </c>
      <c r="R122" s="71"/>
      <c r="S122" s="70" t="e">
        <f t="shared" si="66"/>
        <v>#REF!</v>
      </c>
      <c r="T122" s="70" t="e">
        <f t="shared" si="67"/>
        <v>#REF!</v>
      </c>
      <c r="U122" s="71" t="e">
        <f t="shared" si="68"/>
        <v>#REF!</v>
      </c>
      <c r="V122" s="71"/>
      <c r="W122" s="70" t="e">
        <f t="shared" si="69"/>
        <v>#REF!</v>
      </c>
      <c r="X122" s="70" t="e">
        <f t="shared" si="70"/>
        <v>#REF!</v>
      </c>
      <c r="Y122" s="71" t="e">
        <f t="shared" si="71"/>
        <v>#REF!</v>
      </c>
    </row>
    <row r="123" spans="1:25" ht="16.5" customHeight="1">
      <c r="A123" s="60" t="s">
        <v>241</v>
      </c>
      <c r="B123" s="60" t="s">
        <v>242</v>
      </c>
      <c r="C123" s="69" t="e">
        <f t="shared" si="54"/>
        <v>#REF!</v>
      </c>
      <c r="D123" s="69" t="e">
        <f t="shared" si="55"/>
        <v>#REF!</v>
      </c>
      <c r="E123" s="71" t="e">
        <f t="shared" si="56"/>
        <v>#REF!</v>
      </c>
      <c r="F123" s="69"/>
      <c r="G123" s="69" t="e">
        <f t="shared" si="57"/>
        <v>#REF!</v>
      </c>
      <c r="H123" s="69" t="e">
        <f t="shared" si="58"/>
        <v>#REF!</v>
      </c>
      <c r="I123" s="71" t="e">
        <f t="shared" si="59"/>
        <v>#REF!</v>
      </c>
      <c r="J123" s="69"/>
      <c r="K123" s="69" t="e">
        <f t="shared" si="60"/>
        <v>#REF!</v>
      </c>
      <c r="L123" s="69" t="e">
        <f t="shared" si="61"/>
        <v>#REF!</v>
      </c>
      <c r="M123" s="71" t="e">
        <f t="shared" si="62"/>
        <v>#REF!</v>
      </c>
      <c r="N123" s="71"/>
      <c r="O123" s="70" t="e">
        <f t="shared" si="63"/>
        <v>#REF!</v>
      </c>
      <c r="P123" s="70" t="e">
        <f t="shared" si="64"/>
        <v>#REF!</v>
      </c>
      <c r="Q123" s="71" t="e">
        <f t="shared" si="65"/>
        <v>#REF!</v>
      </c>
      <c r="R123" s="71"/>
      <c r="S123" s="70" t="e">
        <f t="shared" si="66"/>
        <v>#REF!</v>
      </c>
      <c r="T123" s="70" t="e">
        <f t="shared" si="67"/>
        <v>#REF!</v>
      </c>
      <c r="U123" s="71" t="e">
        <f t="shared" si="68"/>
        <v>#REF!</v>
      </c>
      <c r="V123" s="71"/>
      <c r="W123" s="70" t="e">
        <f t="shared" si="69"/>
        <v>#REF!</v>
      </c>
      <c r="X123" s="70" t="e">
        <f t="shared" si="70"/>
        <v>#REF!</v>
      </c>
      <c r="Y123" s="71" t="e">
        <f t="shared" si="71"/>
        <v>#REF!</v>
      </c>
    </row>
    <row r="124" spans="1:25">
      <c r="C124" s="72"/>
      <c r="D124" s="72"/>
      <c r="E124" s="72"/>
      <c r="F124" s="72"/>
      <c r="G124" s="72"/>
      <c r="H124" s="72"/>
      <c r="I124" s="72"/>
      <c r="J124" s="72"/>
      <c r="K124" s="72"/>
      <c r="L124" s="72"/>
    </row>
    <row r="125" spans="1:25">
      <c r="C125" s="72"/>
      <c r="D125" s="72"/>
      <c r="E125" s="72"/>
      <c r="F125" s="72"/>
      <c r="G125" s="72"/>
      <c r="H125" s="72"/>
      <c r="I125" s="72"/>
      <c r="J125" s="72"/>
      <c r="K125" s="72"/>
      <c r="L125" s="72"/>
    </row>
    <row r="126" spans="1:25" ht="12.75" customHeight="1">
      <c r="A126" s="1348" t="s">
        <v>815</v>
      </c>
      <c r="B126" s="1348"/>
      <c r="C126" s="1349"/>
      <c r="D126" s="63"/>
      <c r="E126" s="63"/>
      <c r="F126" s="63"/>
      <c r="G126" s="63"/>
      <c r="H126" s="63"/>
      <c r="I126" s="63"/>
      <c r="J126" s="63"/>
      <c r="K126" s="63"/>
      <c r="L126" s="63"/>
    </row>
    <row r="127" spans="1:25">
      <c r="A127" s="62" t="s">
        <v>816</v>
      </c>
    </row>
  </sheetData>
  <autoFilter ref="A3:Y127"/>
  <mergeCells count="9">
    <mergeCell ref="O2:Q2"/>
    <mergeCell ref="O1:Y1"/>
    <mergeCell ref="S2:U2"/>
    <mergeCell ref="W2:Y2"/>
    <mergeCell ref="A126:C126"/>
    <mergeCell ref="C2:E2"/>
    <mergeCell ref="C1:M1"/>
    <mergeCell ref="G2:I2"/>
    <mergeCell ref="K2:M2"/>
  </mergeCells>
  <conditionalFormatting sqref="Q4:R123 E4:E123">
    <cfRule type="cellIs" dxfId="1" priority="20" stopIfTrue="1" operator="greaterThan">
      <formula>"&gt;1"</formula>
    </cfRule>
  </conditionalFormatting>
  <conditionalFormatting sqref="Y4:Y123 M4:N123 U4:V123 Q4:R123 I4:I123 E4:E123">
    <cfRule type="cellIs" dxfId="0" priority="19" stopIfTrue="1" operator="greaterThan">
      <formula>1</formula>
    </cfRule>
  </conditionalFormatting>
  <pageMargins left="0.75" right="0.75" top="1" bottom="1" header="0.5" footer="0.5"/>
  <pageSetup orientation="portrait" r:id="rId1"/>
</worksheet>
</file>

<file path=xl/worksheets/sheet2.xml><?xml version="1.0" encoding="utf-8"?>
<worksheet xmlns="http://schemas.openxmlformats.org/spreadsheetml/2006/main" xmlns:r="http://schemas.openxmlformats.org/officeDocument/2006/relationships">
  <dimension ref="A1:E132"/>
  <sheetViews>
    <sheetView workbookViewId="0">
      <pane ySplit="3" topLeftCell="A4" activePane="bottomLeft" state="frozen"/>
      <selection pane="bottomLeft" activeCell="G8" sqref="G8"/>
    </sheetView>
  </sheetViews>
  <sheetFormatPr defaultRowHeight="12.75"/>
  <cols>
    <col min="1" max="1" width="8.75" style="653" customWidth="1"/>
    <col min="2" max="2" width="33.875" style="654" customWidth="1"/>
    <col min="3" max="3" width="11.625" style="654" customWidth="1"/>
    <col min="4" max="4" width="14" style="654" customWidth="1"/>
    <col min="5" max="5" width="18.125" style="653" customWidth="1"/>
    <col min="6" max="16384" width="9" style="654"/>
  </cols>
  <sheetData>
    <row r="1" spans="1:5" ht="15.75">
      <c r="A1" s="107" t="s">
        <v>1005</v>
      </c>
    </row>
    <row r="2" spans="1:5">
      <c r="A2" s="689"/>
    </row>
    <row r="3" spans="1:5">
      <c r="A3" s="690" t="s">
        <v>4</v>
      </c>
      <c r="B3" s="691" t="s">
        <v>876</v>
      </c>
      <c r="C3" s="692" t="s">
        <v>253</v>
      </c>
      <c r="D3" s="693" t="s">
        <v>372</v>
      </c>
      <c r="E3" s="1197" t="s">
        <v>877</v>
      </c>
    </row>
    <row r="4" spans="1:5">
      <c r="A4" s="667" t="s">
        <v>10</v>
      </c>
      <c r="B4" s="669" t="s">
        <v>11</v>
      </c>
      <c r="C4" s="669" t="s">
        <v>272</v>
      </c>
      <c r="D4" s="1198" t="s">
        <v>10</v>
      </c>
      <c r="E4" s="653" t="s">
        <v>1163</v>
      </c>
    </row>
    <row r="5" spans="1:5">
      <c r="A5" s="667" t="s">
        <v>12</v>
      </c>
      <c r="B5" s="669" t="s">
        <v>13</v>
      </c>
      <c r="C5" s="669" t="s">
        <v>273</v>
      </c>
      <c r="D5" s="1198" t="s">
        <v>12</v>
      </c>
      <c r="E5" s="653" t="s">
        <v>1165</v>
      </c>
    </row>
    <row r="6" spans="1:5">
      <c r="A6" s="667" t="s">
        <v>16</v>
      </c>
      <c r="B6" s="669" t="s">
        <v>868</v>
      </c>
      <c r="C6" s="669" t="s">
        <v>273</v>
      </c>
      <c r="D6" s="1198" t="s">
        <v>16</v>
      </c>
      <c r="E6" s="653" t="s">
        <v>1163</v>
      </c>
    </row>
    <row r="7" spans="1:5">
      <c r="A7" s="667" t="s">
        <v>18</v>
      </c>
      <c r="B7" s="669" t="s">
        <v>19</v>
      </c>
      <c r="C7" s="669" t="s">
        <v>275</v>
      </c>
      <c r="D7" s="1198" t="s">
        <v>18</v>
      </c>
      <c r="E7" s="653" t="s">
        <v>1164</v>
      </c>
    </row>
    <row r="8" spans="1:5">
      <c r="A8" s="667" t="s">
        <v>20</v>
      </c>
      <c r="B8" s="669" t="s">
        <v>21</v>
      </c>
      <c r="C8" s="669" t="s">
        <v>273</v>
      </c>
      <c r="D8" s="1198" t="s">
        <v>20</v>
      </c>
      <c r="E8" s="653" t="s">
        <v>1163</v>
      </c>
    </row>
    <row r="9" spans="1:5">
      <c r="A9" s="667" t="s">
        <v>22</v>
      </c>
      <c r="B9" s="669" t="s">
        <v>23</v>
      </c>
      <c r="C9" s="669" t="s">
        <v>273</v>
      </c>
      <c r="D9" s="1198" t="s">
        <v>22</v>
      </c>
      <c r="E9" s="653" t="s">
        <v>1164</v>
      </c>
    </row>
    <row r="10" spans="1:5">
      <c r="A10" s="667" t="s">
        <v>24</v>
      </c>
      <c r="B10" s="669" t="s">
        <v>25</v>
      </c>
      <c r="C10" s="669" t="s">
        <v>276</v>
      </c>
      <c r="D10" s="1198" t="s">
        <v>24</v>
      </c>
      <c r="E10" s="1199" t="s">
        <v>1165</v>
      </c>
    </row>
    <row r="11" spans="1:5">
      <c r="A11" s="667" t="s">
        <v>26</v>
      </c>
      <c r="B11" s="669" t="s">
        <v>1114</v>
      </c>
      <c r="C11" s="669" t="s">
        <v>273</v>
      </c>
      <c r="D11" s="1198" t="s">
        <v>26</v>
      </c>
      <c r="E11" s="653" t="s">
        <v>1165</v>
      </c>
    </row>
    <row r="12" spans="1:5">
      <c r="A12" s="667" t="s">
        <v>27</v>
      </c>
      <c r="B12" s="669" t="s">
        <v>28</v>
      </c>
      <c r="C12" s="669" t="s">
        <v>273</v>
      </c>
      <c r="D12" s="1198" t="s">
        <v>27</v>
      </c>
      <c r="E12" s="653" t="s">
        <v>1164</v>
      </c>
    </row>
    <row r="13" spans="1:5">
      <c r="A13" s="667" t="s">
        <v>29</v>
      </c>
      <c r="B13" s="669" t="s">
        <v>886</v>
      </c>
      <c r="C13" s="669" t="s">
        <v>273</v>
      </c>
      <c r="D13" s="1198" t="s">
        <v>29</v>
      </c>
      <c r="E13" s="653" t="s">
        <v>1163</v>
      </c>
    </row>
    <row r="14" spans="1:5">
      <c r="A14" s="667" t="s">
        <v>31</v>
      </c>
      <c r="B14" s="669" t="s">
        <v>32</v>
      </c>
      <c r="C14" s="669" t="s">
        <v>278</v>
      </c>
      <c r="D14" s="1198" t="s">
        <v>31</v>
      </c>
      <c r="E14" s="653" t="s">
        <v>1164</v>
      </c>
    </row>
    <row r="15" spans="1:5">
      <c r="A15" s="667" t="s">
        <v>33</v>
      </c>
      <c r="B15" s="669" t="s">
        <v>34</v>
      </c>
      <c r="C15" s="669" t="s">
        <v>273</v>
      </c>
      <c r="D15" s="1198" t="s">
        <v>33</v>
      </c>
      <c r="E15" s="653" t="s">
        <v>1164</v>
      </c>
    </row>
    <row r="16" spans="1:5">
      <c r="A16" s="667" t="s">
        <v>37</v>
      </c>
      <c r="B16" s="669" t="s">
        <v>38</v>
      </c>
      <c r="C16" s="669" t="s">
        <v>272</v>
      </c>
      <c r="D16" s="1198" t="s">
        <v>37</v>
      </c>
      <c r="E16" s="653" t="s">
        <v>1163</v>
      </c>
    </row>
    <row r="17" spans="1:5">
      <c r="A17" s="667" t="s">
        <v>39</v>
      </c>
      <c r="B17" s="669" t="s">
        <v>40</v>
      </c>
      <c r="C17" s="669" t="s">
        <v>278</v>
      </c>
      <c r="D17" s="1198" t="s">
        <v>39</v>
      </c>
      <c r="E17" s="653" t="s">
        <v>1163</v>
      </c>
    </row>
    <row r="18" spans="1:5">
      <c r="A18" s="667" t="s">
        <v>41</v>
      </c>
      <c r="B18" s="669" t="s">
        <v>42</v>
      </c>
      <c r="C18" s="669" t="s">
        <v>275</v>
      </c>
      <c r="D18" s="1198" t="s">
        <v>41</v>
      </c>
      <c r="E18" s="653" t="s">
        <v>1163</v>
      </c>
    </row>
    <row r="19" spans="1:5">
      <c r="A19" s="667" t="s">
        <v>43</v>
      </c>
      <c r="B19" s="669" t="s">
        <v>44</v>
      </c>
      <c r="C19" s="669" t="s">
        <v>273</v>
      </c>
      <c r="D19" s="1198" t="s">
        <v>43</v>
      </c>
      <c r="E19" s="653" t="s">
        <v>1163</v>
      </c>
    </row>
    <row r="20" spans="1:5">
      <c r="A20" s="667" t="s">
        <v>45</v>
      </c>
      <c r="B20" s="669" t="s">
        <v>46</v>
      </c>
      <c r="C20" s="669" t="s">
        <v>275</v>
      </c>
      <c r="D20" s="1198" t="s">
        <v>45</v>
      </c>
      <c r="E20" s="653" t="s">
        <v>1163</v>
      </c>
    </row>
    <row r="21" spans="1:5">
      <c r="A21" s="667" t="s">
        <v>47</v>
      </c>
      <c r="B21" s="669" t="s">
        <v>48</v>
      </c>
      <c r="C21" s="669" t="s">
        <v>278</v>
      </c>
      <c r="D21" s="1198" t="s">
        <v>47</v>
      </c>
      <c r="E21" s="653" t="s">
        <v>1163</v>
      </c>
    </row>
    <row r="22" spans="1:5">
      <c r="A22" s="667" t="s">
        <v>49</v>
      </c>
      <c r="B22" s="669" t="s">
        <v>279</v>
      </c>
      <c r="C22" s="669" t="s">
        <v>275</v>
      </c>
      <c r="D22" s="1198" t="s">
        <v>49</v>
      </c>
      <c r="E22" s="653" t="s">
        <v>1164</v>
      </c>
    </row>
    <row r="23" spans="1:5">
      <c r="A23" s="667" t="s">
        <v>51</v>
      </c>
      <c r="B23" s="669" t="s">
        <v>52</v>
      </c>
      <c r="C23" s="669" t="s">
        <v>273</v>
      </c>
      <c r="D23" s="1198" t="s">
        <v>51</v>
      </c>
      <c r="E23" s="653" t="s">
        <v>1163</v>
      </c>
    </row>
    <row r="24" spans="1:5">
      <c r="A24" s="667" t="s">
        <v>57</v>
      </c>
      <c r="B24" s="669" t="s">
        <v>362</v>
      </c>
      <c r="C24" s="669" t="s">
        <v>275</v>
      </c>
      <c r="D24" s="1198" t="s">
        <v>57</v>
      </c>
      <c r="E24" s="653" t="s">
        <v>1165</v>
      </c>
    </row>
    <row r="25" spans="1:5">
      <c r="A25" s="667" t="s">
        <v>59</v>
      </c>
      <c r="B25" s="669" t="s">
        <v>60</v>
      </c>
      <c r="C25" s="669" t="s">
        <v>276</v>
      </c>
      <c r="D25" s="1198" t="s">
        <v>59</v>
      </c>
      <c r="E25" s="653" t="s">
        <v>1164</v>
      </c>
    </row>
    <row r="26" spans="1:5">
      <c r="A26" s="667" t="s">
        <v>61</v>
      </c>
      <c r="B26" s="669" t="s">
        <v>62</v>
      </c>
      <c r="C26" s="669" t="s">
        <v>273</v>
      </c>
      <c r="D26" s="1198" t="s">
        <v>61</v>
      </c>
      <c r="E26" s="653" t="s">
        <v>1164</v>
      </c>
    </row>
    <row r="27" spans="1:5">
      <c r="A27" s="667" t="s">
        <v>63</v>
      </c>
      <c r="B27" s="669" t="s">
        <v>64</v>
      </c>
      <c r="C27" s="669" t="s">
        <v>276</v>
      </c>
      <c r="D27" s="1198" t="s">
        <v>63</v>
      </c>
      <c r="E27" s="653" t="s">
        <v>1163</v>
      </c>
    </row>
    <row r="28" spans="1:5">
      <c r="A28" s="667" t="s">
        <v>65</v>
      </c>
      <c r="B28" s="669" t="s">
        <v>66</v>
      </c>
      <c r="C28" s="669" t="s">
        <v>275</v>
      </c>
      <c r="D28" s="1198" t="s">
        <v>65</v>
      </c>
      <c r="E28" s="653" t="s">
        <v>1164</v>
      </c>
    </row>
    <row r="29" spans="1:5">
      <c r="A29" s="667" t="s">
        <v>69</v>
      </c>
      <c r="B29" s="669" t="s">
        <v>70</v>
      </c>
      <c r="C29" s="669" t="s">
        <v>278</v>
      </c>
      <c r="D29" s="1198" t="s">
        <v>69</v>
      </c>
      <c r="E29" s="653" t="s">
        <v>1163</v>
      </c>
    </row>
    <row r="30" spans="1:5">
      <c r="A30" s="667" t="s">
        <v>71</v>
      </c>
      <c r="B30" s="669" t="s">
        <v>72</v>
      </c>
      <c r="C30" s="669" t="s">
        <v>272</v>
      </c>
      <c r="D30" s="1198" t="s">
        <v>71</v>
      </c>
      <c r="E30" s="653" t="s">
        <v>1163</v>
      </c>
    </row>
    <row r="31" spans="1:5">
      <c r="A31" s="667" t="s">
        <v>73</v>
      </c>
      <c r="B31" s="669" t="s">
        <v>74</v>
      </c>
      <c r="C31" s="669" t="s">
        <v>275</v>
      </c>
      <c r="D31" s="1198" t="s">
        <v>73</v>
      </c>
      <c r="E31" s="653" t="s">
        <v>1164</v>
      </c>
    </row>
    <row r="32" spans="1:5">
      <c r="A32" s="667" t="s">
        <v>75</v>
      </c>
      <c r="B32" s="669" t="s">
        <v>885</v>
      </c>
      <c r="C32" s="669" t="s">
        <v>276</v>
      </c>
      <c r="D32" s="1198" t="s">
        <v>75</v>
      </c>
      <c r="E32" s="653" t="s">
        <v>1165</v>
      </c>
    </row>
    <row r="33" spans="1:5">
      <c r="A33" s="667" t="s">
        <v>77</v>
      </c>
      <c r="B33" s="669" t="s">
        <v>78</v>
      </c>
      <c r="C33" s="669" t="s">
        <v>276</v>
      </c>
      <c r="D33" s="1198" t="s">
        <v>77</v>
      </c>
      <c r="E33" s="653" t="s">
        <v>1163</v>
      </c>
    </row>
    <row r="34" spans="1:5">
      <c r="A34" s="667" t="s">
        <v>79</v>
      </c>
      <c r="B34" s="669" t="s">
        <v>80</v>
      </c>
      <c r="C34" s="669" t="s">
        <v>278</v>
      </c>
      <c r="D34" s="1198" t="s">
        <v>79</v>
      </c>
      <c r="E34" s="653" t="s">
        <v>1164</v>
      </c>
    </row>
    <row r="35" spans="1:5">
      <c r="A35" s="667" t="s">
        <v>81</v>
      </c>
      <c r="B35" s="669" t="s">
        <v>82</v>
      </c>
      <c r="C35" s="669" t="s">
        <v>275</v>
      </c>
      <c r="D35" s="1198" t="s">
        <v>81</v>
      </c>
      <c r="E35" s="653" t="s">
        <v>1163</v>
      </c>
    </row>
    <row r="36" spans="1:5">
      <c r="A36" s="667" t="s">
        <v>85</v>
      </c>
      <c r="B36" s="669" t="s">
        <v>387</v>
      </c>
      <c r="C36" s="669" t="s">
        <v>273</v>
      </c>
      <c r="D36" s="1198" t="s">
        <v>85</v>
      </c>
      <c r="E36" s="653" t="s">
        <v>1163</v>
      </c>
    </row>
    <row r="37" spans="1:5">
      <c r="A37" s="667" t="s">
        <v>87</v>
      </c>
      <c r="B37" s="669" t="s">
        <v>88</v>
      </c>
      <c r="C37" s="669" t="s">
        <v>276</v>
      </c>
      <c r="D37" s="1198" t="s">
        <v>87</v>
      </c>
      <c r="E37" s="653" t="s">
        <v>1163</v>
      </c>
    </row>
    <row r="38" spans="1:5">
      <c r="A38" s="667" t="s">
        <v>93</v>
      </c>
      <c r="B38" s="669" t="s">
        <v>94</v>
      </c>
      <c r="C38" s="669" t="s">
        <v>278</v>
      </c>
      <c r="D38" s="1198" t="s">
        <v>93</v>
      </c>
      <c r="E38" s="653" t="s">
        <v>1163</v>
      </c>
    </row>
    <row r="39" spans="1:5">
      <c r="A39" s="667" t="s">
        <v>95</v>
      </c>
      <c r="B39" s="669" t="s">
        <v>96</v>
      </c>
      <c r="C39" s="669" t="s">
        <v>272</v>
      </c>
      <c r="D39" s="1198" t="s">
        <v>95</v>
      </c>
      <c r="E39" s="653" t="s">
        <v>1163</v>
      </c>
    </row>
    <row r="40" spans="1:5">
      <c r="A40" s="667" t="s">
        <v>97</v>
      </c>
      <c r="B40" s="669" t="s">
        <v>98</v>
      </c>
      <c r="C40" s="669" t="s">
        <v>275</v>
      </c>
      <c r="D40" s="1198" t="s">
        <v>97</v>
      </c>
      <c r="E40" s="653" t="s">
        <v>1164</v>
      </c>
    </row>
    <row r="41" spans="1:5">
      <c r="A41" s="667" t="s">
        <v>99</v>
      </c>
      <c r="B41" s="669" t="s">
        <v>100</v>
      </c>
      <c r="C41" s="669" t="s">
        <v>278</v>
      </c>
      <c r="D41" s="1198" t="s">
        <v>99</v>
      </c>
      <c r="E41" s="653" t="s">
        <v>1163</v>
      </c>
    </row>
    <row r="42" spans="1:5">
      <c r="A42" s="667" t="s">
        <v>101</v>
      </c>
      <c r="B42" s="669" t="s">
        <v>102</v>
      </c>
      <c r="C42" s="669" t="s">
        <v>276</v>
      </c>
      <c r="D42" s="1198" t="s">
        <v>101</v>
      </c>
      <c r="E42" s="653" t="s">
        <v>1164</v>
      </c>
    </row>
    <row r="43" spans="1:5">
      <c r="A43" s="667" t="s">
        <v>103</v>
      </c>
      <c r="B43" s="669" t="s">
        <v>329</v>
      </c>
      <c r="C43" s="669" t="s">
        <v>272</v>
      </c>
      <c r="D43" s="1198" t="s">
        <v>103</v>
      </c>
      <c r="E43" s="653" t="s">
        <v>1163</v>
      </c>
    </row>
    <row r="44" spans="1:5">
      <c r="A44" s="667" t="s">
        <v>105</v>
      </c>
      <c r="B44" s="669" t="s">
        <v>871</v>
      </c>
      <c r="C44" s="669" t="s">
        <v>273</v>
      </c>
      <c r="D44" s="1198" t="s">
        <v>105</v>
      </c>
      <c r="E44" s="653" t="s">
        <v>1163</v>
      </c>
    </row>
    <row r="45" spans="1:5">
      <c r="A45" s="667" t="s">
        <v>109</v>
      </c>
      <c r="B45" s="669" t="s">
        <v>110</v>
      </c>
      <c r="C45" s="669" t="s">
        <v>275</v>
      </c>
      <c r="D45" s="1198" t="s">
        <v>109</v>
      </c>
      <c r="E45" s="653" t="s">
        <v>1163</v>
      </c>
    </row>
    <row r="46" spans="1:5">
      <c r="A46" s="667" t="s">
        <v>111</v>
      </c>
      <c r="B46" s="669" t="s">
        <v>112</v>
      </c>
      <c r="C46" s="669" t="s">
        <v>275</v>
      </c>
      <c r="D46" s="1198" t="s">
        <v>111</v>
      </c>
      <c r="E46" s="653" t="s">
        <v>1165</v>
      </c>
    </row>
    <row r="47" spans="1:5">
      <c r="A47" s="667" t="s">
        <v>113</v>
      </c>
      <c r="B47" s="669" t="s">
        <v>367</v>
      </c>
      <c r="C47" s="669" t="s">
        <v>273</v>
      </c>
      <c r="D47" s="1198" t="s">
        <v>113</v>
      </c>
      <c r="E47" s="653" t="s">
        <v>1165</v>
      </c>
    </row>
    <row r="48" spans="1:5">
      <c r="A48" s="667" t="s">
        <v>115</v>
      </c>
      <c r="B48" s="669" t="s">
        <v>116</v>
      </c>
      <c r="C48" s="669" t="s">
        <v>273</v>
      </c>
      <c r="D48" s="1198" t="s">
        <v>115</v>
      </c>
      <c r="E48" s="653" t="s">
        <v>1164</v>
      </c>
    </row>
    <row r="49" spans="1:5">
      <c r="A49" s="667" t="s">
        <v>119</v>
      </c>
      <c r="B49" s="669" t="s">
        <v>120</v>
      </c>
      <c r="C49" s="669" t="s">
        <v>272</v>
      </c>
      <c r="D49" s="1198" t="s">
        <v>119</v>
      </c>
      <c r="E49" s="653" t="s">
        <v>1163</v>
      </c>
    </row>
    <row r="50" spans="1:5">
      <c r="A50" s="667" t="s">
        <v>121</v>
      </c>
      <c r="B50" s="669" t="s">
        <v>122</v>
      </c>
      <c r="C50" s="669" t="s">
        <v>272</v>
      </c>
      <c r="D50" s="1198" t="s">
        <v>121</v>
      </c>
      <c r="E50" s="653" t="s">
        <v>1163</v>
      </c>
    </row>
    <row r="51" spans="1:5">
      <c r="A51" s="667" t="s">
        <v>123</v>
      </c>
      <c r="B51" s="669" t="s">
        <v>284</v>
      </c>
      <c r="C51" s="669" t="s">
        <v>275</v>
      </c>
      <c r="D51" s="1198" t="s">
        <v>123</v>
      </c>
      <c r="E51" s="653" t="s">
        <v>1164</v>
      </c>
    </row>
    <row r="52" spans="1:5">
      <c r="A52" s="667" t="s">
        <v>125</v>
      </c>
      <c r="B52" s="669" t="s">
        <v>126</v>
      </c>
      <c r="C52" s="669" t="s">
        <v>276</v>
      </c>
      <c r="D52" s="1198" t="s">
        <v>125</v>
      </c>
      <c r="E52" s="653" t="s">
        <v>1164</v>
      </c>
    </row>
    <row r="53" spans="1:5">
      <c r="A53" s="667" t="s">
        <v>127</v>
      </c>
      <c r="B53" s="669" t="s">
        <v>128</v>
      </c>
      <c r="C53" s="669" t="s">
        <v>275</v>
      </c>
      <c r="D53" s="1198" t="s">
        <v>127</v>
      </c>
      <c r="E53" s="653" t="s">
        <v>1164</v>
      </c>
    </row>
    <row r="54" spans="1:5">
      <c r="A54" s="667" t="s">
        <v>129</v>
      </c>
      <c r="B54" s="669" t="s">
        <v>130</v>
      </c>
      <c r="C54" s="669" t="s">
        <v>275</v>
      </c>
      <c r="D54" s="1198" t="s">
        <v>129</v>
      </c>
      <c r="E54" s="653" t="s">
        <v>1164</v>
      </c>
    </row>
    <row r="55" spans="1:5">
      <c r="A55" s="667" t="s">
        <v>131</v>
      </c>
      <c r="B55" s="669" t="s">
        <v>132</v>
      </c>
      <c r="C55" s="669" t="s">
        <v>278</v>
      </c>
      <c r="D55" s="1198" t="s">
        <v>131</v>
      </c>
      <c r="E55" s="653" t="s">
        <v>1163</v>
      </c>
    </row>
    <row r="56" spans="1:5">
      <c r="A56" s="667" t="s">
        <v>133</v>
      </c>
      <c r="B56" s="669" t="s">
        <v>134</v>
      </c>
      <c r="C56" s="669" t="s">
        <v>276</v>
      </c>
      <c r="D56" s="1198" t="s">
        <v>133</v>
      </c>
      <c r="E56" s="653" t="s">
        <v>1165</v>
      </c>
    </row>
    <row r="57" spans="1:5">
      <c r="A57" s="667" t="s">
        <v>135</v>
      </c>
      <c r="B57" s="669" t="s">
        <v>136</v>
      </c>
      <c r="C57" s="669" t="s">
        <v>276</v>
      </c>
      <c r="D57" s="1198" t="s">
        <v>135</v>
      </c>
      <c r="E57" s="653" t="s">
        <v>1163</v>
      </c>
    </row>
    <row r="58" spans="1:5">
      <c r="A58" s="667" t="s">
        <v>137</v>
      </c>
      <c r="B58" s="669" t="s">
        <v>138</v>
      </c>
      <c r="C58" s="669" t="s">
        <v>275</v>
      </c>
      <c r="D58" s="1198" t="s">
        <v>137</v>
      </c>
      <c r="E58" s="653" t="s">
        <v>1164</v>
      </c>
    </row>
    <row r="59" spans="1:5">
      <c r="A59" s="667" t="s">
        <v>141</v>
      </c>
      <c r="B59" s="669" t="s">
        <v>142</v>
      </c>
      <c r="C59" s="669" t="s">
        <v>276</v>
      </c>
      <c r="D59" s="1198" t="s">
        <v>141</v>
      </c>
      <c r="E59" s="653" t="s">
        <v>1164</v>
      </c>
    </row>
    <row r="60" spans="1:5">
      <c r="A60" s="667" t="s">
        <v>147</v>
      </c>
      <c r="B60" s="669" t="s">
        <v>148</v>
      </c>
      <c r="C60" s="669" t="s">
        <v>272</v>
      </c>
      <c r="D60" s="1198" t="s">
        <v>147</v>
      </c>
      <c r="E60" s="653" t="s">
        <v>1164</v>
      </c>
    </row>
    <row r="61" spans="1:5">
      <c r="A61" s="667" t="s">
        <v>149</v>
      </c>
      <c r="B61" s="669" t="s">
        <v>150</v>
      </c>
      <c r="C61" s="669" t="s">
        <v>273</v>
      </c>
      <c r="D61" s="1198" t="s">
        <v>149</v>
      </c>
      <c r="E61" s="653" t="s">
        <v>1163</v>
      </c>
    </row>
    <row r="62" spans="1:5">
      <c r="A62" s="667" t="s">
        <v>151</v>
      </c>
      <c r="B62" s="669" t="s">
        <v>152</v>
      </c>
      <c r="C62" s="669" t="s">
        <v>275</v>
      </c>
      <c r="D62" s="1198" t="s">
        <v>151</v>
      </c>
      <c r="E62" s="653" t="s">
        <v>1164</v>
      </c>
    </row>
    <row r="63" spans="1:5">
      <c r="A63" s="667" t="s">
        <v>153</v>
      </c>
      <c r="B63" s="669" t="s">
        <v>154</v>
      </c>
      <c r="C63" s="669" t="s">
        <v>278</v>
      </c>
      <c r="D63" s="1198" t="s">
        <v>153</v>
      </c>
      <c r="E63" s="653" t="s">
        <v>1163</v>
      </c>
    </row>
    <row r="64" spans="1:5">
      <c r="A64" s="667" t="s">
        <v>155</v>
      </c>
      <c r="B64" s="669" t="s">
        <v>156</v>
      </c>
      <c r="C64" s="669" t="s">
        <v>273</v>
      </c>
      <c r="D64" s="1198" t="s">
        <v>155</v>
      </c>
      <c r="E64" s="653" t="s">
        <v>1164</v>
      </c>
    </row>
    <row r="65" spans="1:5">
      <c r="A65" s="667" t="s">
        <v>157</v>
      </c>
      <c r="B65" s="669" t="s">
        <v>158</v>
      </c>
      <c r="C65" s="669" t="s">
        <v>275</v>
      </c>
      <c r="D65" s="1198" t="s">
        <v>157</v>
      </c>
      <c r="E65" s="653" t="s">
        <v>1164</v>
      </c>
    </row>
    <row r="66" spans="1:5">
      <c r="A66" s="667" t="s">
        <v>163</v>
      </c>
      <c r="B66" s="669" t="s">
        <v>164</v>
      </c>
      <c r="C66" s="669" t="s">
        <v>272</v>
      </c>
      <c r="D66" s="1198" t="s">
        <v>163</v>
      </c>
      <c r="E66" s="653" t="s">
        <v>1163</v>
      </c>
    </row>
    <row r="67" spans="1:5">
      <c r="A67" s="667" t="s">
        <v>165</v>
      </c>
      <c r="B67" s="669" t="s">
        <v>166</v>
      </c>
      <c r="C67" s="669" t="s">
        <v>275</v>
      </c>
      <c r="D67" s="1198" t="s">
        <v>165</v>
      </c>
      <c r="E67" s="653" t="s">
        <v>1164</v>
      </c>
    </row>
    <row r="68" spans="1:5">
      <c r="A68" s="667" t="s">
        <v>169</v>
      </c>
      <c r="B68" s="669" t="s">
        <v>170</v>
      </c>
      <c r="C68" s="669" t="s">
        <v>275</v>
      </c>
      <c r="D68" s="1198" t="s">
        <v>169</v>
      </c>
      <c r="E68" s="653" t="s">
        <v>1164</v>
      </c>
    </row>
    <row r="69" spans="1:5">
      <c r="A69" s="667" t="s">
        <v>171</v>
      </c>
      <c r="B69" s="669" t="s">
        <v>172</v>
      </c>
      <c r="C69" s="669" t="s">
        <v>276</v>
      </c>
      <c r="D69" s="1198" t="s">
        <v>171</v>
      </c>
      <c r="E69" s="653" t="s">
        <v>1163</v>
      </c>
    </row>
    <row r="70" spans="1:5">
      <c r="A70" s="667" t="s">
        <v>173</v>
      </c>
      <c r="B70" s="669" t="s">
        <v>174</v>
      </c>
      <c r="C70" s="669" t="s">
        <v>276</v>
      </c>
      <c r="D70" s="1198" t="s">
        <v>173</v>
      </c>
      <c r="E70" s="653" t="s">
        <v>1163</v>
      </c>
    </row>
    <row r="71" spans="1:5">
      <c r="A71" s="667" t="s">
        <v>175</v>
      </c>
      <c r="B71" s="669" t="s">
        <v>176</v>
      </c>
      <c r="C71" s="669" t="s">
        <v>278</v>
      </c>
      <c r="D71" s="1198" t="s">
        <v>175</v>
      </c>
      <c r="E71" s="653" t="s">
        <v>1163</v>
      </c>
    </row>
    <row r="72" spans="1:5">
      <c r="A72" s="667" t="s">
        <v>179</v>
      </c>
      <c r="B72" s="669" t="s">
        <v>180</v>
      </c>
      <c r="C72" s="669" t="s">
        <v>273</v>
      </c>
      <c r="D72" s="1198" t="s">
        <v>179</v>
      </c>
      <c r="E72" s="653" t="s">
        <v>1163</v>
      </c>
    </row>
    <row r="73" spans="1:5">
      <c r="A73" s="667" t="s">
        <v>183</v>
      </c>
      <c r="B73" s="669" t="s">
        <v>184</v>
      </c>
      <c r="C73" s="669" t="s">
        <v>275</v>
      </c>
      <c r="D73" s="1198" t="s">
        <v>183</v>
      </c>
      <c r="E73" s="653" t="s">
        <v>1164</v>
      </c>
    </row>
    <row r="74" spans="1:5">
      <c r="A74" s="667" t="s">
        <v>185</v>
      </c>
      <c r="B74" s="669" t="s">
        <v>186</v>
      </c>
      <c r="C74" s="669" t="s">
        <v>275</v>
      </c>
      <c r="D74" s="1198" t="s">
        <v>185</v>
      </c>
      <c r="E74" s="653" t="s">
        <v>1163</v>
      </c>
    </row>
    <row r="75" spans="1:5">
      <c r="A75" s="667" t="s">
        <v>187</v>
      </c>
      <c r="B75" s="669" t="s">
        <v>188</v>
      </c>
      <c r="C75" s="669" t="s">
        <v>272</v>
      </c>
      <c r="D75" s="1198" t="s">
        <v>187</v>
      </c>
      <c r="E75" s="653" t="s">
        <v>1163</v>
      </c>
    </row>
    <row r="76" spans="1:5">
      <c r="A76" s="667" t="s">
        <v>189</v>
      </c>
      <c r="B76" s="669" t="s">
        <v>190</v>
      </c>
      <c r="C76" s="669" t="s">
        <v>276</v>
      </c>
      <c r="D76" s="1198" t="s">
        <v>189</v>
      </c>
      <c r="E76" s="653" t="s">
        <v>1165</v>
      </c>
    </row>
    <row r="77" spans="1:5">
      <c r="A77" s="667" t="s">
        <v>191</v>
      </c>
      <c r="B77" s="669" t="s">
        <v>192</v>
      </c>
      <c r="C77" s="669" t="s">
        <v>278</v>
      </c>
      <c r="D77" s="1198" t="s">
        <v>191</v>
      </c>
      <c r="E77" s="653" t="s">
        <v>1163</v>
      </c>
    </row>
    <row r="78" spans="1:5">
      <c r="A78" s="667" t="s">
        <v>195</v>
      </c>
      <c r="B78" s="669" t="s">
        <v>196</v>
      </c>
      <c r="C78" s="669" t="s">
        <v>276</v>
      </c>
      <c r="D78" s="1198" t="s">
        <v>195</v>
      </c>
      <c r="E78" s="653" t="s">
        <v>1164</v>
      </c>
    </row>
    <row r="79" spans="1:5">
      <c r="A79" s="667" t="s">
        <v>199</v>
      </c>
      <c r="B79" s="669" t="s">
        <v>200</v>
      </c>
      <c r="C79" s="669" t="s">
        <v>275</v>
      </c>
      <c r="D79" s="1198" t="s">
        <v>199</v>
      </c>
      <c r="E79" s="653" t="s">
        <v>1164</v>
      </c>
    </row>
    <row r="80" spans="1:5">
      <c r="A80" s="667" t="s">
        <v>203</v>
      </c>
      <c r="B80" s="669" t="s">
        <v>887</v>
      </c>
      <c r="C80" s="669" t="s">
        <v>273</v>
      </c>
      <c r="D80" s="1198" t="s">
        <v>203</v>
      </c>
      <c r="E80" s="653" t="s">
        <v>1165</v>
      </c>
    </row>
    <row r="81" spans="1:5">
      <c r="A81" s="667" t="s">
        <v>205</v>
      </c>
      <c r="B81" s="669" t="s">
        <v>359</v>
      </c>
      <c r="C81" s="669" t="s">
        <v>273</v>
      </c>
      <c r="D81" s="1198" t="s">
        <v>205</v>
      </c>
      <c r="E81" s="653" t="s">
        <v>1163</v>
      </c>
    </row>
    <row r="82" spans="1:5">
      <c r="A82" s="667" t="s">
        <v>207</v>
      </c>
      <c r="B82" s="669" t="s">
        <v>360</v>
      </c>
      <c r="C82" s="669" t="s">
        <v>276</v>
      </c>
      <c r="D82" s="1198" t="s">
        <v>207</v>
      </c>
      <c r="E82" s="653" t="s">
        <v>1165</v>
      </c>
    </row>
    <row r="83" spans="1:5">
      <c r="A83" s="667" t="s">
        <v>209</v>
      </c>
      <c r="B83" s="669" t="s">
        <v>210</v>
      </c>
      <c r="C83" s="669" t="s">
        <v>278</v>
      </c>
      <c r="D83" s="1198" t="s">
        <v>209</v>
      </c>
      <c r="E83" s="653" t="s">
        <v>1163</v>
      </c>
    </row>
    <row r="84" spans="1:5">
      <c r="A84" s="667" t="s">
        <v>211</v>
      </c>
      <c r="B84" s="669" t="s">
        <v>212</v>
      </c>
      <c r="C84" s="669" t="s">
        <v>278</v>
      </c>
      <c r="D84" s="1198" t="s">
        <v>211</v>
      </c>
      <c r="E84" s="653" t="s">
        <v>1163</v>
      </c>
    </row>
    <row r="85" spans="1:5">
      <c r="A85" s="667" t="s">
        <v>213</v>
      </c>
      <c r="B85" s="669" t="s">
        <v>214</v>
      </c>
      <c r="C85" s="669" t="s">
        <v>276</v>
      </c>
      <c r="D85" s="1198" t="s">
        <v>213</v>
      </c>
      <c r="E85" s="653" t="s">
        <v>1163</v>
      </c>
    </row>
    <row r="86" spans="1:5">
      <c r="A86" s="667" t="s">
        <v>215</v>
      </c>
      <c r="B86" s="669" t="s">
        <v>216</v>
      </c>
      <c r="C86" s="669" t="s">
        <v>278</v>
      </c>
      <c r="D86" s="1198" t="s">
        <v>215</v>
      </c>
      <c r="E86" s="653" t="s">
        <v>1163</v>
      </c>
    </row>
    <row r="87" spans="1:5">
      <c r="A87" s="667" t="s">
        <v>217</v>
      </c>
      <c r="B87" s="669" t="s">
        <v>218</v>
      </c>
      <c r="C87" s="669" t="s">
        <v>272</v>
      </c>
      <c r="D87" s="1198" t="s">
        <v>217</v>
      </c>
      <c r="E87" s="653" t="s">
        <v>1163</v>
      </c>
    </row>
    <row r="88" spans="1:5">
      <c r="A88" s="667" t="s">
        <v>219</v>
      </c>
      <c r="B88" s="669" t="s">
        <v>220</v>
      </c>
      <c r="C88" s="669" t="s">
        <v>276</v>
      </c>
      <c r="D88" s="1198" t="s">
        <v>219</v>
      </c>
      <c r="E88" s="653" t="s">
        <v>1163</v>
      </c>
    </row>
    <row r="89" spans="1:5">
      <c r="A89" s="667" t="s">
        <v>221</v>
      </c>
      <c r="B89" s="669" t="s">
        <v>222</v>
      </c>
      <c r="C89" s="669" t="s">
        <v>276</v>
      </c>
      <c r="D89" s="1198" t="s">
        <v>221</v>
      </c>
      <c r="E89" s="653" t="s">
        <v>1163</v>
      </c>
    </row>
    <row r="90" spans="1:5">
      <c r="A90" s="667" t="s">
        <v>225</v>
      </c>
      <c r="B90" s="669" t="s">
        <v>226</v>
      </c>
      <c r="C90" s="669" t="s">
        <v>272</v>
      </c>
      <c r="D90" s="1198" t="s">
        <v>225</v>
      </c>
      <c r="E90" s="653" t="s">
        <v>1163</v>
      </c>
    </row>
    <row r="91" spans="1:5">
      <c r="A91" s="667" t="s">
        <v>227</v>
      </c>
      <c r="B91" s="669" t="s">
        <v>228</v>
      </c>
      <c r="C91" s="669" t="s">
        <v>272</v>
      </c>
      <c r="D91" s="1198" t="s">
        <v>227</v>
      </c>
      <c r="E91" s="653" t="s">
        <v>1163</v>
      </c>
    </row>
    <row r="92" spans="1:5">
      <c r="A92" s="667" t="s">
        <v>229</v>
      </c>
      <c r="B92" s="669" t="s">
        <v>230</v>
      </c>
      <c r="C92" s="669" t="s">
        <v>278</v>
      </c>
      <c r="D92" s="1198" t="s">
        <v>229</v>
      </c>
      <c r="E92" s="653" t="s">
        <v>1163</v>
      </c>
    </row>
    <row r="93" spans="1:5">
      <c r="A93" s="667" t="s">
        <v>233</v>
      </c>
      <c r="B93" s="669" t="s">
        <v>234</v>
      </c>
      <c r="C93" s="669" t="s">
        <v>276</v>
      </c>
      <c r="D93" s="1198" t="s">
        <v>233</v>
      </c>
      <c r="E93" s="653" t="s">
        <v>1163</v>
      </c>
    </row>
    <row r="94" spans="1:5">
      <c r="A94" s="667" t="s">
        <v>235</v>
      </c>
      <c r="B94" s="669" t="s">
        <v>236</v>
      </c>
      <c r="C94" s="669" t="s">
        <v>278</v>
      </c>
      <c r="D94" s="1198" t="s">
        <v>235</v>
      </c>
      <c r="E94" s="653" t="s">
        <v>1163</v>
      </c>
    </row>
    <row r="95" spans="1:5">
      <c r="A95" s="667" t="s">
        <v>237</v>
      </c>
      <c r="B95" s="669" t="s">
        <v>238</v>
      </c>
      <c r="C95" s="669" t="s">
        <v>275</v>
      </c>
      <c r="D95" s="1198" t="s">
        <v>237</v>
      </c>
      <c r="E95" s="653" t="s">
        <v>1163</v>
      </c>
    </row>
    <row r="96" spans="1:5">
      <c r="A96" s="667" t="s">
        <v>243</v>
      </c>
      <c r="B96" s="669" t="s">
        <v>244</v>
      </c>
      <c r="C96" s="669" t="s">
        <v>278</v>
      </c>
      <c r="D96" s="1198" t="s">
        <v>243</v>
      </c>
      <c r="E96" s="653" t="s">
        <v>1165</v>
      </c>
    </row>
    <row r="97" spans="1:5">
      <c r="A97" s="667" t="s">
        <v>245</v>
      </c>
      <c r="B97" s="669" t="s">
        <v>246</v>
      </c>
      <c r="C97" s="669" t="s">
        <v>278</v>
      </c>
      <c r="D97" s="1198" t="s">
        <v>245</v>
      </c>
      <c r="E97" s="653" t="s">
        <v>1163</v>
      </c>
    </row>
    <row r="98" spans="1:5">
      <c r="A98" s="667" t="s">
        <v>247</v>
      </c>
      <c r="B98" s="669" t="s">
        <v>248</v>
      </c>
      <c r="C98" s="669" t="s">
        <v>272</v>
      </c>
      <c r="D98" s="1198" t="s">
        <v>247</v>
      </c>
      <c r="E98" s="653" t="s">
        <v>1163</v>
      </c>
    </row>
    <row r="99" spans="1:5">
      <c r="A99" s="667" t="s">
        <v>14</v>
      </c>
      <c r="B99" s="669" t="s">
        <v>15</v>
      </c>
      <c r="C99" s="669" t="s">
        <v>276</v>
      </c>
      <c r="D99" s="1198" t="s">
        <v>14</v>
      </c>
      <c r="E99" s="1199" t="s">
        <v>1165</v>
      </c>
    </row>
    <row r="100" spans="1:5">
      <c r="A100" s="667" t="s">
        <v>35</v>
      </c>
      <c r="B100" s="669" t="s">
        <v>36</v>
      </c>
      <c r="C100" s="669" t="s">
        <v>278</v>
      </c>
      <c r="D100" s="1198" t="s">
        <v>35</v>
      </c>
      <c r="E100" s="653" t="s">
        <v>1163</v>
      </c>
    </row>
    <row r="101" spans="1:5">
      <c r="A101" s="667" t="s">
        <v>53</v>
      </c>
      <c r="B101" s="669" t="s">
        <v>54</v>
      </c>
      <c r="C101" s="669" t="s">
        <v>273</v>
      </c>
      <c r="D101" s="1198" t="s">
        <v>53</v>
      </c>
      <c r="E101" s="653" t="s">
        <v>1165</v>
      </c>
    </row>
    <row r="102" spans="1:5">
      <c r="A102" s="667" t="s">
        <v>55</v>
      </c>
      <c r="B102" s="669" t="s">
        <v>56</v>
      </c>
      <c r="C102" s="669" t="s">
        <v>272</v>
      </c>
      <c r="D102" s="1198" t="s">
        <v>55</v>
      </c>
      <c r="E102" s="653" t="s">
        <v>1165</v>
      </c>
    </row>
    <row r="103" spans="1:5">
      <c r="A103" s="667" t="s">
        <v>67</v>
      </c>
      <c r="B103" s="669" t="s">
        <v>68</v>
      </c>
      <c r="C103" s="669" t="s">
        <v>273</v>
      </c>
      <c r="D103" s="1198" t="s">
        <v>67</v>
      </c>
      <c r="E103" s="653" t="s">
        <v>1165</v>
      </c>
    </row>
    <row r="104" spans="1:5">
      <c r="A104" s="667" t="s">
        <v>83</v>
      </c>
      <c r="B104" s="669" t="s">
        <v>390</v>
      </c>
      <c r="C104" s="669" t="s">
        <v>272</v>
      </c>
      <c r="D104" s="1198" t="s">
        <v>83</v>
      </c>
      <c r="E104" s="653" t="s">
        <v>1163</v>
      </c>
    </row>
    <row r="105" spans="1:5">
      <c r="A105" s="667" t="s">
        <v>89</v>
      </c>
      <c r="B105" s="669" t="s">
        <v>90</v>
      </c>
      <c r="C105" s="669" t="s">
        <v>276</v>
      </c>
      <c r="D105" s="1198" t="s">
        <v>89</v>
      </c>
      <c r="E105" s="653" t="s">
        <v>1163</v>
      </c>
    </row>
    <row r="106" spans="1:5">
      <c r="A106" s="667" t="s">
        <v>91</v>
      </c>
      <c r="B106" s="669" t="s">
        <v>92</v>
      </c>
      <c r="C106" s="669" t="s">
        <v>278</v>
      </c>
      <c r="D106" s="1198" t="s">
        <v>91</v>
      </c>
      <c r="E106" s="653" t="s">
        <v>1164</v>
      </c>
    </row>
    <row r="107" spans="1:5">
      <c r="A107" s="667" t="s">
        <v>107</v>
      </c>
      <c r="B107" s="669" t="s">
        <v>108</v>
      </c>
      <c r="C107" s="669" t="s">
        <v>272</v>
      </c>
      <c r="D107" s="1198" t="s">
        <v>107</v>
      </c>
      <c r="E107" s="653" t="s">
        <v>1165</v>
      </c>
    </row>
    <row r="108" spans="1:5">
      <c r="A108" s="667" t="s">
        <v>117</v>
      </c>
      <c r="B108" s="669" t="s">
        <v>118</v>
      </c>
      <c r="C108" s="669" t="s">
        <v>275</v>
      </c>
      <c r="D108" s="1198" t="s">
        <v>117</v>
      </c>
      <c r="E108" s="653" t="s">
        <v>1163</v>
      </c>
    </row>
    <row r="109" spans="1:5">
      <c r="A109" s="667" t="s">
        <v>139</v>
      </c>
      <c r="B109" s="669" t="s">
        <v>140</v>
      </c>
      <c r="C109" s="669" t="s">
        <v>273</v>
      </c>
      <c r="D109" s="1198" t="s">
        <v>139</v>
      </c>
      <c r="E109" s="653" t="s">
        <v>1165</v>
      </c>
    </row>
    <row r="110" spans="1:5">
      <c r="A110" s="667" t="s">
        <v>143</v>
      </c>
      <c r="B110" s="669" t="s">
        <v>144</v>
      </c>
      <c r="C110" s="669" t="s">
        <v>276</v>
      </c>
      <c r="D110" s="1198" t="s">
        <v>143</v>
      </c>
      <c r="E110" s="653" t="s">
        <v>1163</v>
      </c>
    </row>
    <row r="111" spans="1:5">
      <c r="A111" s="667" t="s">
        <v>145</v>
      </c>
      <c r="B111" s="669" t="s">
        <v>146</v>
      </c>
      <c r="C111" s="669" t="s">
        <v>276</v>
      </c>
      <c r="D111" s="1198" t="s">
        <v>145</v>
      </c>
      <c r="E111" s="653" t="s">
        <v>1164</v>
      </c>
    </row>
    <row r="112" spans="1:5">
      <c r="A112" s="667" t="s">
        <v>159</v>
      </c>
      <c r="B112" s="669" t="s">
        <v>160</v>
      </c>
      <c r="C112" s="669" t="s">
        <v>272</v>
      </c>
      <c r="D112" s="1198" t="s">
        <v>159</v>
      </c>
      <c r="E112" s="653" t="s">
        <v>1165</v>
      </c>
    </row>
    <row r="113" spans="1:5">
      <c r="A113" s="667" t="s">
        <v>161</v>
      </c>
      <c r="B113" s="669" t="s">
        <v>162</v>
      </c>
      <c r="C113" s="669" t="s">
        <v>272</v>
      </c>
      <c r="D113" s="1198" t="s">
        <v>161</v>
      </c>
      <c r="E113" s="653" t="s">
        <v>1165</v>
      </c>
    </row>
    <row r="114" spans="1:5">
      <c r="A114" s="667" t="s">
        <v>167</v>
      </c>
      <c r="B114" s="669" t="s">
        <v>168</v>
      </c>
      <c r="C114" s="669" t="s">
        <v>278</v>
      </c>
      <c r="D114" s="1198" t="s">
        <v>167</v>
      </c>
      <c r="E114" s="653" t="s">
        <v>1164</v>
      </c>
    </row>
    <row r="115" spans="1:5">
      <c r="A115" s="667" t="s">
        <v>177</v>
      </c>
      <c r="B115" s="669" t="s">
        <v>178</v>
      </c>
      <c r="C115" s="669" t="s">
        <v>275</v>
      </c>
      <c r="D115" s="1198" t="s">
        <v>177</v>
      </c>
      <c r="E115" s="653" t="s">
        <v>1165</v>
      </c>
    </row>
    <row r="116" spans="1:5">
      <c r="A116" s="667" t="s">
        <v>181</v>
      </c>
      <c r="B116" s="669" t="s">
        <v>182</v>
      </c>
      <c r="C116" s="669" t="s">
        <v>272</v>
      </c>
      <c r="D116" s="1198" t="s">
        <v>181</v>
      </c>
      <c r="E116" s="653" t="s">
        <v>1165</v>
      </c>
    </row>
    <row r="117" spans="1:5">
      <c r="A117" s="667" t="s">
        <v>193</v>
      </c>
      <c r="B117" s="669" t="s">
        <v>194</v>
      </c>
      <c r="C117" s="669" t="s">
        <v>278</v>
      </c>
      <c r="D117" s="1198" t="s">
        <v>193</v>
      </c>
      <c r="E117" s="653" t="s">
        <v>1164</v>
      </c>
    </row>
    <row r="118" spans="1:5">
      <c r="A118" s="667" t="s">
        <v>197</v>
      </c>
      <c r="B118" s="669" t="s">
        <v>391</v>
      </c>
      <c r="C118" s="669" t="s">
        <v>275</v>
      </c>
      <c r="D118" s="1198" t="s">
        <v>197</v>
      </c>
      <c r="E118" s="653" t="s">
        <v>1165</v>
      </c>
    </row>
    <row r="119" spans="1:5">
      <c r="A119" s="667" t="s">
        <v>201</v>
      </c>
      <c r="B119" s="669" t="s">
        <v>392</v>
      </c>
      <c r="C119" s="669" t="s">
        <v>273</v>
      </c>
      <c r="D119" s="1198" t="s">
        <v>201</v>
      </c>
      <c r="E119" s="653" t="s">
        <v>1165</v>
      </c>
    </row>
    <row r="120" spans="1:5">
      <c r="A120" s="667" t="s">
        <v>223</v>
      </c>
      <c r="B120" s="669" t="s">
        <v>224</v>
      </c>
      <c r="C120" s="669" t="s">
        <v>272</v>
      </c>
      <c r="D120" s="1198" t="s">
        <v>223</v>
      </c>
      <c r="E120" s="653" t="s">
        <v>1165</v>
      </c>
    </row>
    <row r="121" spans="1:5">
      <c r="A121" s="667" t="s">
        <v>231</v>
      </c>
      <c r="B121" s="669" t="s">
        <v>232</v>
      </c>
      <c r="C121" s="669" t="s">
        <v>272</v>
      </c>
      <c r="D121" s="1198" t="s">
        <v>231</v>
      </c>
      <c r="E121" s="653" t="s">
        <v>1165</v>
      </c>
    </row>
    <row r="122" spans="1:5">
      <c r="A122" s="667" t="s">
        <v>239</v>
      </c>
      <c r="B122" s="669" t="s">
        <v>240</v>
      </c>
      <c r="C122" s="669" t="s">
        <v>272</v>
      </c>
      <c r="D122" s="1198" t="s">
        <v>239</v>
      </c>
      <c r="E122" s="653" t="s">
        <v>1164</v>
      </c>
    </row>
    <row r="123" spans="1:5">
      <c r="A123" s="667" t="s">
        <v>241</v>
      </c>
      <c r="B123" s="669" t="s">
        <v>242</v>
      </c>
      <c r="C123" s="669" t="s">
        <v>276</v>
      </c>
      <c r="D123" s="1198" t="s">
        <v>241</v>
      </c>
      <c r="E123" s="653" t="s">
        <v>1163</v>
      </c>
    </row>
    <row r="124" spans="1:5">
      <c r="A124" s="667"/>
      <c r="B124" s="669"/>
      <c r="C124" s="669"/>
      <c r="D124" s="1198"/>
    </row>
    <row r="125" spans="1:5">
      <c r="A125" s="667"/>
      <c r="B125" s="669"/>
      <c r="C125" s="669"/>
      <c r="D125" s="694" t="s">
        <v>1006</v>
      </c>
      <c r="E125" s="653">
        <f>COUNTIF(E4:E123,"I (One)")</f>
        <v>34</v>
      </c>
    </row>
    <row r="126" spans="1:5">
      <c r="A126" s="667"/>
      <c r="B126" s="669"/>
      <c r="C126" s="669"/>
      <c r="D126" s="694" t="s">
        <v>1007</v>
      </c>
      <c r="E126" s="653">
        <f>COUNTIF(E4:E123,"II (Two)")</f>
        <v>60</v>
      </c>
    </row>
    <row r="127" spans="1:5">
      <c r="A127" s="667"/>
      <c r="B127" s="669"/>
      <c r="C127" s="669"/>
      <c r="D127" s="694" t="s">
        <v>1008</v>
      </c>
      <c r="E127" s="653">
        <f>COUNTIF(E4:E123,"III (Three)")</f>
        <v>26</v>
      </c>
    </row>
    <row r="129" spans="1:2">
      <c r="A129" s="1200" t="s">
        <v>878</v>
      </c>
    </row>
    <row r="131" spans="1:2" s="519" customFormat="1">
      <c r="A131" s="519" t="s">
        <v>250</v>
      </c>
    </row>
    <row r="132" spans="1:2" s="519" customFormat="1">
      <c r="A132" s="536" t="s">
        <v>251</v>
      </c>
      <c r="B132" s="407" t="s">
        <v>252</v>
      </c>
    </row>
  </sheetData>
  <hyperlinks>
    <hyperlink ref="B132" r:id="rId1"/>
  </hyperlinks>
  <pageMargins left="0.7" right="0.7" top="0.75" bottom="0.75" header="0.3" footer="0.3"/>
  <pageSetup orientation="portrait" r:id="rId2"/>
</worksheet>
</file>

<file path=xl/worksheets/sheet20.xml><?xml version="1.0" encoding="utf-8"?>
<worksheet xmlns="http://schemas.openxmlformats.org/spreadsheetml/2006/main" xmlns:r="http://schemas.openxmlformats.org/officeDocument/2006/relationships">
  <dimension ref="A1:F125"/>
  <sheetViews>
    <sheetView zoomScaleNormal="106" zoomScaleSheetLayoutView="116" workbookViewId="0">
      <pane ySplit="1" topLeftCell="A2" activePane="bottomLeft" state="frozen"/>
      <selection pane="bottomLeft" activeCell="C2" sqref="C2"/>
    </sheetView>
  </sheetViews>
  <sheetFormatPr defaultRowHeight="12.75"/>
  <cols>
    <col min="1" max="1" width="12.25" style="62" customWidth="1"/>
    <col min="2" max="2" width="21.5" style="62" customWidth="1"/>
    <col min="3" max="3" width="17" style="62" customWidth="1"/>
    <col min="4" max="4" width="18.25" style="62" customWidth="1"/>
    <col min="5" max="5" width="19.625" style="62" customWidth="1"/>
    <col min="6" max="6" width="9.25" style="62" customWidth="1"/>
    <col min="7" max="16384" width="9" style="62"/>
  </cols>
  <sheetData>
    <row r="1" spans="1:6" s="59" customFormat="1" ht="71.25" customHeight="1">
      <c r="A1" s="57" t="s">
        <v>372</v>
      </c>
      <c r="B1" s="57" t="s">
        <v>373</v>
      </c>
      <c r="C1" s="57" t="s">
        <v>811</v>
      </c>
      <c r="D1" s="57" t="s">
        <v>812</v>
      </c>
      <c r="E1" s="57" t="s">
        <v>813</v>
      </c>
      <c r="F1" s="58" t="s">
        <v>814</v>
      </c>
    </row>
    <row r="2" spans="1:6" ht="16.5" customHeight="1">
      <c r="A2" s="60" t="s">
        <v>10</v>
      </c>
      <c r="B2" s="60" t="s">
        <v>11</v>
      </c>
      <c r="C2" s="61">
        <v>3</v>
      </c>
      <c r="D2" s="61">
        <v>4</v>
      </c>
      <c r="E2" s="61">
        <v>248</v>
      </c>
      <c r="F2" s="62">
        <f>ROUND(E2/12,0)</f>
        <v>21</v>
      </c>
    </row>
    <row r="3" spans="1:6" ht="16.5" customHeight="1">
      <c r="A3" s="60" t="s">
        <v>12</v>
      </c>
      <c r="B3" s="60" t="s">
        <v>13</v>
      </c>
      <c r="C3" s="61">
        <v>7</v>
      </c>
      <c r="D3" s="61">
        <v>4</v>
      </c>
      <c r="E3" s="61">
        <v>729</v>
      </c>
      <c r="F3" s="62">
        <f t="shared" ref="F3:F66" si="0">ROUND(E3/12,0)</f>
        <v>61</v>
      </c>
    </row>
    <row r="4" spans="1:6" ht="16.5" customHeight="1">
      <c r="A4" s="60" t="s">
        <v>16</v>
      </c>
      <c r="B4" s="60" t="s">
        <v>364</v>
      </c>
      <c r="C4" s="61">
        <v>3</v>
      </c>
      <c r="D4" s="61">
        <v>0</v>
      </c>
      <c r="E4" s="61">
        <v>123</v>
      </c>
      <c r="F4" s="62">
        <f t="shared" si="0"/>
        <v>10</v>
      </c>
    </row>
    <row r="5" spans="1:6" ht="16.5" customHeight="1">
      <c r="A5" s="60" t="s">
        <v>18</v>
      </c>
      <c r="B5" s="60" t="s">
        <v>19</v>
      </c>
      <c r="C5" s="61">
        <v>1</v>
      </c>
      <c r="D5" s="61">
        <v>0</v>
      </c>
      <c r="E5" s="61">
        <v>41</v>
      </c>
      <c r="F5" s="62">
        <f t="shared" si="0"/>
        <v>3</v>
      </c>
    </row>
    <row r="6" spans="1:6" ht="16.5" customHeight="1">
      <c r="A6" s="60" t="s">
        <v>20</v>
      </c>
      <c r="B6" s="60" t="s">
        <v>21</v>
      </c>
      <c r="C6" s="61">
        <v>0</v>
      </c>
      <c r="D6" s="61">
        <v>0</v>
      </c>
      <c r="E6" s="61">
        <v>132</v>
      </c>
      <c r="F6" s="62">
        <f t="shared" si="0"/>
        <v>11</v>
      </c>
    </row>
    <row r="7" spans="1:6" ht="16.5" customHeight="1">
      <c r="A7" s="60" t="s">
        <v>22</v>
      </c>
      <c r="B7" s="60" t="s">
        <v>23</v>
      </c>
      <c r="C7" s="61">
        <v>0</v>
      </c>
      <c r="D7" s="61">
        <v>0</v>
      </c>
      <c r="E7" s="61">
        <v>12</v>
      </c>
      <c r="F7" s="62">
        <f t="shared" si="0"/>
        <v>1</v>
      </c>
    </row>
    <row r="8" spans="1:6" ht="16.5" customHeight="1">
      <c r="A8" s="60" t="s">
        <v>24</v>
      </c>
      <c r="B8" s="60" t="s">
        <v>25</v>
      </c>
      <c r="C8" s="61">
        <v>13</v>
      </c>
      <c r="D8" s="61">
        <v>3</v>
      </c>
      <c r="E8" s="61">
        <v>1283</v>
      </c>
      <c r="F8" s="62">
        <f t="shared" si="0"/>
        <v>107</v>
      </c>
    </row>
    <row r="9" spans="1:6" ht="16.5" customHeight="1">
      <c r="A9" s="60" t="s">
        <v>26</v>
      </c>
      <c r="B9" s="60" t="s">
        <v>365</v>
      </c>
      <c r="C9" s="61">
        <v>11</v>
      </c>
      <c r="D9" s="61">
        <v>0</v>
      </c>
      <c r="E9" s="61">
        <v>1681</v>
      </c>
      <c r="F9" s="62">
        <f t="shared" si="0"/>
        <v>140</v>
      </c>
    </row>
    <row r="10" spans="1:6" ht="16.5" customHeight="1">
      <c r="A10" s="60" t="s">
        <v>27</v>
      </c>
      <c r="B10" s="60" t="s">
        <v>28</v>
      </c>
      <c r="C10" s="61">
        <v>0</v>
      </c>
      <c r="D10" s="61">
        <v>0</v>
      </c>
      <c r="E10" s="61">
        <v>24</v>
      </c>
      <c r="F10" s="62">
        <f t="shared" si="0"/>
        <v>2</v>
      </c>
    </row>
    <row r="11" spans="1:6" ht="16.5" customHeight="1">
      <c r="A11" s="60" t="s">
        <v>29</v>
      </c>
      <c r="B11" s="60" t="s">
        <v>386</v>
      </c>
      <c r="C11" s="61">
        <v>5</v>
      </c>
      <c r="D11" s="61">
        <v>0</v>
      </c>
      <c r="E11" s="61">
        <v>589</v>
      </c>
      <c r="F11" s="62">
        <f t="shared" si="0"/>
        <v>49</v>
      </c>
    </row>
    <row r="12" spans="1:6" ht="16.5" customHeight="1">
      <c r="A12" s="60" t="s">
        <v>31</v>
      </c>
      <c r="B12" s="60" t="s">
        <v>32</v>
      </c>
      <c r="C12" s="61">
        <v>3</v>
      </c>
      <c r="D12" s="61">
        <v>0</v>
      </c>
      <c r="E12" s="61">
        <v>89</v>
      </c>
      <c r="F12" s="62">
        <f t="shared" si="0"/>
        <v>7</v>
      </c>
    </row>
    <row r="13" spans="1:6" ht="16.5" customHeight="1">
      <c r="A13" s="60" t="s">
        <v>33</v>
      </c>
      <c r="B13" s="60" t="s">
        <v>34</v>
      </c>
      <c r="C13" s="61">
        <v>1</v>
      </c>
      <c r="D13" s="61">
        <v>0</v>
      </c>
      <c r="E13" s="61">
        <v>91</v>
      </c>
      <c r="F13" s="62">
        <f t="shared" si="0"/>
        <v>8</v>
      </c>
    </row>
    <row r="14" spans="1:6" ht="16.5" customHeight="1">
      <c r="A14" s="60" t="s">
        <v>37</v>
      </c>
      <c r="B14" s="60" t="s">
        <v>38</v>
      </c>
      <c r="C14" s="61">
        <v>0</v>
      </c>
      <c r="D14" s="61">
        <v>1</v>
      </c>
      <c r="E14" s="61">
        <v>17</v>
      </c>
      <c r="F14" s="62">
        <f t="shared" si="0"/>
        <v>1</v>
      </c>
    </row>
    <row r="15" spans="1:6" ht="16.5" customHeight="1">
      <c r="A15" s="60" t="s">
        <v>39</v>
      </c>
      <c r="B15" s="60" t="s">
        <v>40</v>
      </c>
      <c r="C15" s="61">
        <v>4</v>
      </c>
      <c r="D15" s="61">
        <v>3</v>
      </c>
      <c r="E15" s="61">
        <v>566</v>
      </c>
      <c r="F15" s="62">
        <f t="shared" si="0"/>
        <v>47</v>
      </c>
    </row>
    <row r="16" spans="1:6" ht="16.5" customHeight="1">
      <c r="A16" s="60" t="s">
        <v>41</v>
      </c>
      <c r="B16" s="60" t="s">
        <v>42</v>
      </c>
      <c r="C16" s="61">
        <v>3</v>
      </c>
      <c r="D16" s="61">
        <v>0</v>
      </c>
      <c r="E16" s="61">
        <v>113</v>
      </c>
      <c r="F16" s="62">
        <f t="shared" si="0"/>
        <v>9</v>
      </c>
    </row>
    <row r="17" spans="1:6" ht="16.5" customHeight="1">
      <c r="A17" s="60" t="s">
        <v>43</v>
      </c>
      <c r="B17" s="60" t="s">
        <v>44</v>
      </c>
      <c r="C17" s="61">
        <v>8</v>
      </c>
      <c r="D17" s="61">
        <v>2</v>
      </c>
      <c r="E17" s="61">
        <v>716</v>
      </c>
      <c r="F17" s="62">
        <f t="shared" si="0"/>
        <v>60</v>
      </c>
    </row>
    <row r="18" spans="1:6" ht="16.5" customHeight="1">
      <c r="A18" s="60" t="s">
        <v>45</v>
      </c>
      <c r="B18" s="60" t="s">
        <v>46</v>
      </c>
      <c r="C18" s="61">
        <v>1</v>
      </c>
      <c r="D18" s="61">
        <v>0</v>
      </c>
      <c r="E18" s="61">
        <v>86</v>
      </c>
      <c r="F18" s="62">
        <f t="shared" si="0"/>
        <v>7</v>
      </c>
    </row>
    <row r="19" spans="1:6" ht="16.5" customHeight="1">
      <c r="A19" s="60" t="s">
        <v>47</v>
      </c>
      <c r="B19" s="60" t="s">
        <v>48</v>
      </c>
      <c r="C19" s="61">
        <v>1</v>
      </c>
      <c r="D19" s="61">
        <v>0</v>
      </c>
      <c r="E19" s="61">
        <v>152</v>
      </c>
      <c r="F19" s="62">
        <f t="shared" si="0"/>
        <v>13</v>
      </c>
    </row>
    <row r="20" spans="1:6" ht="16.5" customHeight="1">
      <c r="A20" s="60" t="s">
        <v>49</v>
      </c>
      <c r="B20" s="60" t="s">
        <v>279</v>
      </c>
      <c r="C20" s="61">
        <v>1</v>
      </c>
      <c r="D20" s="61">
        <v>0</v>
      </c>
      <c r="E20" s="61">
        <v>24</v>
      </c>
      <c r="F20" s="62">
        <f t="shared" si="0"/>
        <v>2</v>
      </c>
    </row>
    <row r="21" spans="1:6" ht="16.5" customHeight="1">
      <c r="A21" s="60" t="s">
        <v>51</v>
      </c>
      <c r="B21" s="60" t="s">
        <v>52</v>
      </c>
      <c r="C21" s="61">
        <v>0</v>
      </c>
      <c r="D21" s="61">
        <v>0</v>
      </c>
      <c r="E21" s="61">
        <v>132</v>
      </c>
      <c r="F21" s="62">
        <f t="shared" si="0"/>
        <v>11</v>
      </c>
    </row>
    <row r="22" spans="1:6" ht="16.5" customHeight="1">
      <c r="A22" s="60" t="s">
        <v>57</v>
      </c>
      <c r="B22" s="60" t="s">
        <v>362</v>
      </c>
      <c r="C22" s="61">
        <v>18</v>
      </c>
      <c r="D22" s="61">
        <v>4</v>
      </c>
      <c r="E22" s="61">
        <v>1819</v>
      </c>
      <c r="F22" s="62">
        <f t="shared" si="0"/>
        <v>152</v>
      </c>
    </row>
    <row r="23" spans="1:6" ht="16.5" customHeight="1">
      <c r="A23" s="60" t="s">
        <v>59</v>
      </c>
      <c r="B23" s="60" t="s">
        <v>60</v>
      </c>
      <c r="C23" s="61">
        <v>0</v>
      </c>
      <c r="D23" s="61">
        <v>0</v>
      </c>
      <c r="E23" s="61">
        <v>52</v>
      </c>
      <c r="F23" s="62">
        <f t="shared" si="0"/>
        <v>4</v>
      </c>
    </row>
    <row r="24" spans="1:6" ht="16.5" customHeight="1">
      <c r="A24" s="60" t="s">
        <v>61</v>
      </c>
      <c r="B24" s="60" t="s">
        <v>62</v>
      </c>
      <c r="C24" s="61">
        <v>0</v>
      </c>
      <c r="D24" s="61">
        <v>0</v>
      </c>
      <c r="E24" s="61">
        <v>24</v>
      </c>
      <c r="F24" s="62">
        <f t="shared" si="0"/>
        <v>2</v>
      </c>
    </row>
    <row r="25" spans="1:6" ht="16.5" customHeight="1">
      <c r="A25" s="60" t="s">
        <v>63</v>
      </c>
      <c r="B25" s="60" t="s">
        <v>64</v>
      </c>
      <c r="C25" s="61">
        <v>6</v>
      </c>
      <c r="D25" s="61">
        <v>1</v>
      </c>
      <c r="E25" s="61">
        <v>362</v>
      </c>
      <c r="F25" s="62">
        <f t="shared" si="0"/>
        <v>30</v>
      </c>
    </row>
    <row r="26" spans="1:6" ht="16.5" customHeight="1">
      <c r="A26" s="60" t="s">
        <v>65</v>
      </c>
      <c r="B26" s="60" t="s">
        <v>66</v>
      </c>
      <c r="C26" s="61">
        <v>2</v>
      </c>
      <c r="D26" s="61">
        <v>0</v>
      </c>
      <c r="E26" s="61">
        <v>76</v>
      </c>
      <c r="F26" s="62">
        <f t="shared" si="0"/>
        <v>6</v>
      </c>
    </row>
    <row r="27" spans="1:6" ht="16.5" customHeight="1">
      <c r="A27" s="60" t="s">
        <v>69</v>
      </c>
      <c r="B27" s="60" t="s">
        <v>70</v>
      </c>
      <c r="C27" s="61">
        <v>28</v>
      </c>
      <c r="D27" s="61">
        <v>0</v>
      </c>
      <c r="E27" s="61">
        <v>592</v>
      </c>
      <c r="F27" s="62">
        <f t="shared" si="0"/>
        <v>49</v>
      </c>
    </row>
    <row r="28" spans="1:6" ht="16.5" customHeight="1">
      <c r="A28" s="60" t="s">
        <v>71</v>
      </c>
      <c r="B28" s="60" t="s">
        <v>72</v>
      </c>
      <c r="C28" s="61">
        <v>0</v>
      </c>
      <c r="D28" s="61">
        <v>0</v>
      </c>
      <c r="E28" s="61">
        <v>129</v>
      </c>
      <c r="F28" s="62">
        <f t="shared" si="0"/>
        <v>11</v>
      </c>
    </row>
    <row r="29" spans="1:6" ht="16.5" customHeight="1">
      <c r="A29" s="60" t="s">
        <v>73</v>
      </c>
      <c r="B29" s="60" t="s">
        <v>74</v>
      </c>
      <c r="C29" s="61">
        <v>0</v>
      </c>
      <c r="D29" s="61">
        <v>1</v>
      </c>
      <c r="E29" s="61">
        <v>38</v>
      </c>
      <c r="F29" s="62">
        <f t="shared" si="0"/>
        <v>3</v>
      </c>
    </row>
    <row r="30" spans="1:6" ht="16.5" customHeight="1">
      <c r="A30" s="60" t="s">
        <v>75</v>
      </c>
      <c r="B30" s="60" t="s">
        <v>369</v>
      </c>
      <c r="C30" s="61">
        <v>24</v>
      </c>
      <c r="D30" s="61">
        <v>21</v>
      </c>
      <c r="E30" s="61">
        <v>5651</v>
      </c>
      <c r="F30" s="62">
        <f t="shared" si="0"/>
        <v>471</v>
      </c>
    </row>
    <row r="31" spans="1:6" ht="16.5" customHeight="1">
      <c r="A31" s="60" t="s">
        <v>77</v>
      </c>
      <c r="B31" s="60" t="s">
        <v>78</v>
      </c>
      <c r="C31" s="61">
        <v>3</v>
      </c>
      <c r="D31" s="61">
        <v>6</v>
      </c>
      <c r="E31" s="61">
        <v>294</v>
      </c>
      <c r="F31" s="62">
        <f t="shared" si="0"/>
        <v>25</v>
      </c>
    </row>
    <row r="32" spans="1:6" ht="16.5" customHeight="1">
      <c r="A32" s="60" t="s">
        <v>79</v>
      </c>
      <c r="B32" s="60" t="s">
        <v>80</v>
      </c>
      <c r="C32" s="61">
        <v>0</v>
      </c>
      <c r="D32" s="61">
        <v>0</v>
      </c>
      <c r="E32" s="61">
        <v>12</v>
      </c>
      <c r="F32" s="62">
        <f t="shared" si="0"/>
        <v>1</v>
      </c>
    </row>
    <row r="33" spans="1:6" ht="16.5" customHeight="1">
      <c r="A33" s="60" t="s">
        <v>81</v>
      </c>
      <c r="B33" s="60" t="s">
        <v>82</v>
      </c>
      <c r="C33" s="61">
        <v>4</v>
      </c>
      <c r="D33" s="61">
        <v>0</v>
      </c>
      <c r="E33" s="61">
        <v>102</v>
      </c>
      <c r="F33" s="62">
        <f t="shared" si="0"/>
        <v>9</v>
      </c>
    </row>
    <row r="34" spans="1:6" ht="16.5" customHeight="1">
      <c r="A34" s="60" t="s">
        <v>85</v>
      </c>
      <c r="B34" s="60" t="s">
        <v>387</v>
      </c>
      <c r="C34" s="61">
        <v>3</v>
      </c>
      <c r="D34" s="61">
        <v>1</v>
      </c>
      <c r="E34" s="61">
        <v>432</v>
      </c>
      <c r="F34" s="62">
        <f t="shared" si="0"/>
        <v>36</v>
      </c>
    </row>
    <row r="35" spans="1:6" ht="16.5" customHeight="1">
      <c r="A35" s="60" t="s">
        <v>87</v>
      </c>
      <c r="B35" s="60" t="s">
        <v>88</v>
      </c>
      <c r="C35" s="61">
        <v>11</v>
      </c>
      <c r="D35" s="61">
        <v>10</v>
      </c>
      <c r="E35" s="61">
        <v>479</v>
      </c>
      <c r="F35" s="62">
        <f t="shared" si="0"/>
        <v>40</v>
      </c>
    </row>
    <row r="36" spans="1:6" ht="16.5" customHeight="1">
      <c r="A36" s="60" t="s">
        <v>93</v>
      </c>
      <c r="B36" s="60" t="s">
        <v>94</v>
      </c>
      <c r="C36" s="61">
        <v>3</v>
      </c>
      <c r="D36" s="61">
        <v>0</v>
      </c>
      <c r="E36" s="61">
        <v>213</v>
      </c>
      <c r="F36" s="62">
        <f t="shared" si="0"/>
        <v>18</v>
      </c>
    </row>
    <row r="37" spans="1:6" ht="16.5" customHeight="1">
      <c r="A37" s="60" t="s">
        <v>95</v>
      </c>
      <c r="B37" s="60" t="s">
        <v>96</v>
      </c>
      <c r="C37" s="61">
        <v>2</v>
      </c>
      <c r="D37" s="61">
        <v>2</v>
      </c>
      <c r="E37" s="61">
        <v>270</v>
      </c>
      <c r="F37" s="62">
        <f t="shared" si="0"/>
        <v>23</v>
      </c>
    </row>
    <row r="38" spans="1:6" ht="16.5" customHeight="1">
      <c r="A38" s="60" t="s">
        <v>97</v>
      </c>
      <c r="B38" s="60" t="s">
        <v>98</v>
      </c>
      <c r="C38" s="61">
        <v>1</v>
      </c>
      <c r="D38" s="61">
        <v>2</v>
      </c>
      <c r="E38" s="61">
        <v>133</v>
      </c>
      <c r="F38" s="62">
        <f t="shared" si="0"/>
        <v>11</v>
      </c>
    </row>
    <row r="39" spans="1:6" ht="16.5" customHeight="1">
      <c r="A39" s="60" t="s">
        <v>99</v>
      </c>
      <c r="B39" s="60" t="s">
        <v>100</v>
      </c>
      <c r="C39" s="61">
        <v>1</v>
      </c>
      <c r="D39" s="61">
        <v>2</v>
      </c>
      <c r="E39" s="61">
        <v>126</v>
      </c>
      <c r="F39" s="62">
        <f t="shared" si="0"/>
        <v>11</v>
      </c>
    </row>
    <row r="40" spans="1:6" ht="16.5" customHeight="1">
      <c r="A40" s="60" t="s">
        <v>101</v>
      </c>
      <c r="B40" s="60" t="s">
        <v>102</v>
      </c>
      <c r="C40" s="61">
        <v>0</v>
      </c>
      <c r="D40" s="61">
        <v>0</v>
      </c>
      <c r="E40" s="61">
        <v>60</v>
      </c>
      <c r="F40" s="62">
        <f t="shared" si="0"/>
        <v>5</v>
      </c>
    </row>
    <row r="41" spans="1:6" ht="16.5" customHeight="1">
      <c r="A41" s="60" t="s">
        <v>103</v>
      </c>
      <c r="B41" s="60" t="s">
        <v>104</v>
      </c>
      <c r="C41" s="61">
        <v>2</v>
      </c>
      <c r="D41" s="61">
        <v>0</v>
      </c>
      <c r="E41" s="61">
        <v>60</v>
      </c>
      <c r="F41" s="62">
        <f t="shared" si="0"/>
        <v>5</v>
      </c>
    </row>
    <row r="42" spans="1:6" ht="16.5" customHeight="1">
      <c r="A42" s="60" t="s">
        <v>105</v>
      </c>
      <c r="B42" s="60" t="s">
        <v>388</v>
      </c>
      <c r="C42" s="61">
        <v>0</v>
      </c>
      <c r="D42" s="61">
        <v>1</v>
      </c>
      <c r="E42" s="61">
        <v>223</v>
      </c>
      <c r="F42" s="62">
        <f t="shared" si="0"/>
        <v>19</v>
      </c>
    </row>
    <row r="43" spans="1:6" ht="16.5" customHeight="1">
      <c r="A43" s="60" t="s">
        <v>109</v>
      </c>
      <c r="B43" s="60" t="s">
        <v>110</v>
      </c>
      <c r="C43" s="61">
        <v>3</v>
      </c>
      <c r="D43" s="61">
        <v>0</v>
      </c>
      <c r="E43" s="61">
        <v>264</v>
      </c>
      <c r="F43" s="62">
        <f t="shared" si="0"/>
        <v>22</v>
      </c>
    </row>
    <row r="44" spans="1:6" ht="16.5" customHeight="1">
      <c r="A44" s="60" t="s">
        <v>111</v>
      </c>
      <c r="B44" s="60" t="s">
        <v>112</v>
      </c>
      <c r="C44" s="61">
        <v>7</v>
      </c>
      <c r="D44" s="61">
        <v>1</v>
      </c>
      <c r="E44" s="61">
        <v>1349</v>
      </c>
      <c r="F44" s="62">
        <f t="shared" si="0"/>
        <v>112</v>
      </c>
    </row>
    <row r="45" spans="1:6" ht="16.5" customHeight="1">
      <c r="A45" s="60" t="s">
        <v>113</v>
      </c>
      <c r="B45" s="60" t="s">
        <v>367</v>
      </c>
      <c r="C45" s="61">
        <v>1</v>
      </c>
      <c r="D45" s="61">
        <v>0</v>
      </c>
      <c r="E45" s="61">
        <v>496</v>
      </c>
      <c r="F45" s="62">
        <f t="shared" si="0"/>
        <v>41</v>
      </c>
    </row>
    <row r="46" spans="1:6" ht="16.5" customHeight="1">
      <c r="A46" s="60" t="s">
        <v>115</v>
      </c>
      <c r="B46" s="60" t="s">
        <v>116</v>
      </c>
      <c r="C46" s="61">
        <v>0</v>
      </c>
      <c r="D46" s="61">
        <v>0</v>
      </c>
      <c r="E46" s="61">
        <v>12</v>
      </c>
      <c r="F46" s="62">
        <f t="shared" si="0"/>
        <v>1</v>
      </c>
    </row>
    <row r="47" spans="1:6" ht="16.5" customHeight="1">
      <c r="A47" s="60" t="s">
        <v>119</v>
      </c>
      <c r="B47" s="60" t="s">
        <v>120</v>
      </c>
      <c r="C47" s="61">
        <v>2</v>
      </c>
      <c r="D47" s="61">
        <v>1</v>
      </c>
      <c r="E47" s="61">
        <v>73</v>
      </c>
      <c r="F47" s="62">
        <f t="shared" si="0"/>
        <v>6</v>
      </c>
    </row>
    <row r="48" spans="1:6" ht="16.5" customHeight="1">
      <c r="A48" s="60" t="s">
        <v>121</v>
      </c>
      <c r="B48" s="60" t="s">
        <v>122</v>
      </c>
      <c r="C48" s="61">
        <v>4</v>
      </c>
      <c r="D48" s="61">
        <v>3</v>
      </c>
      <c r="E48" s="61">
        <v>394</v>
      </c>
      <c r="F48" s="62">
        <f t="shared" si="0"/>
        <v>33</v>
      </c>
    </row>
    <row r="49" spans="1:6" ht="16.5" customHeight="1">
      <c r="A49" s="60" t="s">
        <v>123</v>
      </c>
      <c r="B49" s="60" t="s">
        <v>284</v>
      </c>
      <c r="C49" s="61">
        <v>3</v>
      </c>
      <c r="D49" s="61">
        <v>0</v>
      </c>
      <c r="E49" s="61">
        <v>66</v>
      </c>
      <c r="F49" s="62">
        <f t="shared" si="0"/>
        <v>6</v>
      </c>
    </row>
    <row r="50" spans="1:6" ht="16.5" customHeight="1">
      <c r="A50" s="60" t="s">
        <v>125</v>
      </c>
      <c r="B50" s="60" t="s">
        <v>126</v>
      </c>
      <c r="C50" s="61">
        <v>6</v>
      </c>
      <c r="D50" s="61">
        <v>0</v>
      </c>
      <c r="E50" s="61">
        <v>61</v>
      </c>
      <c r="F50" s="62">
        <f t="shared" si="0"/>
        <v>5</v>
      </c>
    </row>
    <row r="51" spans="1:6" ht="16.5" customHeight="1">
      <c r="A51" s="60" t="s">
        <v>127</v>
      </c>
      <c r="B51" s="60" t="s">
        <v>128</v>
      </c>
      <c r="C51" s="61">
        <v>1</v>
      </c>
      <c r="D51" s="61">
        <v>0</v>
      </c>
      <c r="E51" s="61">
        <v>76</v>
      </c>
      <c r="F51" s="62">
        <f t="shared" si="0"/>
        <v>6</v>
      </c>
    </row>
    <row r="52" spans="1:6" ht="16.5" customHeight="1">
      <c r="A52" s="60" t="s">
        <v>129</v>
      </c>
      <c r="B52" s="60" t="s">
        <v>130</v>
      </c>
      <c r="C52" s="61">
        <v>0</v>
      </c>
      <c r="D52" s="61">
        <v>1</v>
      </c>
      <c r="E52" s="61">
        <v>36</v>
      </c>
      <c r="F52" s="62">
        <f t="shared" si="0"/>
        <v>3</v>
      </c>
    </row>
    <row r="53" spans="1:6" ht="16.5" customHeight="1">
      <c r="A53" s="60" t="s">
        <v>131</v>
      </c>
      <c r="B53" s="60" t="s">
        <v>132</v>
      </c>
      <c r="C53" s="61">
        <v>5</v>
      </c>
      <c r="D53" s="61">
        <v>0</v>
      </c>
      <c r="E53" s="61">
        <v>713</v>
      </c>
      <c r="F53" s="62">
        <f t="shared" si="0"/>
        <v>59</v>
      </c>
    </row>
    <row r="54" spans="1:6" ht="16.5" customHeight="1">
      <c r="A54" s="60" t="s">
        <v>133</v>
      </c>
      <c r="B54" s="60" t="s">
        <v>134</v>
      </c>
      <c r="C54" s="61">
        <v>21</v>
      </c>
      <c r="D54" s="61">
        <v>6</v>
      </c>
      <c r="E54" s="61">
        <v>486</v>
      </c>
      <c r="F54" s="62">
        <f t="shared" si="0"/>
        <v>41</v>
      </c>
    </row>
    <row r="55" spans="1:6" ht="16.5" customHeight="1">
      <c r="A55" s="60" t="s">
        <v>135</v>
      </c>
      <c r="B55" s="60" t="s">
        <v>136</v>
      </c>
      <c r="C55" s="61">
        <v>11</v>
      </c>
      <c r="D55" s="61">
        <v>0</v>
      </c>
      <c r="E55" s="61">
        <v>171</v>
      </c>
      <c r="F55" s="62">
        <f t="shared" si="0"/>
        <v>14</v>
      </c>
    </row>
    <row r="56" spans="1:6" ht="16.5" customHeight="1">
      <c r="A56" s="60" t="s">
        <v>137</v>
      </c>
      <c r="B56" s="60" t="s">
        <v>138</v>
      </c>
      <c r="C56" s="61">
        <v>1</v>
      </c>
      <c r="D56" s="61">
        <v>0</v>
      </c>
      <c r="E56" s="61">
        <v>30</v>
      </c>
      <c r="F56" s="62">
        <f t="shared" si="0"/>
        <v>3</v>
      </c>
    </row>
    <row r="57" spans="1:6" ht="16.5" customHeight="1">
      <c r="A57" s="60" t="s">
        <v>141</v>
      </c>
      <c r="B57" s="60" t="s">
        <v>142</v>
      </c>
      <c r="C57" s="61">
        <v>2</v>
      </c>
      <c r="D57" s="61">
        <v>0</v>
      </c>
      <c r="E57" s="61">
        <v>65</v>
      </c>
      <c r="F57" s="62">
        <f t="shared" si="0"/>
        <v>5</v>
      </c>
    </row>
    <row r="58" spans="1:6" ht="16.5" customHeight="1">
      <c r="A58" s="60" t="s">
        <v>147</v>
      </c>
      <c r="B58" s="60" t="s">
        <v>148</v>
      </c>
      <c r="C58" s="61">
        <v>0</v>
      </c>
      <c r="D58" s="61">
        <v>0</v>
      </c>
      <c r="E58" s="61">
        <v>84</v>
      </c>
      <c r="F58" s="62">
        <f t="shared" si="0"/>
        <v>7</v>
      </c>
    </row>
    <row r="59" spans="1:6" ht="16.5" customHeight="1">
      <c r="A59" s="60" t="s">
        <v>149</v>
      </c>
      <c r="B59" s="60" t="s">
        <v>150</v>
      </c>
      <c r="C59" s="61">
        <v>2</v>
      </c>
      <c r="D59" s="61">
        <v>3</v>
      </c>
      <c r="E59" s="61">
        <v>228</v>
      </c>
      <c r="F59" s="62">
        <f t="shared" si="0"/>
        <v>19</v>
      </c>
    </row>
    <row r="60" spans="1:6" ht="16.5" customHeight="1">
      <c r="A60" s="60" t="s">
        <v>151</v>
      </c>
      <c r="B60" s="60" t="s">
        <v>152</v>
      </c>
      <c r="C60" s="61">
        <v>1</v>
      </c>
      <c r="D60" s="61">
        <v>0</v>
      </c>
      <c r="E60" s="61">
        <v>74</v>
      </c>
      <c r="F60" s="62">
        <f t="shared" si="0"/>
        <v>6</v>
      </c>
    </row>
    <row r="61" spans="1:6" ht="16.5" customHeight="1">
      <c r="A61" s="60" t="s">
        <v>153</v>
      </c>
      <c r="B61" s="60" t="s">
        <v>154</v>
      </c>
      <c r="C61" s="61">
        <v>1</v>
      </c>
      <c r="D61" s="61">
        <v>2</v>
      </c>
      <c r="E61" s="61">
        <v>374</v>
      </c>
      <c r="F61" s="62">
        <f t="shared" si="0"/>
        <v>31</v>
      </c>
    </row>
    <row r="62" spans="1:6" ht="16.5" customHeight="1">
      <c r="A62" s="60" t="s">
        <v>155</v>
      </c>
      <c r="B62" s="60" t="s">
        <v>156</v>
      </c>
      <c r="C62" s="61">
        <v>0</v>
      </c>
      <c r="D62" s="61">
        <v>0</v>
      </c>
      <c r="E62" s="61">
        <v>0</v>
      </c>
      <c r="F62" s="62">
        <f t="shared" si="0"/>
        <v>0</v>
      </c>
    </row>
    <row r="63" spans="1:6" ht="16.5" customHeight="1">
      <c r="A63" s="60" t="s">
        <v>157</v>
      </c>
      <c r="B63" s="60" t="s">
        <v>158</v>
      </c>
      <c r="C63" s="61">
        <v>1</v>
      </c>
      <c r="D63" s="61">
        <v>0</v>
      </c>
      <c r="E63" s="61">
        <v>63</v>
      </c>
      <c r="F63" s="62">
        <f t="shared" si="0"/>
        <v>5</v>
      </c>
    </row>
    <row r="64" spans="1:6" ht="16.5" customHeight="1">
      <c r="A64" s="60" t="s">
        <v>163</v>
      </c>
      <c r="B64" s="60" t="s">
        <v>164</v>
      </c>
      <c r="C64" s="61">
        <v>0</v>
      </c>
      <c r="D64" s="61">
        <v>0</v>
      </c>
      <c r="E64" s="61">
        <v>24</v>
      </c>
      <c r="F64" s="62">
        <f t="shared" si="0"/>
        <v>2</v>
      </c>
    </row>
    <row r="65" spans="1:6" ht="16.5" customHeight="1">
      <c r="A65" s="60" t="s">
        <v>165</v>
      </c>
      <c r="B65" s="60" t="s">
        <v>166</v>
      </c>
      <c r="C65" s="61">
        <v>0</v>
      </c>
      <c r="D65" s="61">
        <v>0</v>
      </c>
      <c r="E65" s="61">
        <v>48</v>
      </c>
      <c r="F65" s="62">
        <f t="shared" si="0"/>
        <v>4</v>
      </c>
    </row>
    <row r="66" spans="1:6" ht="16.5" customHeight="1">
      <c r="A66" s="60" t="s">
        <v>169</v>
      </c>
      <c r="B66" s="60" t="s">
        <v>170</v>
      </c>
      <c r="C66" s="61">
        <v>1</v>
      </c>
      <c r="D66" s="61">
        <v>0</v>
      </c>
      <c r="E66" s="61">
        <v>89</v>
      </c>
      <c r="F66" s="62">
        <f t="shared" si="0"/>
        <v>7</v>
      </c>
    </row>
    <row r="67" spans="1:6" ht="16.5" customHeight="1">
      <c r="A67" s="60" t="s">
        <v>171</v>
      </c>
      <c r="B67" s="60" t="s">
        <v>172</v>
      </c>
      <c r="C67" s="61">
        <v>1</v>
      </c>
      <c r="D67" s="61">
        <v>1</v>
      </c>
      <c r="E67" s="61">
        <v>132</v>
      </c>
      <c r="F67" s="62">
        <f t="shared" ref="F67:F121" si="1">ROUND(E67/12,0)</f>
        <v>11</v>
      </c>
    </row>
    <row r="68" spans="1:6" ht="16.5" customHeight="1">
      <c r="A68" s="60" t="s">
        <v>173</v>
      </c>
      <c r="B68" s="60" t="s">
        <v>174</v>
      </c>
      <c r="C68" s="61">
        <v>3</v>
      </c>
      <c r="D68" s="61">
        <v>1</v>
      </c>
      <c r="E68" s="61">
        <v>170</v>
      </c>
      <c r="F68" s="62">
        <f t="shared" si="1"/>
        <v>14</v>
      </c>
    </row>
    <row r="69" spans="1:6" ht="16.5" customHeight="1">
      <c r="A69" s="60" t="s">
        <v>175</v>
      </c>
      <c r="B69" s="60" t="s">
        <v>176</v>
      </c>
      <c r="C69" s="61">
        <v>2</v>
      </c>
      <c r="D69" s="61">
        <v>1</v>
      </c>
      <c r="E69" s="61">
        <v>28</v>
      </c>
      <c r="F69" s="62">
        <f t="shared" si="1"/>
        <v>2</v>
      </c>
    </row>
    <row r="70" spans="1:6" ht="16.5" customHeight="1">
      <c r="A70" s="60" t="s">
        <v>179</v>
      </c>
      <c r="B70" s="60" t="s">
        <v>180</v>
      </c>
      <c r="C70" s="61">
        <v>2</v>
      </c>
      <c r="D70" s="61">
        <v>0</v>
      </c>
      <c r="E70" s="61">
        <v>256</v>
      </c>
      <c r="F70" s="62">
        <f t="shared" si="1"/>
        <v>21</v>
      </c>
    </row>
    <row r="71" spans="1:6" ht="16.5" customHeight="1">
      <c r="A71" s="60" t="s">
        <v>183</v>
      </c>
      <c r="B71" s="60" t="s">
        <v>184</v>
      </c>
      <c r="C71" s="61">
        <v>1</v>
      </c>
      <c r="D71" s="61">
        <v>1</v>
      </c>
      <c r="E71" s="61">
        <v>42</v>
      </c>
      <c r="F71" s="62">
        <f t="shared" si="1"/>
        <v>4</v>
      </c>
    </row>
    <row r="72" spans="1:6" ht="16.5" customHeight="1">
      <c r="A72" s="60" t="s">
        <v>185</v>
      </c>
      <c r="B72" s="60" t="s">
        <v>186</v>
      </c>
      <c r="C72" s="61">
        <v>4</v>
      </c>
      <c r="D72" s="61">
        <v>1</v>
      </c>
      <c r="E72" s="61">
        <v>220</v>
      </c>
      <c r="F72" s="62">
        <f t="shared" si="1"/>
        <v>18</v>
      </c>
    </row>
    <row r="73" spans="1:6" ht="16.5" customHeight="1">
      <c r="A73" s="60" t="s">
        <v>187</v>
      </c>
      <c r="B73" s="60" t="s">
        <v>188</v>
      </c>
      <c r="C73" s="61">
        <v>3</v>
      </c>
      <c r="D73" s="61">
        <v>3</v>
      </c>
      <c r="E73" s="61">
        <v>98</v>
      </c>
      <c r="F73" s="62">
        <f t="shared" si="1"/>
        <v>8</v>
      </c>
    </row>
    <row r="74" spans="1:6" ht="16.5" customHeight="1">
      <c r="A74" s="60" t="s">
        <v>189</v>
      </c>
      <c r="B74" s="60" t="s">
        <v>190</v>
      </c>
      <c r="C74" s="61">
        <v>11</v>
      </c>
      <c r="D74" s="61">
        <v>3</v>
      </c>
      <c r="E74" s="61">
        <v>1021</v>
      </c>
      <c r="F74" s="62">
        <f t="shared" si="1"/>
        <v>85</v>
      </c>
    </row>
    <row r="75" spans="1:6" ht="16.5" customHeight="1">
      <c r="A75" s="60" t="s">
        <v>191</v>
      </c>
      <c r="B75" s="60" t="s">
        <v>192</v>
      </c>
      <c r="C75" s="61">
        <v>4</v>
      </c>
      <c r="D75" s="61">
        <v>0</v>
      </c>
      <c r="E75" s="61">
        <v>261</v>
      </c>
      <c r="F75" s="62">
        <f t="shared" si="1"/>
        <v>22</v>
      </c>
    </row>
    <row r="76" spans="1:6" ht="16.5" customHeight="1">
      <c r="A76" s="60" t="s">
        <v>195</v>
      </c>
      <c r="B76" s="60" t="s">
        <v>196</v>
      </c>
      <c r="C76" s="61">
        <v>1</v>
      </c>
      <c r="D76" s="61">
        <v>0</v>
      </c>
      <c r="E76" s="61">
        <v>83</v>
      </c>
      <c r="F76" s="62">
        <f t="shared" si="1"/>
        <v>7</v>
      </c>
    </row>
    <row r="77" spans="1:6" ht="16.5" customHeight="1">
      <c r="A77" s="60" t="s">
        <v>199</v>
      </c>
      <c r="B77" s="60" t="s">
        <v>200</v>
      </c>
      <c r="C77" s="61">
        <v>0</v>
      </c>
      <c r="D77" s="61">
        <v>0</v>
      </c>
      <c r="E77" s="61">
        <v>36</v>
      </c>
      <c r="F77" s="62">
        <f t="shared" si="1"/>
        <v>3</v>
      </c>
    </row>
    <row r="78" spans="1:6" ht="16.5" customHeight="1">
      <c r="A78" s="60" t="s">
        <v>203</v>
      </c>
      <c r="B78" s="60" t="s">
        <v>204</v>
      </c>
      <c r="C78" s="61">
        <v>7</v>
      </c>
      <c r="D78" s="61">
        <v>2</v>
      </c>
      <c r="E78" s="61">
        <v>767</v>
      </c>
      <c r="F78" s="62">
        <f t="shared" si="1"/>
        <v>64</v>
      </c>
    </row>
    <row r="79" spans="1:6" ht="16.5" customHeight="1">
      <c r="A79" s="60" t="s">
        <v>205</v>
      </c>
      <c r="B79" s="60" t="s">
        <v>206</v>
      </c>
      <c r="C79" s="61">
        <v>3</v>
      </c>
      <c r="D79" s="61">
        <v>2</v>
      </c>
      <c r="E79" s="61">
        <v>157</v>
      </c>
      <c r="F79" s="62">
        <f t="shared" si="1"/>
        <v>13</v>
      </c>
    </row>
    <row r="80" spans="1:6" ht="16.5" customHeight="1">
      <c r="A80" s="60" t="s">
        <v>207</v>
      </c>
      <c r="B80" s="60" t="s">
        <v>208</v>
      </c>
      <c r="C80" s="61">
        <v>26</v>
      </c>
      <c r="D80" s="61">
        <v>3</v>
      </c>
      <c r="E80" s="61">
        <v>1347</v>
      </c>
      <c r="F80" s="62">
        <f t="shared" si="1"/>
        <v>112</v>
      </c>
    </row>
    <row r="81" spans="1:6" ht="16.5" customHeight="1">
      <c r="A81" s="60" t="s">
        <v>209</v>
      </c>
      <c r="B81" s="60" t="s">
        <v>210</v>
      </c>
      <c r="C81" s="61">
        <v>2</v>
      </c>
      <c r="D81" s="61">
        <v>0</v>
      </c>
      <c r="E81" s="61">
        <v>53</v>
      </c>
      <c r="F81" s="62">
        <f t="shared" si="1"/>
        <v>4</v>
      </c>
    </row>
    <row r="82" spans="1:6" ht="16.5" customHeight="1">
      <c r="A82" s="60" t="s">
        <v>211</v>
      </c>
      <c r="B82" s="60" t="s">
        <v>212</v>
      </c>
      <c r="C82" s="61">
        <v>4</v>
      </c>
      <c r="D82" s="61">
        <v>1</v>
      </c>
      <c r="E82" s="61">
        <v>345</v>
      </c>
      <c r="F82" s="62">
        <f t="shared" si="1"/>
        <v>29</v>
      </c>
    </row>
    <row r="83" spans="1:6" ht="16.5" customHeight="1">
      <c r="A83" s="60" t="s">
        <v>213</v>
      </c>
      <c r="B83" s="60" t="s">
        <v>214</v>
      </c>
      <c r="C83" s="61">
        <v>4</v>
      </c>
      <c r="D83" s="61">
        <v>0</v>
      </c>
      <c r="E83" s="61">
        <v>243</v>
      </c>
      <c r="F83" s="62">
        <f t="shared" si="1"/>
        <v>20</v>
      </c>
    </row>
    <row r="84" spans="1:6" ht="16.5" customHeight="1">
      <c r="A84" s="60" t="s">
        <v>215</v>
      </c>
      <c r="B84" s="60" t="s">
        <v>216</v>
      </c>
      <c r="C84" s="61">
        <v>0</v>
      </c>
      <c r="D84" s="61">
        <v>2</v>
      </c>
      <c r="E84" s="61">
        <v>193</v>
      </c>
      <c r="F84" s="62">
        <f t="shared" si="1"/>
        <v>16</v>
      </c>
    </row>
    <row r="85" spans="1:6" ht="16.5" customHeight="1">
      <c r="A85" s="60" t="s">
        <v>217</v>
      </c>
      <c r="B85" s="60" t="s">
        <v>218</v>
      </c>
      <c r="C85" s="61">
        <v>0</v>
      </c>
      <c r="D85" s="61">
        <v>0</v>
      </c>
      <c r="E85" s="61">
        <v>24</v>
      </c>
      <c r="F85" s="62">
        <f t="shared" si="1"/>
        <v>2</v>
      </c>
    </row>
    <row r="86" spans="1:6" ht="16.5" customHeight="1">
      <c r="A86" s="60" t="s">
        <v>219</v>
      </c>
      <c r="B86" s="60" t="s">
        <v>220</v>
      </c>
      <c r="C86" s="61">
        <v>7</v>
      </c>
      <c r="D86" s="61">
        <v>1</v>
      </c>
      <c r="E86" s="61">
        <v>728</v>
      </c>
      <c r="F86" s="62">
        <f t="shared" si="1"/>
        <v>61</v>
      </c>
    </row>
    <row r="87" spans="1:6" ht="16.5" customHeight="1">
      <c r="A87" s="60" t="s">
        <v>221</v>
      </c>
      <c r="B87" s="60" t="s">
        <v>222</v>
      </c>
      <c r="C87" s="61">
        <v>9</v>
      </c>
      <c r="D87" s="61">
        <v>1</v>
      </c>
      <c r="E87" s="61">
        <v>1167</v>
      </c>
      <c r="F87" s="62">
        <f t="shared" si="1"/>
        <v>97</v>
      </c>
    </row>
    <row r="88" spans="1:6" ht="16.5" customHeight="1">
      <c r="A88" s="60" t="s">
        <v>225</v>
      </c>
      <c r="B88" s="60" t="s">
        <v>226</v>
      </c>
      <c r="C88" s="61">
        <v>0</v>
      </c>
      <c r="D88" s="61">
        <v>0</v>
      </c>
      <c r="E88" s="61">
        <v>36</v>
      </c>
      <c r="F88" s="62">
        <f t="shared" si="1"/>
        <v>3</v>
      </c>
    </row>
    <row r="89" spans="1:6" ht="16.5" customHeight="1">
      <c r="A89" s="60" t="s">
        <v>227</v>
      </c>
      <c r="B89" s="60" t="s">
        <v>228</v>
      </c>
      <c r="C89" s="61">
        <v>0</v>
      </c>
      <c r="D89" s="61">
        <v>0</v>
      </c>
      <c r="E89" s="61">
        <v>60</v>
      </c>
      <c r="F89" s="62">
        <f t="shared" si="1"/>
        <v>5</v>
      </c>
    </row>
    <row r="90" spans="1:6" ht="16.5" customHeight="1">
      <c r="A90" s="60" t="s">
        <v>229</v>
      </c>
      <c r="B90" s="60" t="s">
        <v>230</v>
      </c>
      <c r="C90" s="61">
        <v>7</v>
      </c>
      <c r="D90" s="61">
        <v>3</v>
      </c>
      <c r="E90" s="61">
        <v>766</v>
      </c>
      <c r="F90" s="62">
        <f t="shared" si="1"/>
        <v>64</v>
      </c>
    </row>
    <row r="91" spans="1:6" ht="16.5" customHeight="1">
      <c r="A91" s="60" t="s">
        <v>233</v>
      </c>
      <c r="B91" s="60" t="s">
        <v>234</v>
      </c>
      <c r="C91" s="61">
        <v>3</v>
      </c>
      <c r="D91" s="61">
        <v>1</v>
      </c>
      <c r="E91" s="61">
        <v>557</v>
      </c>
      <c r="F91" s="62">
        <f t="shared" si="1"/>
        <v>46</v>
      </c>
    </row>
    <row r="92" spans="1:6" ht="16.5" customHeight="1">
      <c r="A92" s="60" t="s">
        <v>235</v>
      </c>
      <c r="B92" s="60" t="s">
        <v>236</v>
      </c>
      <c r="C92" s="61">
        <v>3</v>
      </c>
      <c r="D92" s="61">
        <v>0</v>
      </c>
      <c r="E92" s="61">
        <v>282</v>
      </c>
      <c r="F92" s="62">
        <f t="shared" si="1"/>
        <v>24</v>
      </c>
    </row>
    <row r="93" spans="1:6" ht="16.5" customHeight="1">
      <c r="A93" s="60" t="s">
        <v>237</v>
      </c>
      <c r="B93" s="60" t="s">
        <v>238</v>
      </c>
      <c r="C93" s="61">
        <v>1</v>
      </c>
      <c r="D93" s="61">
        <v>2</v>
      </c>
      <c r="E93" s="61">
        <v>97</v>
      </c>
      <c r="F93" s="62">
        <f t="shared" si="1"/>
        <v>8</v>
      </c>
    </row>
    <row r="94" spans="1:6" ht="16.5" customHeight="1">
      <c r="A94" s="60" t="s">
        <v>243</v>
      </c>
      <c r="B94" s="60" t="s">
        <v>244</v>
      </c>
      <c r="C94" s="61">
        <v>10</v>
      </c>
      <c r="D94" s="61">
        <v>7</v>
      </c>
      <c r="E94" s="61">
        <v>892</v>
      </c>
      <c r="F94" s="62">
        <f t="shared" si="1"/>
        <v>74</v>
      </c>
    </row>
    <row r="95" spans="1:6" ht="16.5" customHeight="1">
      <c r="A95" s="60" t="s">
        <v>245</v>
      </c>
      <c r="B95" s="60" t="s">
        <v>246</v>
      </c>
      <c r="C95" s="61">
        <v>1</v>
      </c>
      <c r="D95" s="61">
        <v>0</v>
      </c>
      <c r="E95" s="61">
        <v>151</v>
      </c>
      <c r="F95" s="62">
        <f t="shared" si="1"/>
        <v>13</v>
      </c>
    </row>
    <row r="96" spans="1:6" ht="16.5" customHeight="1">
      <c r="A96" s="60" t="s">
        <v>247</v>
      </c>
      <c r="B96" s="60" t="s">
        <v>389</v>
      </c>
      <c r="C96" s="61">
        <v>5</v>
      </c>
      <c r="D96" s="61">
        <v>2</v>
      </c>
      <c r="E96" s="61">
        <v>207</v>
      </c>
      <c r="F96" s="62">
        <f t="shared" si="1"/>
        <v>17</v>
      </c>
    </row>
    <row r="97" spans="1:6" ht="16.5" customHeight="1">
      <c r="A97" s="60" t="s">
        <v>14</v>
      </c>
      <c r="B97" s="60" t="s">
        <v>15</v>
      </c>
      <c r="C97" s="61">
        <v>21</v>
      </c>
      <c r="D97" s="61">
        <v>1</v>
      </c>
      <c r="E97" s="61">
        <v>1630</v>
      </c>
      <c r="F97" s="62">
        <f t="shared" si="1"/>
        <v>136</v>
      </c>
    </row>
    <row r="98" spans="1:6" ht="16.5" customHeight="1">
      <c r="A98" s="60" t="s">
        <v>35</v>
      </c>
      <c r="B98" s="60" t="s">
        <v>36</v>
      </c>
      <c r="C98" s="61">
        <v>0</v>
      </c>
      <c r="D98" s="61">
        <v>0</v>
      </c>
      <c r="E98" s="61">
        <v>251</v>
      </c>
      <c r="F98" s="62">
        <f t="shared" si="1"/>
        <v>21</v>
      </c>
    </row>
    <row r="99" spans="1:6" ht="16.5" customHeight="1">
      <c r="A99" s="60" t="s">
        <v>53</v>
      </c>
      <c r="B99" s="60" t="s">
        <v>54</v>
      </c>
      <c r="C99" s="61">
        <v>14</v>
      </c>
      <c r="D99" s="61">
        <v>0</v>
      </c>
      <c r="E99" s="61">
        <v>789</v>
      </c>
      <c r="F99" s="62">
        <f t="shared" si="1"/>
        <v>66</v>
      </c>
    </row>
    <row r="100" spans="1:6" ht="16.5" customHeight="1">
      <c r="A100" s="60" t="s">
        <v>55</v>
      </c>
      <c r="B100" s="60" t="s">
        <v>56</v>
      </c>
      <c r="C100" s="61">
        <v>5</v>
      </c>
      <c r="D100" s="61">
        <v>3</v>
      </c>
      <c r="E100" s="61">
        <v>1198</v>
      </c>
      <c r="F100" s="62">
        <f t="shared" si="1"/>
        <v>100</v>
      </c>
    </row>
    <row r="101" spans="1:6" ht="16.5" customHeight="1">
      <c r="A101" s="60" t="s">
        <v>67</v>
      </c>
      <c r="B101" s="60" t="s">
        <v>68</v>
      </c>
      <c r="C101" s="61">
        <v>1</v>
      </c>
      <c r="D101" s="61">
        <v>1</v>
      </c>
      <c r="E101" s="61">
        <v>521</v>
      </c>
      <c r="F101" s="62">
        <f t="shared" si="1"/>
        <v>43</v>
      </c>
    </row>
    <row r="102" spans="1:6" ht="16.5" customHeight="1">
      <c r="A102" s="60" t="s">
        <v>83</v>
      </c>
      <c r="B102" s="60" t="s">
        <v>390</v>
      </c>
      <c r="C102" s="61">
        <v>0</v>
      </c>
      <c r="D102" s="61">
        <v>0</v>
      </c>
      <c r="E102" s="61">
        <v>24</v>
      </c>
      <c r="F102" s="62">
        <f t="shared" si="1"/>
        <v>2</v>
      </c>
    </row>
    <row r="103" spans="1:6" ht="16.5" customHeight="1">
      <c r="A103" s="60" t="s">
        <v>89</v>
      </c>
      <c r="B103" s="60" t="s">
        <v>90</v>
      </c>
      <c r="C103" s="61">
        <v>5</v>
      </c>
      <c r="D103" s="61">
        <v>0</v>
      </c>
      <c r="E103" s="61">
        <v>528</v>
      </c>
      <c r="F103" s="62">
        <f t="shared" si="1"/>
        <v>44</v>
      </c>
    </row>
    <row r="104" spans="1:6" ht="16.5" customHeight="1">
      <c r="A104" s="60" t="s">
        <v>91</v>
      </c>
      <c r="B104" s="60" t="s">
        <v>92</v>
      </c>
      <c r="C104" s="61">
        <v>2</v>
      </c>
      <c r="D104" s="61">
        <v>0</v>
      </c>
      <c r="E104" s="61">
        <v>132</v>
      </c>
      <c r="F104" s="62">
        <f t="shared" si="1"/>
        <v>11</v>
      </c>
    </row>
    <row r="105" spans="1:6" ht="16.5" customHeight="1">
      <c r="A105" s="60" t="s">
        <v>107</v>
      </c>
      <c r="B105" s="60" t="s">
        <v>108</v>
      </c>
      <c r="C105" s="61">
        <v>12</v>
      </c>
      <c r="D105" s="61">
        <v>4</v>
      </c>
      <c r="E105" s="61">
        <v>1594</v>
      </c>
      <c r="F105" s="62">
        <f t="shared" si="1"/>
        <v>133</v>
      </c>
    </row>
    <row r="106" spans="1:6" ht="16.5" customHeight="1">
      <c r="A106" s="60" t="s">
        <v>117</v>
      </c>
      <c r="B106" s="60" t="s">
        <v>118</v>
      </c>
      <c r="C106" s="61">
        <v>2</v>
      </c>
      <c r="D106" s="61">
        <v>1</v>
      </c>
      <c r="E106" s="61">
        <v>195</v>
      </c>
      <c r="F106" s="62">
        <f t="shared" si="1"/>
        <v>16</v>
      </c>
    </row>
    <row r="107" spans="1:6" ht="16.5" customHeight="1">
      <c r="A107" s="60" t="s">
        <v>139</v>
      </c>
      <c r="B107" s="60" t="s">
        <v>140</v>
      </c>
      <c r="C107" s="61">
        <v>18</v>
      </c>
      <c r="D107" s="61">
        <v>3</v>
      </c>
      <c r="E107" s="61">
        <v>1411</v>
      </c>
      <c r="F107" s="62">
        <f t="shared" si="1"/>
        <v>118</v>
      </c>
    </row>
    <row r="108" spans="1:6" ht="16.5" customHeight="1">
      <c r="A108" s="60" t="s">
        <v>143</v>
      </c>
      <c r="B108" s="60" t="s">
        <v>144</v>
      </c>
      <c r="C108" s="61">
        <v>4</v>
      </c>
      <c r="D108" s="61">
        <v>0</v>
      </c>
      <c r="E108" s="61">
        <v>194</v>
      </c>
      <c r="F108" s="62">
        <f t="shared" si="1"/>
        <v>16</v>
      </c>
    </row>
    <row r="109" spans="1:6" ht="16.5" customHeight="1">
      <c r="A109" s="60" t="s">
        <v>145</v>
      </c>
      <c r="B109" s="60" t="s">
        <v>146</v>
      </c>
      <c r="C109" s="61">
        <v>0</v>
      </c>
      <c r="D109" s="61">
        <v>0</v>
      </c>
      <c r="E109" s="61">
        <v>48</v>
      </c>
      <c r="F109" s="62">
        <f t="shared" si="1"/>
        <v>4</v>
      </c>
    </row>
    <row r="110" spans="1:6" ht="16.5" customHeight="1">
      <c r="A110" s="60" t="s">
        <v>159</v>
      </c>
      <c r="B110" s="60" t="s">
        <v>160</v>
      </c>
      <c r="C110" s="61">
        <v>16</v>
      </c>
      <c r="D110" s="61">
        <v>6</v>
      </c>
      <c r="E110" s="61">
        <v>3092</v>
      </c>
      <c r="F110" s="62">
        <f t="shared" si="1"/>
        <v>258</v>
      </c>
    </row>
    <row r="111" spans="1:6" ht="16.5" customHeight="1">
      <c r="A111" s="60" t="s">
        <v>161</v>
      </c>
      <c r="B111" s="60" t="s">
        <v>162</v>
      </c>
      <c r="C111" s="61">
        <v>11</v>
      </c>
      <c r="D111" s="61">
        <v>5</v>
      </c>
      <c r="E111" s="61">
        <v>2057</v>
      </c>
      <c r="F111" s="62">
        <f t="shared" si="1"/>
        <v>171</v>
      </c>
    </row>
    <row r="112" spans="1:6" ht="16.5" customHeight="1">
      <c r="A112" s="60" t="s">
        <v>167</v>
      </c>
      <c r="B112" s="60" t="s">
        <v>168</v>
      </c>
      <c r="C112" s="61">
        <v>0</v>
      </c>
      <c r="D112" s="61">
        <v>0</v>
      </c>
      <c r="E112" s="61">
        <v>144</v>
      </c>
      <c r="F112" s="62">
        <f t="shared" si="1"/>
        <v>12</v>
      </c>
    </row>
    <row r="113" spans="1:6" ht="16.5" customHeight="1">
      <c r="A113" s="60" t="s">
        <v>177</v>
      </c>
      <c r="B113" s="60" t="s">
        <v>178</v>
      </c>
      <c r="C113" s="61">
        <v>10</v>
      </c>
      <c r="D113" s="61">
        <v>4</v>
      </c>
      <c r="E113" s="61">
        <v>890</v>
      </c>
      <c r="F113" s="62">
        <f t="shared" si="1"/>
        <v>74</v>
      </c>
    </row>
    <row r="114" spans="1:6" ht="16.5" customHeight="1">
      <c r="A114" s="60" t="s">
        <v>181</v>
      </c>
      <c r="B114" s="60" t="s">
        <v>182</v>
      </c>
      <c r="C114" s="61">
        <v>9</v>
      </c>
      <c r="D114" s="61">
        <v>11</v>
      </c>
      <c r="E114" s="61">
        <v>1142</v>
      </c>
      <c r="F114" s="62">
        <f t="shared" si="1"/>
        <v>95</v>
      </c>
    </row>
    <row r="115" spans="1:6" ht="16.5" customHeight="1">
      <c r="A115" s="60" t="s">
        <v>193</v>
      </c>
      <c r="B115" s="60" t="s">
        <v>194</v>
      </c>
      <c r="C115" s="61">
        <v>4</v>
      </c>
      <c r="D115" s="61">
        <v>0</v>
      </c>
      <c r="E115" s="61">
        <v>228</v>
      </c>
      <c r="F115" s="62">
        <f t="shared" si="1"/>
        <v>19</v>
      </c>
    </row>
    <row r="116" spans="1:6" ht="16.5" customHeight="1">
      <c r="A116" s="60" t="s">
        <v>197</v>
      </c>
      <c r="B116" s="60" t="s">
        <v>391</v>
      </c>
      <c r="C116" s="61">
        <v>34</v>
      </c>
      <c r="D116" s="61">
        <v>6</v>
      </c>
      <c r="E116" s="61">
        <v>5651</v>
      </c>
      <c r="F116" s="62">
        <f t="shared" si="1"/>
        <v>471</v>
      </c>
    </row>
    <row r="117" spans="1:6" ht="16.5" customHeight="1">
      <c r="A117" s="60" t="s">
        <v>201</v>
      </c>
      <c r="B117" s="60" t="s">
        <v>392</v>
      </c>
      <c r="C117" s="61">
        <v>43</v>
      </c>
      <c r="D117" s="61">
        <v>4</v>
      </c>
      <c r="E117" s="61">
        <v>3253</v>
      </c>
      <c r="F117" s="62">
        <f t="shared" si="1"/>
        <v>271</v>
      </c>
    </row>
    <row r="118" spans="1:6" ht="16.5" customHeight="1">
      <c r="A118" s="60" t="s">
        <v>223</v>
      </c>
      <c r="B118" s="60" t="s">
        <v>224</v>
      </c>
      <c r="C118" s="61">
        <v>4</v>
      </c>
      <c r="D118" s="61">
        <v>3</v>
      </c>
      <c r="E118" s="61">
        <v>368</v>
      </c>
      <c r="F118" s="62">
        <f t="shared" si="1"/>
        <v>31</v>
      </c>
    </row>
    <row r="119" spans="1:6" ht="16.5" customHeight="1">
      <c r="A119" s="60" t="s">
        <v>231</v>
      </c>
      <c r="B119" s="60" t="s">
        <v>232</v>
      </c>
      <c r="C119" s="61">
        <v>15</v>
      </c>
      <c r="D119" s="61">
        <v>2</v>
      </c>
      <c r="E119" s="61">
        <v>2399</v>
      </c>
      <c r="F119" s="62">
        <f t="shared" si="1"/>
        <v>200</v>
      </c>
    </row>
    <row r="120" spans="1:6" ht="16.5" customHeight="1">
      <c r="A120" s="60" t="s">
        <v>239</v>
      </c>
      <c r="B120" s="60" t="s">
        <v>240</v>
      </c>
      <c r="C120" s="61">
        <v>1</v>
      </c>
      <c r="D120" s="61">
        <v>0</v>
      </c>
      <c r="E120" s="61">
        <v>80</v>
      </c>
      <c r="F120" s="62">
        <f t="shared" si="1"/>
        <v>7</v>
      </c>
    </row>
    <row r="121" spans="1:6" ht="16.5" customHeight="1">
      <c r="A121" s="60" t="s">
        <v>241</v>
      </c>
      <c r="B121" s="60" t="s">
        <v>242</v>
      </c>
      <c r="C121" s="61">
        <v>5</v>
      </c>
      <c r="D121" s="61">
        <v>3</v>
      </c>
      <c r="E121" s="61">
        <v>492</v>
      </c>
      <c r="F121" s="62">
        <f t="shared" si="1"/>
        <v>41</v>
      </c>
    </row>
    <row r="122" spans="1:6">
      <c r="C122" s="62">
        <f>SUM(C2:C121)</f>
        <v>606</v>
      </c>
      <c r="D122" s="62">
        <f>SUM(D2:D121)</f>
        <v>180</v>
      </c>
      <c r="E122" s="62">
        <f>SUM(E2:E121)</f>
        <v>62001</v>
      </c>
      <c r="F122" s="62">
        <f>SUM(F2:F121)</f>
        <v>5166</v>
      </c>
    </row>
    <row r="123" spans="1:6">
      <c r="C123" s="62">
        <f>+C122/12</f>
        <v>50.5</v>
      </c>
      <c r="D123" s="62">
        <f>+D122/12</f>
        <v>15</v>
      </c>
      <c r="E123" s="62">
        <f>+E122/12</f>
        <v>5166.75</v>
      </c>
    </row>
    <row r="124" spans="1:6" ht="12.75" customHeight="1">
      <c r="A124" s="1348" t="s">
        <v>815</v>
      </c>
      <c r="B124" s="1348"/>
      <c r="C124" s="1349"/>
    </row>
    <row r="125" spans="1:6">
      <c r="A125" s="62" t="s">
        <v>816</v>
      </c>
    </row>
  </sheetData>
  <mergeCells count="1">
    <mergeCell ref="A124:C124"/>
  </mergeCells>
  <pageMargins left="0.75" right="0.75" top="1" bottom="1" header="0.5" footer="0.5"/>
  <pageSetup orientation="portrait" r:id="rId1"/>
</worksheet>
</file>

<file path=xl/worksheets/sheet21.xml><?xml version="1.0" encoding="utf-8"?>
<worksheet xmlns="http://schemas.openxmlformats.org/spreadsheetml/2006/main" xmlns:r="http://schemas.openxmlformats.org/officeDocument/2006/relationships">
  <dimension ref="A1:E130"/>
  <sheetViews>
    <sheetView workbookViewId="0">
      <pane ySplit="5" topLeftCell="A93" activePane="bottomLeft" state="frozen"/>
      <selection pane="bottomLeft" activeCell="B13" sqref="B13"/>
    </sheetView>
  </sheetViews>
  <sheetFormatPr defaultRowHeight="12.75"/>
  <cols>
    <col min="1" max="1" width="4.375" style="654" customWidth="1"/>
    <col min="2" max="2" width="26.875" style="654" customWidth="1"/>
    <col min="3" max="16384" width="9" style="654"/>
  </cols>
  <sheetData>
    <row r="1" spans="1:5" ht="15.75">
      <c r="A1" s="108" t="s">
        <v>1021</v>
      </c>
      <c r="B1" s="108"/>
    </row>
    <row r="2" spans="1:5" ht="15.75">
      <c r="A2" s="108"/>
      <c r="B2" s="108"/>
    </row>
    <row r="4" spans="1:5">
      <c r="A4" s="730" t="s">
        <v>4</v>
      </c>
      <c r="B4" s="730"/>
      <c r="C4" s="730" t="s">
        <v>2</v>
      </c>
      <c r="D4" s="730" t="s">
        <v>667</v>
      </c>
      <c r="E4" s="730" t="s">
        <v>852</v>
      </c>
    </row>
    <row r="5" spans="1:5">
      <c r="A5" s="732">
        <v>999</v>
      </c>
      <c r="B5" s="732" t="s">
        <v>9</v>
      </c>
      <c r="C5" s="1090">
        <f>SUM(C6:C125)</f>
        <v>4357</v>
      </c>
      <c r="D5" s="1090">
        <f>SUM(D6:D125)</f>
        <v>2807</v>
      </c>
      <c r="E5" s="1090">
        <f>SUM(E6:E125)</f>
        <v>713</v>
      </c>
    </row>
    <row r="6" spans="1:5">
      <c r="A6" s="731" t="s">
        <v>10</v>
      </c>
      <c r="B6" s="727" t="s">
        <v>11</v>
      </c>
      <c r="C6" s="1091">
        <v>4</v>
      </c>
      <c r="D6" s="1091">
        <v>9</v>
      </c>
      <c r="E6" s="1091">
        <v>2</v>
      </c>
    </row>
    <row r="7" spans="1:5">
      <c r="A7" s="731" t="s">
        <v>12</v>
      </c>
      <c r="B7" s="727" t="s">
        <v>13</v>
      </c>
      <c r="C7" s="1091">
        <v>46</v>
      </c>
      <c r="D7" s="1091">
        <v>21</v>
      </c>
      <c r="E7" s="1091">
        <v>10</v>
      </c>
    </row>
    <row r="8" spans="1:5">
      <c r="A8" s="731" t="s">
        <v>16</v>
      </c>
      <c r="B8" s="727" t="s">
        <v>364</v>
      </c>
      <c r="C8" s="1091">
        <v>21</v>
      </c>
      <c r="D8" s="1091">
        <v>5</v>
      </c>
      <c r="E8" s="1091">
        <v>3</v>
      </c>
    </row>
    <row r="9" spans="1:5">
      <c r="A9" s="731" t="s">
        <v>18</v>
      </c>
      <c r="B9" s="727" t="s">
        <v>19</v>
      </c>
      <c r="C9" s="1091">
        <v>3</v>
      </c>
      <c r="D9" s="1091">
        <v>2</v>
      </c>
      <c r="E9" s="1092">
        <v>0</v>
      </c>
    </row>
    <row r="10" spans="1:5">
      <c r="A10" s="731" t="s">
        <v>20</v>
      </c>
      <c r="B10" s="727" t="s">
        <v>21</v>
      </c>
      <c r="C10" s="1091">
        <v>22</v>
      </c>
      <c r="D10" s="1091">
        <v>7</v>
      </c>
      <c r="E10" s="1091">
        <v>6</v>
      </c>
    </row>
    <row r="11" spans="1:5">
      <c r="A11" s="731" t="s">
        <v>22</v>
      </c>
      <c r="B11" s="727" t="s">
        <v>23</v>
      </c>
      <c r="C11" s="1091">
        <v>5</v>
      </c>
      <c r="D11" s="1091">
        <v>3</v>
      </c>
      <c r="E11" s="1091">
        <v>2</v>
      </c>
    </row>
    <row r="12" spans="1:5">
      <c r="A12" s="731" t="s">
        <v>24</v>
      </c>
      <c r="B12" s="727" t="s">
        <v>25</v>
      </c>
      <c r="C12" s="1091">
        <v>57</v>
      </c>
      <c r="D12" s="1091">
        <v>66</v>
      </c>
      <c r="E12" s="1091">
        <v>12</v>
      </c>
    </row>
    <row r="13" spans="1:5">
      <c r="A13" s="731" t="s">
        <v>26</v>
      </c>
      <c r="B13" s="727" t="s">
        <v>1114</v>
      </c>
      <c r="C13" s="1091">
        <v>85</v>
      </c>
      <c r="D13" s="1091">
        <v>9</v>
      </c>
      <c r="E13" s="1091">
        <v>4</v>
      </c>
    </row>
    <row r="14" spans="1:5">
      <c r="A14" s="731" t="s">
        <v>27</v>
      </c>
      <c r="B14" s="727" t="s">
        <v>28</v>
      </c>
      <c r="C14" s="1091">
        <v>1</v>
      </c>
      <c r="D14" s="1092">
        <v>0</v>
      </c>
      <c r="E14" s="1092">
        <v>0</v>
      </c>
    </row>
    <row r="15" spans="1:5">
      <c r="A15" s="731" t="s">
        <v>29</v>
      </c>
      <c r="B15" s="727" t="s">
        <v>386</v>
      </c>
      <c r="C15" s="1091">
        <v>83</v>
      </c>
      <c r="D15" s="1091">
        <v>12</v>
      </c>
      <c r="E15" s="1091">
        <v>6</v>
      </c>
    </row>
    <row r="16" spans="1:5">
      <c r="A16" s="731" t="s">
        <v>31</v>
      </c>
      <c r="B16" s="727" t="s">
        <v>32</v>
      </c>
      <c r="C16" s="1091">
        <v>25</v>
      </c>
      <c r="D16" s="1091">
        <v>3</v>
      </c>
      <c r="E16" s="1092">
        <v>0</v>
      </c>
    </row>
    <row r="17" spans="1:5">
      <c r="A17" s="731" t="s">
        <v>33</v>
      </c>
      <c r="B17" s="727" t="s">
        <v>34</v>
      </c>
      <c r="C17" s="1091">
        <v>23</v>
      </c>
      <c r="D17" s="1091">
        <v>1</v>
      </c>
      <c r="E17" s="1091">
        <v>3</v>
      </c>
    </row>
    <row r="18" spans="1:5">
      <c r="A18" s="731" t="s">
        <v>37</v>
      </c>
      <c r="B18" s="727" t="s">
        <v>38</v>
      </c>
      <c r="C18" s="1091">
        <v>3</v>
      </c>
      <c r="D18" s="1091">
        <v>3</v>
      </c>
      <c r="E18" s="1091">
        <v>4</v>
      </c>
    </row>
    <row r="19" spans="1:5">
      <c r="A19" s="731" t="s">
        <v>39</v>
      </c>
      <c r="B19" s="727" t="s">
        <v>40</v>
      </c>
      <c r="C19" s="1091">
        <v>89</v>
      </c>
      <c r="D19" s="1091">
        <v>2</v>
      </c>
      <c r="E19" s="1091">
        <v>2</v>
      </c>
    </row>
    <row r="20" spans="1:5">
      <c r="A20" s="731" t="s">
        <v>41</v>
      </c>
      <c r="B20" s="727" t="s">
        <v>42</v>
      </c>
      <c r="C20" s="1091">
        <v>5</v>
      </c>
      <c r="D20" s="1091">
        <v>5</v>
      </c>
      <c r="E20" s="1091">
        <v>1</v>
      </c>
    </row>
    <row r="21" spans="1:5">
      <c r="A21" s="731" t="s">
        <v>43</v>
      </c>
      <c r="B21" s="727" t="s">
        <v>44</v>
      </c>
      <c r="C21" s="1091">
        <v>31</v>
      </c>
      <c r="D21" s="1091">
        <v>7</v>
      </c>
      <c r="E21" s="1091">
        <v>5</v>
      </c>
    </row>
    <row r="22" spans="1:5">
      <c r="A22" s="731" t="s">
        <v>45</v>
      </c>
      <c r="B22" s="727" t="s">
        <v>46</v>
      </c>
      <c r="C22" s="1091">
        <v>9</v>
      </c>
      <c r="D22" s="1091">
        <v>12</v>
      </c>
      <c r="E22" s="1091">
        <v>3</v>
      </c>
    </row>
    <row r="23" spans="1:5">
      <c r="A23" s="731" t="s">
        <v>47</v>
      </c>
      <c r="B23" s="727" t="s">
        <v>48</v>
      </c>
      <c r="C23" s="1091">
        <v>60</v>
      </c>
      <c r="D23" s="1091">
        <v>4</v>
      </c>
      <c r="E23" s="1091">
        <v>4</v>
      </c>
    </row>
    <row r="24" spans="1:5">
      <c r="A24" s="731" t="s">
        <v>49</v>
      </c>
      <c r="B24" s="727" t="s">
        <v>279</v>
      </c>
      <c r="C24" s="1091">
        <v>1</v>
      </c>
      <c r="D24" s="1091">
        <v>1</v>
      </c>
      <c r="E24" s="1091">
        <v>1</v>
      </c>
    </row>
    <row r="25" spans="1:5">
      <c r="A25" s="731" t="s">
        <v>51</v>
      </c>
      <c r="B25" s="727" t="s">
        <v>52</v>
      </c>
      <c r="C25" s="1091">
        <v>7</v>
      </c>
      <c r="D25" s="1091">
        <v>3</v>
      </c>
      <c r="E25" s="1091">
        <v>2</v>
      </c>
    </row>
    <row r="26" spans="1:5">
      <c r="A26" s="731" t="s">
        <v>57</v>
      </c>
      <c r="B26" s="727" t="s">
        <v>362</v>
      </c>
      <c r="C26" s="1091">
        <v>62</v>
      </c>
      <c r="D26" s="1091">
        <v>31</v>
      </c>
      <c r="E26" s="1091">
        <v>16</v>
      </c>
    </row>
    <row r="27" spans="1:5">
      <c r="A27" s="731" t="s">
        <v>59</v>
      </c>
      <c r="B27" s="727" t="s">
        <v>60</v>
      </c>
      <c r="C27" s="1091">
        <v>9</v>
      </c>
      <c r="D27" s="1091">
        <v>4</v>
      </c>
      <c r="E27" s="1091">
        <v>2</v>
      </c>
    </row>
    <row r="28" spans="1:5">
      <c r="A28" s="731" t="s">
        <v>61</v>
      </c>
      <c r="B28" s="727" t="s">
        <v>62</v>
      </c>
      <c r="C28" s="1091">
        <v>11</v>
      </c>
      <c r="D28" s="1092">
        <v>0</v>
      </c>
      <c r="E28" s="1091">
        <v>1</v>
      </c>
    </row>
    <row r="29" spans="1:5">
      <c r="A29" s="731" t="s">
        <v>63</v>
      </c>
      <c r="B29" s="727" t="s">
        <v>64</v>
      </c>
      <c r="C29" s="1091">
        <v>34</v>
      </c>
      <c r="D29" s="1091">
        <v>11</v>
      </c>
      <c r="E29" s="1091">
        <v>7</v>
      </c>
    </row>
    <row r="30" spans="1:5">
      <c r="A30" s="731" t="s">
        <v>65</v>
      </c>
      <c r="B30" s="727" t="s">
        <v>66</v>
      </c>
      <c r="C30" s="1091">
        <v>4</v>
      </c>
      <c r="D30" s="1091">
        <v>1</v>
      </c>
      <c r="E30" s="1091">
        <v>2</v>
      </c>
    </row>
    <row r="31" spans="1:5">
      <c r="A31" s="731" t="s">
        <v>69</v>
      </c>
      <c r="B31" s="727" t="s">
        <v>70</v>
      </c>
      <c r="C31" s="1091">
        <v>101</v>
      </c>
      <c r="D31" s="1091">
        <v>4</v>
      </c>
      <c r="E31" s="1091">
        <v>2</v>
      </c>
    </row>
    <row r="32" spans="1:5">
      <c r="A32" s="731" t="s">
        <v>71</v>
      </c>
      <c r="B32" s="727" t="s">
        <v>72</v>
      </c>
      <c r="C32" s="1091">
        <v>7</v>
      </c>
      <c r="D32" s="1091">
        <v>10</v>
      </c>
      <c r="E32" s="1091">
        <v>2</v>
      </c>
    </row>
    <row r="33" spans="1:5">
      <c r="A33" s="731" t="s">
        <v>73</v>
      </c>
      <c r="B33" s="727" t="s">
        <v>74</v>
      </c>
      <c r="C33" s="1091">
        <v>6</v>
      </c>
      <c r="D33" s="1091">
        <v>6</v>
      </c>
      <c r="E33" s="1091">
        <v>2</v>
      </c>
    </row>
    <row r="34" spans="1:5">
      <c r="A34" s="731" t="s">
        <v>75</v>
      </c>
      <c r="B34" s="727" t="s">
        <v>369</v>
      </c>
      <c r="C34" s="1091">
        <v>198</v>
      </c>
      <c r="D34" s="1091">
        <v>140</v>
      </c>
      <c r="E34" s="1091">
        <v>47</v>
      </c>
    </row>
    <row r="35" spans="1:5">
      <c r="A35" s="731" t="s">
        <v>77</v>
      </c>
      <c r="B35" s="727" t="s">
        <v>78</v>
      </c>
      <c r="C35" s="1091">
        <v>39</v>
      </c>
      <c r="D35" s="1091">
        <v>18</v>
      </c>
      <c r="E35" s="1091">
        <v>10</v>
      </c>
    </row>
    <row r="36" spans="1:5">
      <c r="A36" s="731" t="s">
        <v>79</v>
      </c>
      <c r="B36" s="727" t="s">
        <v>80</v>
      </c>
      <c r="C36" s="1091">
        <v>25</v>
      </c>
      <c r="D36" s="1091">
        <v>2</v>
      </c>
      <c r="E36" s="1092">
        <v>0</v>
      </c>
    </row>
    <row r="37" spans="1:5">
      <c r="A37" s="731" t="s">
        <v>81</v>
      </c>
      <c r="B37" s="727" t="s">
        <v>82</v>
      </c>
      <c r="C37" s="1091">
        <v>22</v>
      </c>
      <c r="D37" s="1091">
        <v>4</v>
      </c>
      <c r="E37" s="1092">
        <v>0</v>
      </c>
    </row>
    <row r="38" spans="1:5">
      <c r="A38" s="731" t="s">
        <v>85</v>
      </c>
      <c r="B38" s="727" t="s">
        <v>387</v>
      </c>
      <c r="C38" s="1091">
        <v>105</v>
      </c>
      <c r="D38" s="1091">
        <v>11</v>
      </c>
      <c r="E38" s="1091">
        <v>7</v>
      </c>
    </row>
    <row r="39" spans="1:5">
      <c r="A39" s="731" t="s">
        <v>87</v>
      </c>
      <c r="B39" s="727" t="s">
        <v>88</v>
      </c>
      <c r="C39" s="1091">
        <v>39</v>
      </c>
      <c r="D39" s="1091">
        <v>5</v>
      </c>
      <c r="E39" s="1091">
        <v>13</v>
      </c>
    </row>
    <row r="40" spans="1:5">
      <c r="A40" s="731" t="s">
        <v>93</v>
      </c>
      <c r="B40" s="727" t="s">
        <v>94</v>
      </c>
      <c r="C40" s="1091">
        <v>61</v>
      </c>
      <c r="D40" s="1092">
        <v>0</v>
      </c>
      <c r="E40" s="1091">
        <v>1</v>
      </c>
    </row>
    <row r="41" spans="1:5">
      <c r="A41" s="731" t="s">
        <v>95</v>
      </c>
      <c r="B41" s="727" t="s">
        <v>96</v>
      </c>
      <c r="C41" s="1091">
        <v>35</v>
      </c>
      <c r="D41" s="1091">
        <v>3</v>
      </c>
      <c r="E41" s="1091">
        <v>2</v>
      </c>
    </row>
    <row r="42" spans="1:5">
      <c r="A42" s="731" t="s">
        <v>97</v>
      </c>
      <c r="B42" s="727" t="s">
        <v>98</v>
      </c>
      <c r="C42" s="1091">
        <v>16</v>
      </c>
      <c r="D42" s="1091">
        <v>5</v>
      </c>
      <c r="E42" s="1091">
        <v>2</v>
      </c>
    </row>
    <row r="43" spans="1:5">
      <c r="A43" s="731" t="s">
        <v>99</v>
      </c>
      <c r="B43" s="727" t="s">
        <v>100</v>
      </c>
      <c r="C43" s="1091">
        <v>30</v>
      </c>
      <c r="D43" s="1091">
        <v>3</v>
      </c>
      <c r="E43" s="1091">
        <v>1</v>
      </c>
    </row>
    <row r="44" spans="1:5">
      <c r="A44" s="731" t="s">
        <v>101</v>
      </c>
      <c r="B44" s="727" t="s">
        <v>102</v>
      </c>
      <c r="C44" s="1091">
        <v>8</v>
      </c>
      <c r="D44" s="1091">
        <v>2</v>
      </c>
      <c r="E44" s="1091">
        <v>3</v>
      </c>
    </row>
    <row r="45" spans="1:5">
      <c r="A45" s="731" t="s">
        <v>103</v>
      </c>
      <c r="B45" s="727" t="s">
        <v>104</v>
      </c>
      <c r="C45" s="1091">
        <v>3</v>
      </c>
      <c r="D45" s="1091">
        <v>11</v>
      </c>
      <c r="E45" s="1091">
        <v>1</v>
      </c>
    </row>
    <row r="46" spans="1:5">
      <c r="A46" s="731" t="s">
        <v>105</v>
      </c>
      <c r="B46" s="727" t="s">
        <v>388</v>
      </c>
      <c r="C46" s="1091">
        <v>32</v>
      </c>
      <c r="D46" s="1091">
        <v>28</v>
      </c>
      <c r="E46" s="1091">
        <v>3</v>
      </c>
    </row>
    <row r="47" spans="1:5">
      <c r="A47" s="731" t="s">
        <v>109</v>
      </c>
      <c r="B47" s="727" t="s">
        <v>110</v>
      </c>
      <c r="C47" s="1091">
        <v>31</v>
      </c>
      <c r="D47" s="1091">
        <v>6</v>
      </c>
      <c r="E47" s="1091">
        <v>1</v>
      </c>
    </row>
    <row r="48" spans="1:5">
      <c r="A48" s="731" t="s">
        <v>111</v>
      </c>
      <c r="B48" s="727" t="s">
        <v>112</v>
      </c>
      <c r="C48" s="1091">
        <v>41</v>
      </c>
      <c r="D48" s="1091">
        <v>50</v>
      </c>
      <c r="E48" s="1091">
        <v>14</v>
      </c>
    </row>
    <row r="49" spans="1:5">
      <c r="A49" s="731" t="s">
        <v>113</v>
      </c>
      <c r="B49" s="727" t="s">
        <v>367</v>
      </c>
      <c r="C49" s="1091">
        <v>33</v>
      </c>
      <c r="D49" s="1091">
        <v>15</v>
      </c>
      <c r="E49" s="1091">
        <v>9</v>
      </c>
    </row>
    <row r="50" spans="1:5">
      <c r="A50" s="731" t="s">
        <v>115</v>
      </c>
      <c r="B50" s="727" t="s">
        <v>116</v>
      </c>
      <c r="C50" s="1091">
        <v>7</v>
      </c>
      <c r="D50" s="1092">
        <v>0</v>
      </c>
      <c r="E50" s="1092">
        <v>0</v>
      </c>
    </row>
    <row r="51" spans="1:5">
      <c r="A51" s="731" t="s">
        <v>119</v>
      </c>
      <c r="B51" s="727" t="s">
        <v>120</v>
      </c>
      <c r="C51" s="1091">
        <v>4</v>
      </c>
      <c r="D51" s="1091">
        <v>8</v>
      </c>
      <c r="E51" s="1091">
        <v>1</v>
      </c>
    </row>
    <row r="52" spans="1:5">
      <c r="A52" s="731" t="s">
        <v>121</v>
      </c>
      <c r="B52" s="727" t="s">
        <v>122</v>
      </c>
      <c r="C52" s="1091">
        <v>17</v>
      </c>
      <c r="D52" s="1091">
        <v>4</v>
      </c>
      <c r="E52" s="1091">
        <v>5</v>
      </c>
    </row>
    <row r="53" spans="1:5">
      <c r="A53" s="731" t="s">
        <v>123</v>
      </c>
      <c r="B53" s="727" t="s">
        <v>284</v>
      </c>
      <c r="C53" s="1091">
        <v>4</v>
      </c>
      <c r="D53" s="1091">
        <v>8</v>
      </c>
      <c r="E53" s="1092">
        <v>0</v>
      </c>
    </row>
    <row r="54" spans="1:5">
      <c r="A54" s="731" t="s">
        <v>125</v>
      </c>
      <c r="B54" s="727" t="s">
        <v>126</v>
      </c>
      <c r="C54" s="1091">
        <v>30</v>
      </c>
      <c r="D54" s="1091">
        <v>12</v>
      </c>
      <c r="E54" s="1091">
        <v>1</v>
      </c>
    </row>
    <row r="55" spans="1:5">
      <c r="A55" s="731" t="s">
        <v>127</v>
      </c>
      <c r="B55" s="727" t="s">
        <v>128</v>
      </c>
      <c r="C55" s="1091">
        <v>1</v>
      </c>
      <c r="D55" s="1091">
        <v>2</v>
      </c>
      <c r="E55" s="1092">
        <v>0</v>
      </c>
    </row>
    <row r="56" spans="1:5">
      <c r="A56" s="731" t="s">
        <v>129</v>
      </c>
      <c r="B56" s="727" t="s">
        <v>130</v>
      </c>
      <c r="C56" s="1091">
        <v>8</v>
      </c>
      <c r="D56" s="1091">
        <v>9</v>
      </c>
      <c r="E56" s="1092">
        <v>0</v>
      </c>
    </row>
    <row r="57" spans="1:5">
      <c r="A57" s="731" t="s">
        <v>131</v>
      </c>
      <c r="B57" s="727" t="s">
        <v>132</v>
      </c>
      <c r="C57" s="1091">
        <v>74</v>
      </c>
      <c r="D57" s="1092">
        <v>0</v>
      </c>
      <c r="E57" s="1092">
        <v>0</v>
      </c>
    </row>
    <row r="58" spans="1:5">
      <c r="A58" s="731" t="s">
        <v>133</v>
      </c>
      <c r="B58" s="727" t="s">
        <v>134</v>
      </c>
      <c r="C58" s="1091">
        <v>51</v>
      </c>
      <c r="D58" s="1091">
        <v>24</v>
      </c>
      <c r="E58" s="1091">
        <v>23</v>
      </c>
    </row>
    <row r="59" spans="1:5">
      <c r="A59" s="731" t="s">
        <v>135</v>
      </c>
      <c r="B59" s="727" t="s">
        <v>136</v>
      </c>
      <c r="C59" s="1091">
        <v>47</v>
      </c>
      <c r="D59" s="1091">
        <v>16</v>
      </c>
      <c r="E59" s="1091">
        <v>7</v>
      </c>
    </row>
    <row r="60" spans="1:5">
      <c r="A60" s="731" t="s">
        <v>137</v>
      </c>
      <c r="B60" s="727" t="s">
        <v>138</v>
      </c>
      <c r="C60" s="1091">
        <v>3</v>
      </c>
      <c r="D60" s="1091">
        <v>22</v>
      </c>
      <c r="E60" s="1091">
        <v>2</v>
      </c>
    </row>
    <row r="61" spans="1:5">
      <c r="A61" s="731" t="s">
        <v>141</v>
      </c>
      <c r="B61" s="727" t="s">
        <v>142</v>
      </c>
      <c r="C61" s="1091">
        <v>23</v>
      </c>
      <c r="D61" s="1091">
        <v>4</v>
      </c>
      <c r="E61" s="1092">
        <v>0</v>
      </c>
    </row>
    <row r="62" spans="1:5">
      <c r="A62" s="731" t="s">
        <v>147</v>
      </c>
      <c r="B62" s="727" t="s">
        <v>148</v>
      </c>
      <c r="C62" s="1091">
        <v>15</v>
      </c>
      <c r="D62" s="1091">
        <v>1</v>
      </c>
      <c r="E62" s="1091">
        <v>3</v>
      </c>
    </row>
    <row r="63" spans="1:5">
      <c r="A63" s="731" t="s">
        <v>149</v>
      </c>
      <c r="B63" s="727" t="s">
        <v>150</v>
      </c>
      <c r="C63" s="1091">
        <v>22</v>
      </c>
      <c r="D63" s="1091">
        <v>18</v>
      </c>
      <c r="E63" s="1091">
        <v>1</v>
      </c>
    </row>
    <row r="64" spans="1:5">
      <c r="A64" s="731" t="s">
        <v>151</v>
      </c>
      <c r="B64" s="727" t="s">
        <v>152</v>
      </c>
      <c r="C64" s="1091">
        <v>10</v>
      </c>
      <c r="D64" s="1091">
        <v>5</v>
      </c>
      <c r="E64" s="1091">
        <v>6</v>
      </c>
    </row>
    <row r="65" spans="1:5">
      <c r="A65" s="731" t="s">
        <v>153</v>
      </c>
      <c r="B65" s="727" t="s">
        <v>154</v>
      </c>
      <c r="C65" s="1091">
        <v>77</v>
      </c>
      <c r="D65" s="1091">
        <v>7</v>
      </c>
      <c r="E65" s="1091">
        <v>6</v>
      </c>
    </row>
    <row r="66" spans="1:5">
      <c r="A66" s="731" t="s">
        <v>155</v>
      </c>
      <c r="B66" s="727" t="s">
        <v>156</v>
      </c>
      <c r="C66" s="1091">
        <v>8</v>
      </c>
      <c r="D66" s="1092">
        <v>0</v>
      </c>
      <c r="E66" s="1091">
        <v>1</v>
      </c>
    </row>
    <row r="67" spans="1:5">
      <c r="A67" s="731" t="s">
        <v>157</v>
      </c>
      <c r="B67" s="727" t="s">
        <v>158</v>
      </c>
      <c r="C67" s="1091">
        <v>11</v>
      </c>
      <c r="D67" s="1092">
        <v>0</v>
      </c>
      <c r="E67" s="1092">
        <v>0</v>
      </c>
    </row>
    <row r="68" spans="1:5">
      <c r="A68" s="731" t="s">
        <v>163</v>
      </c>
      <c r="B68" s="727" t="s">
        <v>164</v>
      </c>
      <c r="C68" s="1091">
        <v>1</v>
      </c>
      <c r="D68" s="1091">
        <v>11</v>
      </c>
      <c r="E68" s="1092">
        <v>0</v>
      </c>
    </row>
    <row r="69" spans="1:5">
      <c r="A69" s="731" t="s">
        <v>165</v>
      </c>
      <c r="B69" s="727" t="s">
        <v>166</v>
      </c>
      <c r="C69" s="1091">
        <v>14</v>
      </c>
      <c r="D69" s="1091">
        <v>1</v>
      </c>
      <c r="E69" s="1092">
        <v>0</v>
      </c>
    </row>
    <row r="70" spans="1:5">
      <c r="A70" s="731" t="s">
        <v>169</v>
      </c>
      <c r="B70" s="727" t="s">
        <v>170</v>
      </c>
      <c r="C70" s="1091">
        <v>3</v>
      </c>
      <c r="D70" s="1091">
        <v>7</v>
      </c>
      <c r="E70" s="1092">
        <v>0</v>
      </c>
    </row>
    <row r="71" spans="1:5">
      <c r="A71" s="731" t="s">
        <v>171</v>
      </c>
      <c r="B71" s="727" t="s">
        <v>172</v>
      </c>
      <c r="C71" s="1091">
        <v>28</v>
      </c>
      <c r="D71" s="1091">
        <v>6</v>
      </c>
      <c r="E71" s="1091">
        <v>3</v>
      </c>
    </row>
    <row r="72" spans="1:5">
      <c r="A72" s="731" t="s">
        <v>173</v>
      </c>
      <c r="B72" s="727" t="s">
        <v>174</v>
      </c>
      <c r="C72" s="1091">
        <v>9</v>
      </c>
      <c r="D72" s="1092">
        <v>0</v>
      </c>
      <c r="E72" s="1092">
        <v>0</v>
      </c>
    </row>
    <row r="73" spans="1:5">
      <c r="A73" s="731" t="s">
        <v>175</v>
      </c>
      <c r="B73" s="727" t="s">
        <v>176</v>
      </c>
      <c r="C73" s="1091">
        <v>5</v>
      </c>
      <c r="D73" s="1092">
        <v>0</v>
      </c>
      <c r="E73" s="1092">
        <v>0</v>
      </c>
    </row>
    <row r="74" spans="1:5">
      <c r="A74" s="731" t="s">
        <v>179</v>
      </c>
      <c r="B74" s="727" t="s">
        <v>180</v>
      </c>
      <c r="C74" s="1091">
        <v>12</v>
      </c>
      <c r="D74" s="1091">
        <v>5</v>
      </c>
      <c r="E74" s="1091">
        <v>1</v>
      </c>
    </row>
    <row r="75" spans="1:5">
      <c r="A75" s="731" t="s">
        <v>183</v>
      </c>
      <c r="B75" s="727" t="s">
        <v>184</v>
      </c>
      <c r="C75" s="1091">
        <v>14</v>
      </c>
      <c r="D75" s="1091">
        <v>1</v>
      </c>
      <c r="E75" s="1091">
        <v>2</v>
      </c>
    </row>
    <row r="76" spans="1:5">
      <c r="A76" s="731" t="s">
        <v>185</v>
      </c>
      <c r="B76" s="727" t="s">
        <v>186</v>
      </c>
      <c r="C76" s="1091">
        <v>13</v>
      </c>
      <c r="D76" s="1091">
        <v>14</v>
      </c>
      <c r="E76" s="1091">
        <v>2</v>
      </c>
    </row>
    <row r="77" spans="1:5">
      <c r="A77" s="731" t="s">
        <v>187</v>
      </c>
      <c r="B77" s="727" t="s">
        <v>188</v>
      </c>
      <c r="C77" s="1091">
        <v>19</v>
      </c>
      <c r="D77" s="1091">
        <v>6</v>
      </c>
      <c r="E77" s="1092">
        <v>0</v>
      </c>
    </row>
    <row r="78" spans="1:5">
      <c r="A78" s="731" t="s">
        <v>189</v>
      </c>
      <c r="B78" s="727" t="s">
        <v>190</v>
      </c>
      <c r="C78" s="1091">
        <v>65</v>
      </c>
      <c r="D78" s="1091">
        <v>93</v>
      </c>
      <c r="E78" s="1091">
        <v>16</v>
      </c>
    </row>
    <row r="79" spans="1:5">
      <c r="A79" s="731" t="s">
        <v>191</v>
      </c>
      <c r="B79" s="727" t="s">
        <v>192</v>
      </c>
      <c r="C79" s="1091">
        <v>96</v>
      </c>
      <c r="D79" s="1091">
        <v>9</v>
      </c>
      <c r="E79" s="1091">
        <v>13</v>
      </c>
    </row>
    <row r="80" spans="1:5">
      <c r="A80" s="731" t="s">
        <v>195</v>
      </c>
      <c r="B80" s="727" t="s">
        <v>196</v>
      </c>
      <c r="C80" s="1091">
        <v>11</v>
      </c>
      <c r="D80" s="1091">
        <v>2</v>
      </c>
      <c r="E80" s="1091">
        <v>6</v>
      </c>
    </row>
    <row r="81" spans="1:5">
      <c r="A81" s="731" t="s">
        <v>199</v>
      </c>
      <c r="B81" s="727" t="s">
        <v>200</v>
      </c>
      <c r="C81" s="1091">
        <v>5</v>
      </c>
      <c r="D81" s="1091">
        <v>5</v>
      </c>
      <c r="E81" s="1091">
        <v>2</v>
      </c>
    </row>
    <row r="82" spans="1:5">
      <c r="A82" s="731" t="s">
        <v>203</v>
      </c>
      <c r="B82" s="727" t="s">
        <v>204</v>
      </c>
      <c r="C82" s="1091">
        <v>72</v>
      </c>
      <c r="D82" s="1091">
        <v>9</v>
      </c>
      <c r="E82" s="1091">
        <v>14</v>
      </c>
    </row>
    <row r="83" spans="1:5">
      <c r="A83" s="731" t="s">
        <v>205</v>
      </c>
      <c r="B83" s="727" t="s">
        <v>206</v>
      </c>
      <c r="C83" s="1091">
        <v>26</v>
      </c>
      <c r="D83" s="1092">
        <v>0</v>
      </c>
      <c r="E83" s="1091">
        <v>1</v>
      </c>
    </row>
    <row r="84" spans="1:5">
      <c r="A84" s="731" t="s">
        <v>207</v>
      </c>
      <c r="B84" s="727" t="s">
        <v>208</v>
      </c>
      <c r="C84" s="1091">
        <v>188</v>
      </c>
      <c r="D84" s="1091">
        <v>23</v>
      </c>
      <c r="E84" s="1091">
        <v>15</v>
      </c>
    </row>
    <row r="85" spans="1:5">
      <c r="A85" s="731" t="s">
        <v>209</v>
      </c>
      <c r="B85" s="727" t="s">
        <v>210</v>
      </c>
      <c r="C85" s="1091">
        <v>116</v>
      </c>
      <c r="D85" s="1091">
        <v>2</v>
      </c>
      <c r="E85" s="1091">
        <v>1</v>
      </c>
    </row>
    <row r="86" spans="1:5">
      <c r="A86" s="731" t="s">
        <v>211</v>
      </c>
      <c r="B86" s="727" t="s">
        <v>212</v>
      </c>
      <c r="C86" s="1091">
        <v>59</v>
      </c>
      <c r="D86" s="1092">
        <v>0</v>
      </c>
      <c r="E86" s="1091">
        <v>2</v>
      </c>
    </row>
    <row r="87" spans="1:5">
      <c r="A87" s="731" t="s">
        <v>213</v>
      </c>
      <c r="B87" s="727" t="s">
        <v>214</v>
      </c>
      <c r="C87" s="1091">
        <v>30</v>
      </c>
      <c r="D87" s="1091">
        <v>1</v>
      </c>
      <c r="E87" s="1091">
        <v>5</v>
      </c>
    </row>
    <row r="88" spans="1:5">
      <c r="A88" s="731" t="s">
        <v>215</v>
      </c>
      <c r="B88" s="727" t="s">
        <v>216</v>
      </c>
      <c r="C88" s="1091">
        <v>25</v>
      </c>
      <c r="D88" s="1091">
        <v>4</v>
      </c>
      <c r="E88" s="1091">
        <v>3</v>
      </c>
    </row>
    <row r="89" spans="1:5">
      <c r="A89" s="731" t="s">
        <v>217</v>
      </c>
      <c r="B89" s="727" t="s">
        <v>218</v>
      </c>
      <c r="C89" s="1091">
        <v>4</v>
      </c>
      <c r="D89" s="1091">
        <v>4</v>
      </c>
      <c r="E89" s="1092">
        <v>0</v>
      </c>
    </row>
    <row r="90" spans="1:5">
      <c r="A90" s="731" t="s">
        <v>219</v>
      </c>
      <c r="B90" s="727" t="s">
        <v>220</v>
      </c>
      <c r="C90" s="1091">
        <v>109</v>
      </c>
      <c r="D90" s="1091">
        <v>38</v>
      </c>
      <c r="E90" s="1091">
        <v>21</v>
      </c>
    </row>
    <row r="91" spans="1:5">
      <c r="A91" s="731" t="s">
        <v>221</v>
      </c>
      <c r="B91" s="727" t="s">
        <v>222</v>
      </c>
      <c r="C91" s="1091">
        <v>48</v>
      </c>
      <c r="D91" s="1091">
        <v>22</v>
      </c>
      <c r="E91" s="1091">
        <v>6</v>
      </c>
    </row>
    <row r="92" spans="1:5">
      <c r="A92" s="731" t="s">
        <v>227</v>
      </c>
      <c r="B92" s="727" t="s">
        <v>226</v>
      </c>
      <c r="C92" s="1091">
        <v>5</v>
      </c>
      <c r="D92" s="1091">
        <v>6</v>
      </c>
      <c r="E92" s="1091">
        <v>1</v>
      </c>
    </row>
    <row r="93" spans="1:5">
      <c r="A93" s="731" t="s">
        <v>229</v>
      </c>
      <c r="B93" s="727" t="s">
        <v>228</v>
      </c>
      <c r="C93" s="1091">
        <v>118</v>
      </c>
      <c r="D93" s="1091">
        <v>4</v>
      </c>
      <c r="E93" s="1091">
        <v>2</v>
      </c>
    </row>
    <row r="94" spans="1:5">
      <c r="A94" s="731" t="s">
        <v>233</v>
      </c>
      <c r="B94" s="727" t="s">
        <v>230</v>
      </c>
      <c r="C94" s="1091">
        <v>41</v>
      </c>
      <c r="D94" s="1091">
        <v>4</v>
      </c>
      <c r="E94" s="1091">
        <v>3</v>
      </c>
    </row>
    <row r="95" spans="1:5">
      <c r="A95" s="731" t="s">
        <v>235</v>
      </c>
      <c r="B95" s="727" t="s">
        <v>234</v>
      </c>
      <c r="C95" s="1091">
        <v>56</v>
      </c>
      <c r="D95" s="1091">
        <v>3</v>
      </c>
      <c r="E95" s="1091">
        <v>5</v>
      </c>
    </row>
    <row r="96" spans="1:5">
      <c r="A96" s="731" t="s">
        <v>237</v>
      </c>
      <c r="B96" s="727" t="s">
        <v>236</v>
      </c>
      <c r="C96" s="1091">
        <v>3</v>
      </c>
      <c r="D96" s="1091">
        <v>1</v>
      </c>
      <c r="E96" s="1091">
        <v>1</v>
      </c>
    </row>
    <row r="97" spans="1:5">
      <c r="A97" s="731" t="s">
        <v>243</v>
      </c>
      <c r="B97" s="727" t="s">
        <v>238</v>
      </c>
      <c r="C97" s="1091">
        <v>202</v>
      </c>
      <c r="D97" s="1091">
        <v>2</v>
      </c>
      <c r="E97" s="1091">
        <v>14</v>
      </c>
    </row>
    <row r="98" spans="1:5">
      <c r="A98" s="731" t="s">
        <v>245</v>
      </c>
      <c r="B98" s="727" t="s">
        <v>244</v>
      </c>
      <c r="C98" s="1091">
        <v>55</v>
      </c>
      <c r="D98" s="1091">
        <v>5</v>
      </c>
      <c r="E98" s="1091">
        <v>7</v>
      </c>
    </row>
    <row r="99" spans="1:5">
      <c r="A99" s="731" t="s">
        <v>247</v>
      </c>
      <c r="B99" s="727" t="s">
        <v>246</v>
      </c>
      <c r="C99" s="1091">
        <v>13</v>
      </c>
      <c r="D99" s="1091">
        <v>5</v>
      </c>
      <c r="E99" s="1091">
        <v>5</v>
      </c>
    </row>
    <row r="100" spans="1:5">
      <c r="A100" s="731" t="s">
        <v>14</v>
      </c>
      <c r="B100" s="727" t="s">
        <v>389</v>
      </c>
      <c r="C100" s="1091">
        <v>38</v>
      </c>
      <c r="D100" s="1091">
        <v>99</v>
      </c>
      <c r="E100" s="1091">
        <v>12</v>
      </c>
    </row>
    <row r="101" spans="1:5">
      <c r="A101" s="731" t="s">
        <v>35</v>
      </c>
      <c r="B101" s="727" t="s">
        <v>15</v>
      </c>
      <c r="C101" s="1091">
        <v>50</v>
      </c>
      <c r="D101" s="1091">
        <v>3</v>
      </c>
      <c r="E101" s="1091">
        <v>1</v>
      </c>
    </row>
    <row r="102" spans="1:5">
      <c r="A102" s="731" t="s">
        <v>53</v>
      </c>
      <c r="B102" s="727" t="s">
        <v>36</v>
      </c>
      <c r="C102" s="1091">
        <v>36</v>
      </c>
      <c r="D102" s="1091">
        <v>85</v>
      </c>
      <c r="E102" s="1091">
        <v>32</v>
      </c>
    </row>
    <row r="103" spans="1:5">
      <c r="A103" s="731" t="s">
        <v>55</v>
      </c>
      <c r="B103" s="727" t="s">
        <v>54</v>
      </c>
      <c r="C103" s="1091">
        <v>45</v>
      </c>
      <c r="D103" s="1091">
        <v>52</v>
      </c>
      <c r="E103" s="1091">
        <v>5</v>
      </c>
    </row>
    <row r="104" spans="1:5">
      <c r="A104" s="731" t="s">
        <v>67</v>
      </c>
      <c r="B104" s="727" t="s">
        <v>56</v>
      </c>
      <c r="C104" s="1091">
        <v>19</v>
      </c>
      <c r="D104" s="1091">
        <v>39</v>
      </c>
      <c r="E104" s="1091">
        <v>4</v>
      </c>
    </row>
    <row r="105" spans="1:5">
      <c r="A105" s="731" t="s">
        <v>83</v>
      </c>
      <c r="B105" s="727" t="s">
        <v>68</v>
      </c>
      <c r="C105" s="1091">
        <v>4</v>
      </c>
      <c r="D105" s="1091">
        <v>6</v>
      </c>
      <c r="E105" s="1092">
        <v>0</v>
      </c>
    </row>
    <row r="106" spans="1:5">
      <c r="A106" s="731" t="s">
        <v>89</v>
      </c>
      <c r="B106" s="727" t="s">
        <v>390</v>
      </c>
      <c r="C106" s="1091">
        <v>22</v>
      </c>
      <c r="D106" s="1091">
        <v>24</v>
      </c>
      <c r="E106" s="1091">
        <v>5</v>
      </c>
    </row>
    <row r="107" spans="1:5">
      <c r="A107" s="731" t="s">
        <v>91</v>
      </c>
      <c r="B107" s="727" t="s">
        <v>90</v>
      </c>
      <c r="C107" s="1091">
        <v>4</v>
      </c>
      <c r="D107" s="1092">
        <v>0</v>
      </c>
      <c r="E107" s="1091">
        <v>1</v>
      </c>
    </row>
    <row r="108" spans="1:5">
      <c r="A108" s="731" t="s">
        <v>107</v>
      </c>
      <c r="B108" s="727" t="s">
        <v>92</v>
      </c>
      <c r="C108" s="1091">
        <v>11</v>
      </c>
      <c r="D108" s="1091">
        <v>43</v>
      </c>
      <c r="E108" s="1091">
        <v>4</v>
      </c>
    </row>
    <row r="109" spans="1:5">
      <c r="A109" s="731" t="s">
        <v>117</v>
      </c>
      <c r="B109" s="727" t="s">
        <v>108</v>
      </c>
      <c r="C109" s="1091">
        <v>16</v>
      </c>
      <c r="D109" s="1091">
        <v>30</v>
      </c>
      <c r="E109" s="1091">
        <v>3</v>
      </c>
    </row>
    <row r="110" spans="1:5">
      <c r="A110" s="731" t="s">
        <v>139</v>
      </c>
      <c r="B110" s="727" t="s">
        <v>118</v>
      </c>
      <c r="C110" s="1091">
        <v>48</v>
      </c>
      <c r="D110" s="1091">
        <v>106</v>
      </c>
      <c r="E110" s="1091">
        <v>19</v>
      </c>
    </row>
    <row r="111" spans="1:5">
      <c r="A111" s="731" t="s">
        <v>143</v>
      </c>
      <c r="B111" s="727" t="s">
        <v>140</v>
      </c>
      <c r="C111" s="1091">
        <v>4</v>
      </c>
      <c r="D111" s="1091">
        <v>5</v>
      </c>
      <c r="E111" s="1092">
        <v>0</v>
      </c>
    </row>
    <row r="112" spans="1:5">
      <c r="A112" s="731" t="s">
        <v>145</v>
      </c>
      <c r="B112" s="727" t="s">
        <v>144</v>
      </c>
      <c r="C112" s="1091">
        <v>3</v>
      </c>
      <c r="D112" s="1092">
        <v>0</v>
      </c>
      <c r="E112" s="1092">
        <v>0</v>
      </c>
    </row>
    <row r="113" spans="1:5">
      <c r="A113" s="731" t="s">
        <v>159</v>
      </c>
      <c r="B113" s="727" t="s">
        <v>146</v>
      </c>
      <c r="C113" s="1091">
        <v>32</v>
      </c>
      <c r="D113" s="1091">
        <v>155</v>
      </c>
      <c r="E113" s="1091">
        <v>16</v>
      </c>
    </row>
    <row r="114" spans="1:5">
      <c r="A114" s="731" t="s">
        <v>161</v>
      </c>
      <c r="B114" s="727" t="s">
        <v>160</v>
      </c>
      <c r="C114" s="1091">
        <v>63</v>
      </c>
      <c r="D114" s="1091">
        <v>244</v>
      </c>
      <c r="E114" s="1091">
        <v>31</v>
      </c>
    </row>
    <row r="115" spans="1:5">
      <c r="A115" s="731" t="s">
        <v>167</v>
      </c>
      <c r="B115" s="727" t="s">
        <v>162</v>
      </c>
      <c r="C115" s="1091">
        <v>22</v>
      </c>
      <c r="D115" s="1091">
        <v>3</v>
      </c>
      <c r="E115" s="1091">
        <v>2</v>
      </c>
    </row>
    <row r="116" spans="1:5">
      <c r="A116" s="731" t="s">
        <v>177</v>
      </c>
      <c r="B116" s="727" t="s">
        <v>168</v>
      </c>
      <c r="C116" s="1091">
        <v>17</v>
      </c>
      <c r="D116" s="1091">
        <v>64</v>
      </c>
      <c r="E116" s="1091">
        <v>19</v>
      </c>
    </row>
    <row r="117" spans="1:5">
      <c r="A117" s="731" t="s">
        <v>181</v>
      </c>
      <c r="B117" s="727" t="s">
        <v>178</v>
      </c>
      <c r="C117" s="1091">
        <v>28</v>
      </c>
      <c r="D117" s="1091">
        <v>168</v>
      </c>
      <c r="E117" s="1091">
        <v>6</v>
      </c>
    </row>
    <row r="118" spans="1:5">
      <c r="A118" s="731" t="s">
        <v>193</v>
      </c>
      <c r="B118" s="727" t="s">
        <v>182</v>
      </c>
      <c r="C118" s="1091">
        <v>29</v>
      </c>
      <c r="D118" s="1091">
        <v>4</v>
      </c>
      <c r="E118" s="1091">
        <v>3</v>
      </c>
    </row>
    <row r="119" spans="1:5">
      <c r="A119" s="731" t="s">
        <v>197</v>
      </c>
      <c r="B119" s="727" t="s">
        <v>194</v>
      </c>
      <c r="C119" s="1091">
        <v>21</v>
      </c>
      <c r="D119" s="1091">
        <v>332</v>
      </c>
      <c r="E119" s="1091">
        <v>25</v>
      </c>
    </row>
    <row r="120" spans="1:5">
      <c r="A120" s="731" t="s">
        <v>201</v>
      </c>
      <c r="B120" s="727" t="s">
        <v>391</v>
      </c>
      <c r="C120" s="1091">
        <v>135</v>
      </c>
      <c r="D120" s="1091">
        <v>145</v>
      </c>
      <c r="E120" s="1091">
        <v>35</v>
      </c>
    </row>
    <row r="121" spans="1:5">
      <c r="A121" s="731" t="s">
        <v>314</v>
      </c>
      <c r="B121" s="727" t="s">
        <v>392</v>
      </c>
      <c r="C121" s="1091">
        <v>86</v>
      </c>
      <c r="D121" s="1091">
        <v>9</v>
      </c>
      <c r="E121" s="1091">
        <v>20</v>
      </c>
    </row>
    <row r="122" spans="1:5">
      <c r="A122" s="731" t="s">
        <v>223</v>
      </c>
      <c r="B122" s="727" t="s">
        <v>224</v>
      </c>
      <c r="C122" s="1091">
        <v>12</v>
      </c>
      <c r="D122" s="1091">
        <v>46</v>
      </c>
      <c r="E122" s="1091">
        <v>7</v>
      </c>
    </row>
    <row r="123" spans="1:5">
      <c r="A123" s="731" t="s">
        <v>231</v>
      </c>
      <c r="B123" s="727" t="s">
        <v>232</v>
      </c>
      <c r="C123" s="1091">
        <v>175</v>
      </c>
      <c r="D123" s="1091">
        <v>154</v>
      </c>
      <c r="E123" s="1091">
        <v>34</v>
      </c>
    </row>
    <row r="124" spans="1:5">
      <c r="A124" s="731" t="s">
        <v>239</v>
      </c>
      <c r="B124" s="727" t="s">
        <v>240</v>
      </c>
      <c r="C124" s="1091">
        <v>2</v>
      </c>
      <c r="D124" s="1091">
        <v>7</v>
      </c>
      <c r="E124" s="1092">
        <v>0</v>
      </c>
    </row>
    <row r="125" spans="1:5">
      <c r="A125" s="731" t="s">
        <v>241</v>
      </c>
      <c r="B125" s="727" t="s">
        <v>242</v>
      </c>
      <c r="C125" s="1091">
        <v>26</v>
      </c>
      <c r="D125" s="1091">
        <v>6</v>
      </c>
      <c r="E125" s="1091">
        <v>4</v>
      </c>
    </row>
    <row r="127" spans="1:5" s="538" customFormat="1">
      <c r="A127" s="538" t="s">
        <v>1018</v>
      </c>
      <c r="D127" s="540"/>
    </row>
    <row r="128" spans="1:5" s="538" customFormat="1"/>
    <row r="129" spans="1:2" s="519" customFormat="1">
      <c r="A129" s="519" t="s">
        <v>250</v>
      </c>
    </row>
    <row r="130" spans="1:2" s="519" customFormat="1">
      <c r="A130" s="536" t="s">
        <v>251</v>
      </c>
      <c r="B130" s="407" t="s">
        <v>252</v>
      </c>
    </row>
  </sheetData>
  <hyperlinks>
    <hyperlink ref="B130"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B1:X125"/>
  <sheetViews>
    <sheetView topLeftCell="B1" zoomScaleNormal="132" zoomScaleSheetLayoutView="132" workbookViewId="0">
      <pane xSplit="2" ySplit="4" topLeftCell="D5" activePane="bottomRight" state="frozen"/>
      <selection activeCell="B1" sqref="B1"/>
      <selection pane="topRight" activeCell="D1" sqref="D1"/>
      <selection pane="bottomLeft" activeCell="B5" sqref="B5"/>
      <selection pane="bottomRight" activeCell="D5" sqref="D5"/>
    </sheetView>
  </sheetViews>
  <sheetFormatPr defaultRowHeight="15.75"/>
  <cols>
    <col min="1" max="2" width="9" style="49"/>
    <col min="3" max="3" width="20.75" style="49" customWidth="1"/>
    <col min="4" max="4" width="13.125" style="49" customWidth="1"/>
    <col min="5" max="5" width="10.75" style="49" bestFit="1" customWidth="1"/>
    <col min="6" max="6" width="7.875" style="49" bestFit="1" customWidth="1"/>
    <col min="7" max="7" width="6.875" style="49" bestFit="1" customWidth="1"/>
    <col min="8" max="8" width="11.25" style="49" customWidth="1"/>
    <col min="9" max="9" width="7.125" style="49" bestFit="1" customWidth="1"/>
    <col min="10" max="10" width="12.625" style="49" bestFit="1" customWidth="1"/>
    <col min="11" max="11" width="6.75" style="49" customWidth="1"/>
    <col min="12" max="12" width="6.875" style="49" bestFit="1" customWidth="1"/>
    <col min="13" max="13" width="19.25" style="49" bestFit="1" customWidth="1"/>
    <col min="14" max="14" width="6.875" style="49" bestFit="1" customWidth="1"/>
    <col min="15" max="15" width="9" style="49" customWidth="1"/>
    <col min="16" max="16" width="8.625" style="49" customWidth="1"/>
    <col min="17" max="17" width="11.875" style="49" bestFit="1" customWidth="1"/>
    <col min="18" max="18" width="18.125" style="49" customWidth="1"/>
    <col min="19" max="19" width="15.625" style="49" bestFit="1" customWidth="1"/>
    <col min="20" max="20" width="18.375" style="49" customWidth="1"/>
    <col min="21" max="21" width="17.625" style="49" customWidth="1"/>
    <col min="22" max="22" width="17.5" style="49" customWidth="1"/>
    <col min="23" max="23" width="16.625" style="49" customWidth="1"/>
    <col min="24" max="24" width="10.875" style="49" bestFit="1" customWidth="1"/>
    <col min="25" max="16384" width="9" style="49"/>
  </cols>
  <sheetData>
    <row r="1" spans="2:24">
      <c r="B1" s="49">
        <v>1</v>
      </c>
      <c r="C1" s="49">
        <f>+B1+1</f>
        <v>2</v>
      </c>
      <c r="D1" s="49">
        <f t="shared" ref="D1:O1" si="0">+C1+1</f>
        <v>3</v>
      </c>
      <c r="E1" s="49">
        <f t="shared" si="0"/>
        <v>4</v>
      </c>
      <c r="F1" s="49">
        <f t="shared" si="0"/>
        <v>5</v>
      </c>
      <c r="G1" s="49">
        <f t="shared" si="0"/>
        <v>6</v>
      </c>
      <c r="H1" s="49">
        <f t="shared" si="0"/>
        <v>7</v>
      </c>
      <c r="I1" s="49">
        <f t="shared" si="0"/>
        <v>8</v>
      </c>
      <c r="J1" s="49">
        <f t="shared" si="0"/>
        <v>9</v>
      </c>
      <c r="K1" s="49">
        <f t="shared" si="0"/>
        <v>10</v>
      </c>
      <c r="L1" s="49">
        <f t="shared" si="0"/>
        <v>11</v>
      </c>
      <c r="M1" s="49">
        <f t="shared" si="0"/>
        <v>12</v>
      </c>
      <c r="N1" s="49">
        <f t="shared" si="0"/>
        <v>13</v>
      </c>
      <c r="O1" s="49">
        <f t="shared" si="0"/>
        <v>14</v>
      </c>
    </row>
    <row r="2" spans="2:24">
      <c r="B2" s="49" t="s">
        <v>777</v>
      </c>
    </row>
    <row r="3" spans="2:24">
      <c r="B3" s="49" t="s">
        <v>778</v>
      </c>
    </row>
    <row r="4" spans="2:24" s="50" customFormat="1" ht="58.5" customHeight="1">
      <c r="B4" s="50" t="s">
        <v>4</v>
      </c>
      <c r="C4" s="51" t="s">
        <v>779</v>
      </c>
      <c r="D4" s="51" t="s">
        <v>780</v>
      </c>
      <c r="E4" s="51" t="s">
        <v>675</v>
      </c>
      <c r="F4" s="51" t="s">
        <v>781</v>
      </c>
      <c r="G4" s="51" t="s">
        <v>782</v>
      </c>
      <c r="H4" s="51" t="s">
        <v>783</v>
      </c>
      <c r="I4" s="51" t="s">
        <v>784</v>
      </c>
      <c r="J4" s="51" t="s">
        <v>785</v>
      </c>
      <c r="K4" s="51" t="s">
        <v>772</v>
      </c>
      <c r="L4" s="51" t="s">
        <v>667</v>
      </c>
      <c r="M4" s="51" t="s">
        <v>786</v>
      </c>
      <c r="N4" s="51" t="s">
        <v>2</v>
      </c>
      <c r="O4" s="51" t="s">
        <v>795</v>
      </c>
      <c r="P4" s="51" t="s">
        <v>673</v>
      </c>
      <c r="Q4" s="51" t="s">
        <v>787</v>
      </c>
      <c r="R4" s="51" t="s">
        <v>788</v>
      </c>
      <c r="S4" s="51" t="s">
        <v>789</v>
      </c>
      <c r="T4" s="51" t="s">
        <v>790</v>
      </c>
      <c r="U4" s="51" t="s">
        <v>791</v>
      </c>
      <c r="V4" s="51" t="s">
        <v>792</v>
      </c>
      <c r="W4" s="51" t="s">
        <v>793</v>
      </c>
      <c r="X4" s="51" t="s">
        <v>794</v>
      </c>
    </row>
    <row r="5" spans="2:24">
      <c r="B5" s="49" t="s">
        <v>10</v>
      </c>
      <c r="C5" s="52" t="s">
        <v>11</v>
      </c>
      <c r="D5" s="52" t="s">
        <v>272</v>
      </c>
      <c r="E5" s="53">
        <v>337</v>
      </c>
      <c r="F5" s="53">
        <v>163</v>
      </c>
      <c r="G5" s="53">
        <v>172</v>
      </c>
      <c r="H5" s="53">
        <v>2</v>
      </c>
      <c r="I5" s="53">
        <v>48</v>
      </c>
      <c r="J5" s="53">
        <v>2</v>
      </c>
      <c r="K5" s="53">
        <v>0</v>
      </c>
      <c r="L5" s="53">
        <v>117</v>
      </c>
      <c r="M5" s="53">
        <v>0</v>
      </c>
      <c r="N5" s="53">
        <v>207</v>
      </c>
      <c r="O5" s="53">
        <f>+M5+K5+J5</f>
        <v>2</v>
      </c>
      <c r="P5" s="53"/>
      <c r="Q5" s="53">
        <v>13</v>
      </c>
      <c r="R5" s="53">
        <v>18</v>
      </c>
      <c r="S5" s="53">
        <v>37</v>
      </c>
      <c r="T5" s="53">
        <v>88</v>
      </c>
      <c r="U5" s="53">
        <v>73</v>
      </c>
      <c r="V5" s="53">
        <v>55</v>
      </c>
      <c r="W5" s="53">
        <v>29</v>
      </c>
      <c r="X5" s="53">
        <v>37</v>
      </c>
    </row>
    <row r="6" spans="2:24">
      <c r="B6" s="49" t="s">
        <v>12</v>
      </c>
      <c r="C6" s="52" t="s">
        <v>13</v>
      </c>
      <c r="D6" s="52" t="s">
        <v>273</v>
      </c>
      <c r="E6" s="53">
        <v>740</v>
      </c>
      <c r="F6" s="53">
        <v>336</v>
      </c>
      <c r="G6" s="53">
        <v>360</v>
      </c>
      <c r="H6" s="53">
        <v>44</v>
      </c>
      <c r="I6" s="53">
        <v>72</v>
      </c>
      <c r="J6" s="53">
        <v>0</v>
      </c>
      <c r="K6" s="53">
        <v>3</v>
      </c>
      <c r="L6" s="53">
        <v>173</v>
      </c>
      <c r="M6" s="53">
        <v>3</v>
      </c>
      <c r="N6" s="53">
        <v>458</v>
      </c>
      <c r="O6" s="53">
        <f t="shared" ref="O6:O69" si="1">+M6+K6+J6</f>
        <v>6</v>
      </c>
      <c r="P6" s="53"/>
      <c r="Q6" s="53">
        <v>135</v>
      </c>
      <c r="R6" s="53">
        <v>26</v>
      </c>
      <c r="S6" s="53">
        <v>100</v>
      </c>
      <c r="T6" s="53">
        <v>128</v>
      </c>
      <c r="U6" s="53">
        <v>104</v>
      </c>
      <c r="V6" s="53">
        <v>113</v>
      </c>
      <c r="W6" s="53">
        <v>57</v>
      </c>
      <c r="X6" s="53">
        <v>212</v>
      </c>
    </row>
    <row r="7" spans="2:24">
      <c r="B7" s="49" t="s">
        <v>14</v>
      </c>
      <c r="C7" s="52" t="s">
        <v>15</v>
      </c>
      <c r="D7" s="52" t="s">
        <v>276</v>
      </c>
      <c r="E7" s="53">
        <v>1541</v>
      </c>
      <c r="F7" s="53">
        <v>803</v>
      </c>
      <c r="G7" s="53">
        <v>721</v>
      </c>
      <c r="H7" s="53">
        <v>17</v>
      </c>
      <c r="I7" s="53">
        <v>480</v>
      </c>
      <c r="J7" s="53">
        <v>4</v>
      </c>
      <c r="K7" s="53">
        <v>30</v>
      </c>
      <c r="L7" s="53">
        <v>836</v>
      </c>
      <c r="M7" s="53">
        <v>3</v>
      </c>
      <c r="N7" s="53">
        <v>642</v>
      </c>
      <c r="O7" s="53">
        <f t="shared" si="1"/>
        <v>37</v>
      </c>
      <c r="P7" s="53"/>
      <c r="Q7" s="53">
        <v>85</v>
      </c>
      <c r="R7" s="53">
        <v>139</v>
      </c>
      <c r="S7" s="53">
        <v>273</v>
      </c>
      <c r="T7" s="53">
        <v>382</v>
      </c>
      <c r="U7" s="53">
        <v>277</v>
      </c>
      <c r="V7" s="53">
        <v>203</v>
      </c>
      <c r="W7" s="53">
        <v>89</v>
      </c>
      <c r="X7" s="53">
        <v>178</v>
      </c>
    </row>
    <row r="8" spans="2:24">
      <c r="B8" s="49" t="s">
        <v>16</v>
      </c>
      <c r="C8" s="37" t="s">
        <v>364</v>
      </c>
      <c r="D8" s="52" t="s">
        <v>273</v>
      </c>
      <c r="E8" s="54">
        <v>523</v>
      </c>
      <c r="F8" s="54">
        <v>251</v>
      </c>
      <c r="G8" s="54">
        <v>269</v>
      </c>
      <c r="H8" s="54">
        <v>3</v>
      </c>
      <c r="I8" s="54">
        <v>5</v>
      </c>
      <c r="J8" s="54">
        <v>0</v>
      </c>
      <c r="K8" s="54">
        <v>0</v>
      </c>
      <c r="L8" s="54">
        <v>65</v>
      </c>
      <c r="M8" s="54">
        <v>1</v>
      </c>
      <c r="N8" s="54">
        <v>468</v>
      </c>
      <c r="O8" s="53">
        <f t="shared" si="1"/>
        <v>1</v>
      </c>
      <c r="P8" s="54">
        <v>0</v>
      </c>
      <c r="Q8" s="54">
        <v>21</v>
      </c>
      <c r="R8" s="54">
        <v>24</v>
      </c>
      <c r="S8" s="54">
        <v>57</v>
      </c>
      <c r="T8" s="54">
        <v>84</v>
      </c>
      <c r="U8" s="54">
        <v>65</v>
      </c>
      <c r="V8" s="54">
        <v>71</v>
      </c>
      <c r="W8" s="54">
        <v>35</v>
      </c>
      <c r="X8" s="54">
        <v>187</v>
      </c>
    </row>
    <row r="9" spans="2:24">
      <c r="B9" s="49" t="s">
        <v>18</v>
      </c>
      <c r="C9" s="52" t="s">
        <v>19</v>
      </c>
      <c r="D9" s="52" t="s">
        <v>275</v>
      </c>
      <c r="E9" s="53">
        <v>158</v>
      </c>
      <c r="F9" s="53">
        <v>79</v>
      </c>
      <c r="G9" s="53">
        <v>78</v>
      </c>
      <c r="H9" s="53">
        <v>1</v>
      </c>
      <c r="I9" s="53">
        <v>2</v>
      </c>
      <c r="J9" s="53">
        <v>0</v>
      </c>
      <c r="K9" s="53">
        <v>0</v>
      </c>
      <c r="L9" s="53">
        <v>40</v>
      </c>
      <c r="M9" s="53">
        <v>0</v>
      </c>
      <c r="N9" s="53">
        <v>114</v>
      </c>
      <c r="O9" s="53">
        <f t="shared" si="1"/>
        <v>0</v>
      </c>
      <c r="P9" s="53"/>
      <c r="Q9" s="53">
        <v>5</v>
      </c>
      <c r="R9" s="53">
        <v>10</v>
      </c>
      <c r="S9" s="53">
        <v>25</v>
      </c>
      <c r="T9" s="53">
        <v>28</v>
      </c>
      <c r="U9" s="53">
        <v>32</v>
      </c>
      <c r="V9" s="53">
        <v>24</v>
      </c>
      <c r="W9" s="53">
        <v>10</v>
      </c>
      <c r="X9" s="53">
        <v>29</v>
      </c>
    </row>
    <row r="10" spans="2:24">
      <c r="B10" s="49" t="s">
        <v>20</v>
      </c>
      <c r="C10" s="52" t="s">
        <v>21</v>
      </c>
      <c r="D10" s="52" t="s">
        <v>273</v>
      </c>
      <c r="E10" s="53">
        <v>205</v>
      </c>
      <c r="F10" s="53">
        <v>95</v>
      </c>
      <c r="G10" s="53">
        <v>109</v>
      </c>
      <c r="H10" s="53">
        <v>1</v>
      </c>
      <c r="I10" s="53">
        <v>4</v>
      </c>
      <c r="J10" s="53">
        <v>3</v>
      </c>
      <c r="K10" s="53">
        <v>1</v>
      </c>
      <c r="L10" s="53">
        <v>54</v>
      </c>
      <c r="M10" s="53">
        <v>0</v>
      </c>
      <c r="N10" s="53">
        <v>161</v>
      </c>
      <c r="O10" s="53">
        <f t="shared" si="1"/>
        <v>4</v>
      </c>
      <c r="P10" s="53"/>
      <c r="Q10" s="53">
        <v>3</v>
      </c>
      <c r="R10" s="53">
        <v>13</v>
      </c>
      <c r="S10" s="53">
        <v>51</v>
      </c>
      <c r="T10" s="53">
        <v>44</v>
      </c>
      <c r="U10" s="53">
        <v>29</v>
      </c>
      <c r="V10" s="53">
        <v>32</v>
      </c>
      <c r="W10" s="53">
        <v>7</v>
      </c>
      <c r="X10" s="53">
        <v>29</v>
      </c>
    </row>
    <row r="11" spans="2:24">
      <c r="B11" s="49" t="s">
        <v>22</v>
      </c>
      <c r="C11" s="52" t="s">
        <v>23</v>
      </c>
      <c r="D11" s="52" t="s">
        <v>273</v>
      </c>
      <c r="E11" s="53">
        <v>254</v>
      </c>
      <c r="F11" s="53">
        <v>119</v>
      </c>
      <c r="G11" s="53">
        <v>128</v>
      </c>
      <c r="H11" s="53">
        <v>7</v>
      </c>
      <c r="I11" s="53">
        <v>2</v>
      </c>
      <c r="J11" s="53">
        <v>0</v>
      </c>
      <c r="K11" s="53">
        <v>0</v>
      </c>
      <c r="L11" s="53">
        <v>91</v>
      </c>
      <c r="M11" s="53">
        <v>0</v>
      </c>
      <c r="N11" s="53">
        <v>171</v>
      </c>
      <c r="O11" s="53">
        <f t="shared" si="1"/>
        <v>0</v>
      </c>
      <c r="P11" s="53"/>
      <c r="Q11" s="53">
        <v>21</v>
      </c>
      <c r="R11" s="53">
        <v>18</v>
      </c>
      <c r="S11" s="53">
        <v>43</v>
      </c>
      <c r="T11" s="53">
        <v>31</v>
      </c>
      <c r="U11" s="53">
        <v>49</v>
      </c>
      <c r="V11" s="53">
        <v>43</v>
      </c>
      <c r="W11" s="53">
        <v>26</v>
      </c>
      <c r="X11" s="53">
        <v>44</v>
      </c>
    </row>
    <row r="12" spans="2:24">
      <c r="B12" s="49" t="s">
        <v>24</v>
      </c>
      <c r="C12" s="52" t="s">
        <v>25</v>
      </c>
      <c r="D12" s="52" t="s">
        <v>276</v>
      </c>
      <c r="E12" s="53">
        <v>1234</v>
      </c>
      <c r="F12" s="53">
        <v>588</v>
      </c>
      <c r="G12" s="53">
        <v>628</v>
      </c>
      <c r="H12" s="53">
        <v>18</v>
      </c>
      <c r="I12" s="53">
        <v>577</v>
      </c>
      <c r="J12" s="53">
        <v>1</v>
      </c>
      <c r="K12" s="53">
        <v>78</v>
      </c>
      <c r="L12" s="53">
        <v>332</v>
      </c>
      <c r="M12" s="53">
        <v>0</v>
      </c>
      <c r="N12" s="53">
        <v>781</v>
      </c>
      <c r="O12" s="53">
        <f t="shared" si="1"/>
        <v>79</v>
      </c>
      <c r="P12" s="53"/>
      <c r="Q12" s="53">
        <v>72</v>
      </c>
      <c r="R12" s="53">
        <v>79</v>
      </c>
      <c r="S12" s="53">
        <v>183</v>
      </c>
      <c r="T12" s="53">
        <v>277</v>
      </c>
      <c r="U12" s="53">
        <v>234</v>
      </c>
      <c r="V12" s="53">
        <v>198</v>
      </c>
      <c r="W12" s="53">
        <v>76</v>
      </c>
      <c r="X12" s="53">
        <v>187</v>
      </c>
    </row>
    <row r="13" spans="2:24" ht="31.5">
      <c r="B13" s="49" t="s">
        <v>26</v>
      </c>
      <c r="C13" s="37" t="s">
        <v>365</v>
      </c>
      <c r="D13" s="52" t="s">
        <v>273</v>
      </c>
      <c r="E13" s="54">
        <v>3155</v>
      </c>
      <c r="F13" s="54">
        <v>1547</v>
      </c>
      <c r="G13" s="54">
        <v>1513</v>
      </c>
      <c r="H13" s="54">
        <v>95</v>
      </c>
      <c r="I13" s="54">
        <v>133</v>
      </c>
      <c r="J13" s="54">
        <v>8</v>
      </c>
      <c r="K13" s="54">
        <v>9</v>
      </c>
      <c r="L13" s="54">
        <v>419</v>
      </c>
      <c r="M13" s="54">
        <v>6</v>
      </c>
      <c r="N13" s="54">
        <v>2691</v>
      </c>
      <c r="O13" s="53">
        <f t="shared" si="1"/>
        <v>23</v>
      </c>
      <c r="P13" s="54">
        <v>0</v>
      </c>
      <c r="Q13" s="54">
        <v>190</v>
      </c>
      <c r="R13" s="54">
        <v>135</v>
      </c>
      <c r="S13" s="54">
        <v>336</v>
      </c>
      <c r="T13" s="54">
        <v>532</v>
      </c>
      <c r="U13" s="54">
        <v>485</v>
      </c>
      <c r="V13" s="54">
        <v>368</v>
      </c>
      <c r="W13" s="54">
        <v>144</v>
      </c>
      <c r="X13" s="54">
        <v>1155</v>
      </c>
    </row>
    <row r="14" spans="2:24">
      <c r="B14" s="49" t="s">
        <v>27</v>
      </c>
      <c r="C14" s="52" t="s">
        <v>28</v>
      </c>
      <c r="D14" s="52" t="s">
        <v>273</v>
      </c>
      <c r="E14" s="53">
        <v>23</v>
      </c>
      <c r="F14" s="53">
        <v>12</v>
      </c>
      <c r="G14" s="53">
        <v>11</v>
      </c>
      <c r="H14" s="53">
        <v>0</v>
      </c>
      <c r="I14" s="53">
        <v>0</v>
      </c>
      <c r="J14" s="53">
        <v>0</v>
      </c>
      <c r="K14" s="53">
        <v>0</v>
      </c>
      <c r="L14" s="53">
        <v>2</v>
      </c>
      <c r="M14" s="53">
        <v>0</v>
      </c>
      <c r="N14" s="53">
        <v>23</v>
      </c>
      <c r="O14" s="53">
        <f t="shared" si="1"/>
        <v>0</v>
      </c>
      <c r="P14" s="53"/>
      <c r="Q14" s="53">
        <v>0</v>
      </c>
      <c r="R14" s="53">
        <v>1</v>
      </c>
      <c r="S14" s="53">
        <v>5</v>
      </c>
      <c r="T14" s="53">
        <v>6</v>
      </c>
      <c r="U14" s="53">
        <v>4</v>
      </c>
      <c r="V14" s="53">
        <v>3</v>
      </c>
      <c r="W14" s="53">
        <v>1</v>
      </c>
      <c r="X14" s="53">
        <v>3</v>
      </c>
    </row>
    <row r="15" spans="2:24">
      <c r="B15" s="49" t="s">
        <v>29</v>
      </c>
      <c r="C15" s="37" t="s">
        <v>366</v>
      </c>
      <c r="D15" s="52" t="s">
        <v>273</v>
      </c>
      <c r="E15" s="54">
        <v>1072</v>
      </c>
      <c r="F15" s="54">
        <v>517</v>
      </c>
      <c r="G15" s="54">
        <v>552</v>
      </c>
      <c r="H15" s="54">
        <v>3</v>
      </c>
      <c r="I15" s="54">
        <v>13</v>
      </c>
      <c r="J15" s="54">
        <v>0</v>
      </c>
      <c r="K15" s="54">
        <v>6</v>
      </c>
      <c r="L15" s="54">
        <v>105</v>
      </c>
      <c r="M15" s="54">
        <v>1</v>
      </c>
      <c r="N15" s="54">
        <v>987</v>
      </c>
      <c r="O15" s="53">
        <f t="shared" si="1"/>
        <v>7</v>
      </c>
      <c r="P15" s="54">
        <v>0</v>
      </c>
      <c r="Q15" s="54">
        <v>17</v>
      </c>
      <c r="R15" s="54">
        <v>86</v>
      </c>
      <c r="S15" s="54">
        <v>196</v>
      </c>
      <c r="T15" s="54">
        <v>231</v>
      </c>
      <c r="U15" s="54">
        <v>174</v>
      </c>
      <c r="V15" s="54">
        <v>202</v>
      </c>
      <c r="W15" s="54">
        <v>97</v>
      </c>
      <c r="X15" s="54">
        <v>86</v>
      </c>
    </row>
    <row r="16" spans="2:24">
      <c r="B16" s="49" t="s">
        <v>31</v>
      </c>
      <c r="C16" s="52" t="s">
        <v>32</v>
      </c>
      <c r="D16" s="52" t="s">
        <v>278</v>
      </c>
      <c r="E16" s="53">
        <v>103</v>
      </c>
      <c r="F16" s="53">
        <v>52</v>
      </c>
      <c r="G16" s="53">
        <v>51</v>
      </c>
      <c r="H16" s="53">
        <v>0</v>
      </c>
      <c r="I16" s="53">
        <v>0</v>
      </c>
      <c r="J16" s="53">
        <v>0</v>
      </c>
      <c r="K16" s="53">
        <v>0</v>
      </c>
      <c r="L16" s="53">
        <v>17</v>
      </c>
      <c r="M16" s="53">
        <v>1</v>
      </c>
      <c r="N16" s="53">
        <v>91</v>
      </c>
      <c r="O16" s="53">
        <f t="shared" si="1"/>
        <v>1</v>
      </c>
      <c r="P16" s="53"/>
      <c r="Q16" s="53">
        <v>2</v>
      </c>
      <c r="R16" s="53">
        <v>6</v>
      </c>
      <c r="S16" s="53">
        <v>13</v>
      </c>
      <c r="T16" s="53">
        <v>31</v>
      </c>
      <c r="U16" s="53">
        <v>19</v>
      </c>
      <c r="V16" s="53">
        <v>27</v>
      </c>
      <c r="W16" s="53">
        <v>2</v>
      </c>
      <c r="X16" s="53">
        <v>5</v>
      </c>
    </row>
    <row r="17" spans="2:24">
      <c r="B17" s="49" t="s">
        <v>33</v>
      </c>
      <c r="C17" s="52" t="s">
        <v>34</v>
      </c>
      <c r="D17" s="52" t="s">
        <v>273</v>
      </c>
      <c r="E17" s="53">
        <v>91</v>
      </c>
      <c r="F17" s="53">
        <v>47</v>
      </c>
      <c r="G17" s="53">
        <v>44</v>
      </c>
      <c r="H17" s="53">
        <v>0</v>
      </c>
      <c r="I17" s="53">
        <v>3</v>
      </c>
      <c r="J17" s="53">
        <v>0</v>
      </c>
      <c r="K17" s="53">
        <v>0</v>
      </c>
      <c r="L17" s="53">
        <v>5</v>
      </c>
      <c r="M17" s="53">
        <v>0</v>
      </c>
      <c r="N17" s="53">
        <v>86</v>
      </c>
      <c r="O17" s="53">
        <f t="shared" si="1"/>
        <v>0</v>
      </c>
      <c r="P17" s="53"/>
      <c r="Q17" s="53">
        <v>2</v>
      </c>
      <c r="R17" s="53">
        <v>8</v>
      </c>
      <c r="S17" s="53">
        <v>15</v>
      </c>
      <c r="T17" s="53">
        <v>15</v>
      </c>
      <c r="U17" s="53">
        <v>22</v>
      </c>
      <c r="V17" s="53">
        <v>14</v>
      </c>
      <c r="W17" s="53">
        <v>4</v>
      </c>
      <c r="X17" s="53">
        <v>13</v>
      </c>
    </row>
    <row r="18" spans="2:24">
      <c r="B18" s="49" t="s">
        <v>35</v>
      </c>
      <c r="C18" s="52" t="s">
        <v>36</v>
      </c>
      <c r="D18" s="52" t="s">
        <v>278</v>
      </c>
      <c r="E18" s="53">
        <v>488</v>
      </c>
      <c r="F18" s="53">
        <v>239</v>
      </c>
      <c r="G18" s="53">
        <v>236</v>
      </c>
      <c r="H18" s="53">
        <v>13</v>
      </c>
      <c r="I18" s="53">
        <v>7</v>
      </c>
      <c r="J18" s="53">
        <v>0</v>
      </c>
      <c r="K18" s="53">
        <v>0</v>
      </c>
      <c r="L18" s="53">
        <v>31</v>
      </c>
      <c r="M18" s="53">
        <v>0</v>
      </c>
      <c r="N18" s="53">
        <v>367</v>
      </c>
      <c r="O18" s="53">
        <f t="shared" si="1"/>
        <v>0</v>
      </c>
      <c r="P18" s="53"/>
      <c r="Q18" s="53">
        <v>104</v>
      </c>
      <c r="R18" s="53">
        <v>46</v>
      </c>
      <c r="S18" s="53">
        <v>104</v>
      </c>
      <c r="T18" s="53">
        <v>109</v>
      </c>
      <c r="U18" s="53">
        <v>77</v>
      </c>
      <c r="V18" s="53">
        <v>53</v>
      </c>
      <c r="W18" s="53">
        <v>15</v>
      </c>
      <c r="X18" s="53">
        <v>84</v>
      </c>
    </row>
    <row r="19" spans="2:24">
      <c r="B19" s="49" t="s">
        <v>37</v>
      </c>
      <c r="C19" s="52" t="s">
        <v>38</v>
      </c>
      <c r="D19" s="52" t="s">
        <v>272</v>
      </c>
      <c r="E19" s="53">
        <v>58</v>
      </c>
      <c r="F19" s="53">
        <v>25</v>
      </c>
      <c r="G19" s="53">
        <v>32</v>
      </c>
      <c r="H19" s="53">
        <v>1</v>
      </c>
      <c r="I19" s="53">
        <v>0</v>
      </c>
      <c r="J19" s="53">
        <v>0</v>
      </c>
      <c r="K19" s="53">
        <v>0</v>
      </c>
      <c r="L19" s="53">
        <v>30</v>
      </c>
      <c r="M19" s="53">
        <v>1</v>
      </c>
      <c r="N19" s="53">
        <v>28</v>
      </c>
      <c r="O19" s="53">
        <f t="shared" si="1"/>
        <v>1</v>
      </c>
      <c r="P19" s="53"/>
      <c r="Q19" s="53">
        <v>2</v>
      </c>
      <c r="R19" s="53">
        <v>6</v>
      </c>
      <c r="S19" s="53">
        <v>6</v>
      </c>
      <c r="T19" s="53">
        <v>14</v>
      </c>
      <c r="U19" s="53">
        <v>8</v>
      </c>
      <c r="V19" s="53">
        <v>10</v>
      </c>
      <c r="W19" s="53">
        <v>4</v>
      </c>
      <c r="X19" s="53">
        <v>10</v>
      </c>
    </row>
    <row r="20" spans="2:24">
      <c r="B20" s="49" t="s">
        <v>39</v>
      </c>
      <c r="C20" s="52" t="s">
        <v>40</v>
      </c>
      <c r="D20" s="52" t="s">
        <v>278</v>
      </c>
      <c r="E20" s="53">
        <v>406</v>
      </c>
      <c r="F20" s="53">
        <v>187</v>
      </c>
      <c r="G20" s="53">
        <v>218</v>
      </c>
      <c r="H20" s="53">
        <v>1</v>
      </c>
      <c r="I20" s="53">
        <v>2</v>
      </c>
      <c r="J20" s="53">
        <v>0</v>
      </c>
      <c r="K20" s="53">
        <v>0</v>
      </c>
      <c r="L20" s="53">
        <v>2</v>
      </c>
      <c r="M20" s="53">
        <v>0</v>
      </c>
      <c r="N20" s="53">
        <v>403</v>
      </c>
      <c r="O20" s="53">
        <f t="shared" si="1"/>
        <v>0</v>
      </c>
      <c r="P20" s="53"/>
      <c r="Q20" s="53">
        <v>1</v>
      </c>
      <c r="R20" s="53">
        <v>43</v>
      </c>
      <c r="S20" s="53">
        <v>73</v>
      </c>
      <c r="T20" s="53">
        <v>111</v>
      </c>
      <c r="U20" s="53">
        <v>93</v>
      </c>
      <c r="V20" s="53">
        <v>44</v>
      </c>
      <c r="W20" s="53">
        <v>23</v>
      </c>
      <c r="X20" s="53">
        <v>19</v>
      </c>
    </row>
    <row r="21" spans="2:24">
      <c r="B21" s="49" t="s">
        <v>41</v>
      </c>
      <c r="C21" s="52" t="s">
        <v>42</v>
      </c>
      <c r="D21" s="52" t="s">
        <v>275</v>
      </c>
      <c r="E21" s="53">
        <v>194</v>
      </c>
      <c r="F21" s="53">
        <v>82</v>
      </c>
      <c r="G21" s="53">
        <v>110</v>
      </c>
      <c r="H21" s="53">
        <v>2</v>
      </c>
      <c r="I21" s="53">
        <v>11</v>
      </c>
      <c r="J21" s="53">
        <v>0</v>
      </c>
      <c r="K21" s="53">
        <v>1</v>
      </c>
      <c r="L21" s="53">
        <v>56</v>
      </c>
      <c r="M21" s="53">
        <v>1</v>
      </c>
      <c r="N21" s="53">
        <v>139</v>
      </c>
      <c r="O21" s="53">
        <f t="shared" si="1"/>
        <v>2</v>
      </c>
      <c r="P21" s="53"/>
      <c r="Q21" s="53">
        <v>5</v>
      </c>
      <c r="R21" s="53">
        <v>8</v>
      </c>
      <c r="S21" s="53">
        <v>29</v>
      </c>
      <c r="T21" s="53">
        <v>40</v>
      </c>
      <c r="U21" s="53">
        <v>39</v>
      </c>
      <c r="V21" s="53">
        <v>40</v>
      </c>
      <c r="W21" s="53">
        <v>17</v>
      </c>
      <c r="X21" s="53">
        <v>21</v>
      </c>
    </row>
    <row r="22" spans="2:24">
      <c r="B22" s="49" t="s">
        <v>43</v>
      </c>
      <c r="C22" s="52" t="s">
        <v>44</v>
      </c>
      <c r="D22" s="52" t="s">
        <v>273</v>
      </c>
      <c r="E22" s="53">
        <v>1302</v>
      </c>
      <c r="F22" s="53">
        <v>625</v>
      </c>
      <c r="G22" s="53">
        <v>645</v>
      </c>
      <c r="H22" s="53">
        <v>32</v>
      </c>
      <c r="I22" s="53">
        <v>31</v>
      </c>
      <c r="J22" s="53">
        <v>1</v>
      </c>
      <c r="K22" s="53">
        <v>1</v>
      </c>
      <c r="L22" s="53">
        <v>279</v>
      </c>
      <c r="M22" s="53">
        <v>2</v>
      </c>
      <c r="N22" s="53">
        <v>1065</v>
      </c>
      <c r="O22" s="53">
        <f t="shared" si="1"/>
        <v>4</v>
      </c>
      <c r="P22" s="53"/>
      <c r="Q22" s="53">
        <v>44</v>
      </c>
      <c r="R22" s="53">
        <v>65</v>
      </c>
      <c r="S22" s="53">
        <v>190</v>
      </c>
      <c r="T22" s="53">
        <v>276</v>
      </c>
      <c r="U22" s="53">
        <v>247</v>
      </c>
      <c r="V22" s="53">
        <v>213</v>
      </c>
      <c r="W22" s="53">
        <v>97</v>
      </c>
      <c r="X22" s="53">
        <v>214</v>
      </c>
    </row>
    <row r="23" spans="2:24">
      <c r="B23" s="49" t="s">
        <v>45</v>
      </c>
      <c r="C23" s="52" t="s">
        <v>46</v>
      </c>
      <c r="D23" s="52" t="s">
        <v>275</v>
      </c>
      <c r="E23" s="53">
        <v>342</v>
      </c>
      <c r="F23" s="53">
        <v>157</v>
      </c>
      <c r="G23" s="53">
        <v>170</v>
      </c>
      <c r="H23" s="53">
        <v>15</v>
      </c>
      <c r="I23" s="53">
        <v>10</v>
      </c>
      <c r="J23" s="53">
        <v>0</v>
      </c>
      <c r="K23" s="53">
        <v>1</v>
      </c>
      <c r="L23" s="53">
        <v>86</v>
      </c>
      <c r="M23" s="53">
        <v>0</v>
      </c>
      <c r="N23" s="53">
        <v>237</v>
      </c>
      <c r="O23" s="53">
        <f t="shared" si="1"/>
        <v>1</v>
      </c>
      <c r="P23" s="53"/>
      <c r="Q23" s="53">
        <v>27</v>
      </c>
      <c r="R23" s="53">
        <v>16</v>
      </c>
      <c r="S23" s="53">
        <v>35</v>
      </c>
      <c r="T23" s="53">
        <v>53</v>
      </c>
      <c r="U23" s="53">
        <v>57</v>
      </c>
      <c r="V23" s="53">
        <v>53</v>
      </c>
      <c r="W23" s="53">
        <v>17</v>
      </c>
      <c r="X23" s="53">
        <v>111</v>
      </c>
    </row>
    <row r="24" spans="2:24">
      <c r="B24" s="49" t="s">
        <v>47</v>
      </c>
      <c r="C24" s="52" t="s">
        <v>48</v>
      </c>
      <c r="D24" s="52" t="s">
        <v>278</v>
      </c>
      <c r="E24" s="53">
        <v>423</v>
      </c>
      <c r="F24" s="53">
        <v>205</v>
      </c>
      <c r="G24" s="53">
        <v>215</v>
      </c>
      <c r="H24" s="53">
        <v>3</v>
      </c>
      <c r="I24" s="53">
        <v>30</v>
      </c>
      <c r="J24" s="53">
        <v>1</v>
      </c>
      <c r="K24" s="53">
        <v>0</v>
      </c>
      <c r="L24" s="53">
        <v>3</v>
      </c>
      <c r="M24" s="53">
        <v>0</v>
      </c>
      <c r="N24" s="53">
        <v>414</v>
      </c>
      <c r="O24" s="53">
        <f t="shared" si="1"/>
        <v>1</v>
      </c>
      <c r="P24" s="53"/>
      <c r="Q24" s="53">
        <v>6</v>
      </c>
      <c r="R24" s="53">
        <v>25</v>
      </c>
      <c r="S24" s="53">
        <v>80</v>
      </c>
      <c r="T24" s="53">
        <v>83</v>
      </c>
      <c r="U24" s="53">
        <v>88</v>
      </c>
      <c r="V24" s="53">
        <v>72</v>
      </c>
      <c r="W24" s="53">
        <v>46</v>
      </c>
      <c r="X24" s="53">
        <v>29</v>
      </c>
    </row>
    <row r="25" spans="2:24">
      <c r="B25" s="49" t="s">
        <v>49</v>
      </c>
      <c r="C25" s="52" t="s">
        <v>279</v>
      </c>
      <c r="D25" s="52" t="s">
        <v>275</v>
      </c>
      <c r="E25" s="53">
        <v>43</v>
      </c>
      <c r="F25" s="53">
        <v>21</v>
      </c>
      <c r="G25" s="53">
        <v>19</v>
      </c>
      <c r="H25" s="53">
        <v>3</v>
      </c>
      <c r="I25" s="53">
        <v>0</v>
      </c>
      <c r="J25" s="53">
        <v>6</v>
      </c>
      <c r="K25" s="53">
        <v>0</v>
      </c>
      <c r="L25" s="53">
        <v>9</v>
      </c>
      <c r="M25" s="53">
        <v>0</v>
      </c>
      <c r="N25" s="53">
        <v>24</v>
      </c>
      <c r="O25" s="53">
        <f t="shared" si="1"/>
        <v>6</v>
      </c>
      <c r="P25" s="53"/>
      <c r="Q25" s="53">
        <v>6</v>
      </c>
      <c r="R25" s="53">
        <v>1</v>
      </c>
      <c r="S25" s="53">
        <v>2</v>
      </c>
      <c r="T25" s="53">
        <v>9</v>
      </c>
      <c r="U25" s="53">
        <v>8</v>
      </c>
      <c r="V25" s="53">
        <v>7</v>
      </c>
      <c r="W25" s="53">
        <v>6</v>
      </c>
      <c r="X25" s="53">
        <v>10</v>
      </c>
    </row>
    <row r="26" spans="2:24">
      <c r="B26" s="49" t="s">
        <v>51</v>
      </c>
      <c r="C26" s="52" t="s">
        <v>52</v>
      </c>
      <c r="D26" s="52" t="s">
        <v>273</v>
      </c>
      <c r="E26" s="53">
        <v>139</v>
      </c>
      <c r="F26" s="53">
        <v>63</v>
      </c>
      <c r="G26" s="53">
        <v>76</v>
      </c>
      <c r="H26" s="53">
        <v>0</v>
      </c>
      <c r="I26" s="53">
        <v>0</v>
      </c>
      <c r="J26" s="53">
        <v>0</v>
      </c>
      <c r="K26" s="53">
        <v>0</v>
      </c>
      <c r="L26" s="53">
        <v>48</v>
      </c>
      <c r="M26" s="53">
        <v>0</v>
      </c>
      <c r="N26" s="53">
        <v>101</v>
      </c>
      <c r="O26" s="53">
        <f t="shared" si="1"/>
        <v>0</v>
      </c>
      <c r="P26" s="53"/>
      <c r="Q26" s="53">
        <v>2</v>
      </c>
      <c r="R26" s="53">
        <v>9</v>
      </c>
      <c r="S26" s="53">
        <v>21</v>
      </c>
      <c r="T26" s="53">
        <v>35</v>
      </c>
      <c r="U26" s="53">
        <v>26</v>
      </c>
      <c r="V26" s="53">
        <v>26</v>
      </c>
      <c r="W26" s="53">
        <v>4</v>
      </c>
      <c r="X26" s="53">
        <v>18</v>
      </c>
    </row>
    <row r="27" spans="2:24">
      <c r="B27" s="49" t="s">
        <v>53</v>
      </c>
      <c r="C27" s="52" t="s">
        <v>54</v>
      </c>
      <c r="D27" s="52" t="s">
        <v>273</v>
      </c>
      <c r="E27" s="53">
        <v>987</v>
      </c>
      <c r="F27" s="53">
        <v>475</v>
      </c>
      <c r="G27" s="53">
        <v>477</v>
      </c>
      <c r="H27" s="53">
        <v>35</v>
      </c>
      <c r="I27" s="53">
        <v>66</v>
      </c>
      <c r="J27" s="53">
        <v>1</v>
      </c>
      <c r="K27" s="53">
        <v>20</v>
      </c>
      <c r="L27" s="53">
        <v>609</v>
      </c>
      <c r="M27" s="53">
        <v>0</v>
      </c>
      <c r="N27" s="53">
        <v>386</v>
      </c>
      <c r="O27" s="53">
        <f t="shared" si="1"/>
        <v>21</v>
      </c>
      <c r="P27" s="53"/>
      <c r="Q27" s="53">
        <v>57</v>
      </c>
      <c r="R27" s="53">
        <v>47</v>
      </c>
      <c r="S27" s="53">
        <v>164</v>
      </c>
      <c r="T27" s="53">
        <v>187</v>
      </c>
      <c r="U27" s="53">
        <v>127</v>
      </c>
      <c r="V27" s="53">
        <v>121</v>
      </c>
      <c r="W27" s="53">
        <v>56</v>
      </c>
      <c r="X27" s="53">
        <v>285</v>
      </c>
    </row>
    <row r="28" spans="2:24">
      <c r="B28" s="49" t="s">
        <v>55</v>
      </c>
      <c r="C28" s="52" t="s">
        <v>56</v>
      </c>
      <c r="D28" s="52" t="s">
        <v>272</v>
      </c>
      <c r="E28" s="53">
        <v>2358</v>
      </c>
      <c r="F28" s="53">
        <v>1143</v>
      </c>
      <c r="G28" s="53">
        <v>1172</v>
      </c>
      <c r="H28" s="53">
        <v>43</v>
      </c>
      <c r="I28" s="53">
        <v>113</v>
      </c>
      <c r="J28" s="53">
        <v>4</v>
      </c>
      <c r="K28" s="53">
        <v>39</v>
      </c>
      <c r="L28" s="53">
        <v>927</v>
      </c>
      <c r="M28" s="53">
        <v>5</v>
      </c>
      <c r="N28" s="53">
        <v>1354</v>
      </c>
      <c r="O28" s="53">
        <f t="shared" si="1"/>
        <v>48</v>
      </c>
      <c r="P28" s="53"/>
      <c r="Q28" s="53">
        <v>78</v>
      </c>
      <c r="R28" s="53">
        <v>135</v>
      </c>
      <c r="S28" s="53">
        <v>386</v>
      </c>
      <c r="T28" s="53">
        <v>496</v>
      </c>
      <c r="U28" s="53">
        <v>416</v>
      </c>
      <c r="V28" s="53">
        <v>420</v>
      </c>
      <c r="W28" s="53">
        <v>216</v>
      </c>
      <c r="X28" s="53">
        <v>289</v>
      </c>
    </row>
    <row r="29" spans="2:24" ht="31.5">
      <c r="B29" s="49" t="s">
        <v>57</v>
      </c>
      <c r="C29" s="37" t="s">
        <v>362</v>
      </c>
      <c r="D29" s="52" t="s">
        <v>275</v>
      </c>
      <c r="E29" s="54">
        <v>3302</v>
      </c>
      <c r="F29" s="54">
        <v>1677</v>
      </c>
      <c r="G29" s="54">
        <v>1567</v>
      </c>
      <c r="H29" s="54">
        <v>58</v>
      </c>
      <c r="I29" s="54">
        <v>259</v>
      </c>
      <c r="J29" s="54">
        <v>4</v>
      </c>
      <c r="K29" s="54">
        <v>46</v>
      </c>
      <c r="L29" s="54">
        <v>1057</v>
      </c>
      <c r="M29" s="54">
        <v>10</v>
      </c>
      <c r="N29" s="54">
        <v>2175</v>
      </c>
      <c r="O29" s="53">
        <f t="shared" si="1"/>
        <v>60</v>
      </c>
      <c r="P29" s="54">
        <v>0</v>
      </c>
      <c r="Q29" s="54">
        <v>142</v>
      </c>
      <c r="R29" s="54">
        <v>159</v>
      </c>
      <c r="S29" s="54">
        <v>350</v>
      </c>
      <c r="T29" s="54">
        <v>561</v>
      </c>
      <c r="U29" s="54">
        <v>592</v>
      </c>
      <c r="V29" s="54">
        <v>511</v>
      </c>
      <c r="W29" s="54">
        <v>282</v>
      </c>
      <c r="X29" s="54">
        <v>847</v>
      </c>
    </row>
    <row r="30" spans="2:24">
      <c r="B30" s="49" t="s">
        <v>59</v>
      </c>
      <c r="C30" s="52" t="s">
        <v>60</v>
      </c>
      <c r="D30" s="52" t="s">
        <v>276</v>
      </c>
      <c r="E30" s="53">
        <v>83</v>
      </c>
      <c r="F30" s="53">
        <v>47</v>
      </c>
      <c r="G30" s="53">
        <v>33</v>
      </c>
      <c r="H30" s="53">
        <v>3</v>
      </c>
      <c r="I30" s="53">
        <v>6</v>
      </c>
      <c r="J30" s="53">
        <v>3</v>
      </c>
      <c r="K30" s="53">
        <v>1</v>
      </c>
      <c r="L30" s="53">
        <v>13</v>
      </c>
      <c r="M30" s="53">
        <v>0</v>
      </c>
      <c r="N30" s="53">
        <v>58</v>
      </c>
      <c r="O30" s="53">
        <f t="shared" si="1"/>
        <v>4</v>
      </c>
      <c r="P30" s="53"/>
      <c r="Q30" s="53">
        <v>18</v>
      </c>
      <c r="R30" s="53">
        <v>6</v>
      </c>
      <c r="S30" s="53">
        <v>6</v>
      </c>
      <c r="T30" s="53">
        <v>12</v>
      </c>
      <c r="U30" s="53">
        <v>12</v>
      </c>
      <c r="V30" s="53">
        <v>20</v>
      </c>
      <c r="W30" s="53">
        <v>11</v>
      </c>
      <c r="X30" s="53">
        <v>16</v>
      </c>
    </row>
    <row r="31" spans="2:24">
      <c r="B31" s="49" t="s">
        <v>61</v>
      </c>
      <c r="C31" s="52" t="s">
        <v>62</v>
      </c>
      <c r="D31" s="52" t="s">
        <v>273</v>
      </c>
      <c r="E31" s="53">
        <v>17</v>
      </c>
      <c r="F31" s="53">
        <v>10</v>
      </c>
      <c r="G31" s="53">
        <v>7</v>
      </c>
      <c r="H31" s="53">
        <v>0</v>
      </c>
      <c r="I31" s="53">
        <v>1</v>
      </c>
      <c r="J31" s="53">
        <v>0</v>
      </c>
      <c r="K31" s="53">
        <v>0</v>
      </c>
      <c r="L31" s="53">
        <v>0</v>
      </c>
      <c r="M31" s="53">
        <v>0</v>
      </c>
      <c r="N31" s="53">
        <v>17</v>
      </c>
      <c r="O31" s="53">
        <f t="shared" si="1"/>
        <v>0</v>
      </c>
      <c r="P31" s="53"/>
      <c r="Q31" s="53">
        <v>0</v>
      </c>
      <c r="R31" s="53">
        <v>1</v>
      </c>
      <c r="S31" s="53">
        <v>0</v>
      </c>
      <c r="T31" s="53">
        <v>2</v>
      </c>
      <c r="U31" s="53">
        <v>5</v>
      </c>
      <c r="V31" s="53">
        <v>5</v>
      </c>
      <c r="W31" s="53">
        <v>1</v>
      </c>
      <c r="X31" s="53">
        <v>3</v>
      </c>
    </row>
    <row r="32" spans="2:24">
      <c r="B32" s="49" t="s">
        <v>63</v>
      </c>
      <c r="C32" s="52" t="s">
        <v>64</v>
      </c>
      <c r="D32" s="52" t="s">
        <v>276</v>
      </c>
      <c r="E32" s="53">
        <v>672</v>
      </c>
      <c r="F32" s="53">
        <v>302</v>
      </c>
      <c r="G32" s="53">
        <v>355</v>
      </c>
      <c r="H32" s="53">
        <v>15</v>
      </c>
      <c r="I32" s="53">
        <v>54</v>
      </c>
      <c r="J32" s="53">
        <v>0</v>
      </c>
      <c r="K32" s="53">
        <v>0</v>
      </c>
      <c r="L32" s="53">
        <v>91</v>
      </c>
      <c r="M32" s="53">
        <v>3</v>
      </c>
      <c r="N32" s="53">
        <v>348</v>
      </c>
      <c r="O32" s="53">
        <f t="shared" si="1"/>
        <v>3</v>
      </c>
      <c r="P32" s="53"/>
      <c r="Q32" s="53">
        <v>234</v>
      </c>
      <c r="R32" s="53">
        <v>48</v>
      </c>
      <c r="S32" s="53">
        <v>79</v>
      </c>
      <c r="T32" s="53">
        <v>112</v>
      </c>
      <c r="U32" s="53">
        <v>85</v>
      </c>
      <c r="V32" s="53">
        <v>93</v>
      </c>
      <c r="W32" s="53">
        <v>34</v>
      </c>
      <c r="X32" s="53">
        <v>221</v>
      </c>
    </row>
    <row r="33" spans="2:24">
      <c r="B33" s="49" t="s">
        <v>65</v>
      </c>
      <c r="C33" s="52" t="s">
        <v>66</v>
      </c>
      <c r="D33" s="52" t="s">
        <v>275</v>
      </c>
      <c r="E33" s="53">
        <v>175</v>
      </c>
      <c r="F33" s="53">
        <v>79</v>
      </c>
      <c r="G33" s="53">
        <v>95</v>
      </c>
      <c r="H33" s="53">
        <v>1</v>
      </c>
      <c r="I33" s="53">
        <v>5</v>
      </c>
      <c r="J33" s="53">
        <v>0</v>
      </c>
      <c r="K33" s="53">
        <v>0</v>
      </c>
      <c r="L33" s="53">
        <v>78</v>
      </c>
      <c r="M33" s="53">
        <v>1</v>
      </c>
      <c r="N33" s="53">
        <v>94</v>
      </c>
      <c r="O33" s="53">
        <f t="shared" si="1"/>
        <v>1</v>
      </c>
      <c r="P33" s="53"/>
      <c r="Q33" s="53">
        <v>6</v>
      </c>
      <c r="R33" s="53">
        <v>11</v>
      </c>
      <c r="S33" s="53">
        <v>38</v>
      </c>
      <c r="T33" s="53">
        <v>46</v>
      </c>
      <c r="U33" s="53">
        <v>34</v>
      </c>
      <c r="V33" s="53">
        <v>29</v>
      </c>
      <c r="W33" s="53">
        <v>9</v>
      </c>
      <c r="X33" s="53">
        <v>8</v>
      </c>
    </row>
    <row r="34" spans="2:24">
      <c r="B34" s="49" t="s">
        <v>67</v>
      </c>
      <c r="C34" s="52" t="s">
        <v>68</v>
      </c>
      <c r="D34" s="52" t="s">
        <v>273</v>
      </c>
      <c r="E34" s="53">
        <v>649</v>
      </c>
      <c r="F34" s="53">
        <v>319</v>
      </c>
      <c r="G34" s="53">
        <v>324</v>
      </c>
      <c r="H34" s="53">
        <v>6</v>
      </c>
      <c r="I34" s="53">
        <v>12</v>
      </c>
      <c r="J34" s="53">
        <v>2</v>
      </c>
      <c r="K34" s="53">
        <v>3</v>
      </c>
      <c r="L34" s="53">
        <v>415</v>
      </c>
      <c r="M34" s="53">
        <v>4</v>
      </c>
      <c r="N34" s="53">
        <v>217</v>
      </c>
      <c r="O34" s="53">
        <f t="shared" si="1"/>
        <v>9</v>
      </c>
      <c r="P34" s="53"/>
      <c r="Q34" s="53">
        <v>20</v>
      </c>
      <c r="R34" s="53">
        <v>64</v>
      </c>
      <c r="S34" s="53">
        <v>135</v>
      </c>
      <c r="T34" s="53">
        <v>143</v>
      </c>
      <c r="U34" s="53">
        <v>121</v>
      </c>
      <c r="V34" s="53">
        <v>97</v>
      </c>
      <c r="W34" s="53">
        <v>32</v>
      </c>
      <c r="X34" s="53">
        <v>57</v>
      </c>
    </row>
    <row r="35" spans="2:24">
      <c r="B35" s="49" t="s">
        <v>69</v>
      </c>
      <c r="C35" s="52" t="s">
        <v>70</v>
      </c>
      <c r="D35" s="52" t="s">
        <v>278</v>
      </c>
      <c r="E35" s="53">
        <v>228</v>
      </c>
      <c r="F35" s="53">
        <v>107</v>
      </c>
      <c r="G35" s="53">
        <v>119</v>
      </c>
      <c r="H35" s="53">
        <v>2</v>
      </c>
      <c r="I35" s="53">
        <v>3</v>
      </c>
      <c r="J35" s="53">
        <v>0</v>
      </c>
      <c r="K35" s="53">
        <v>0</v>
      </c>
      <c r="L35" s="53">
        <v>2</v>
      </c>
      <c r="M35" s="53">
        <v>0</v>
      </c>
      <c r="N35" s="53">
        <v>226</v>
      </c>
      <c r="O35" s="53">
        <f t="shared" si="1"/>
        <v>0</v>
      </c>
      <c r="P35" s="53"/>
      <c r="Q35" s="53">
        <v>1</v>
      </c>
      <c r="R35" s="53">
        <v>18</v>
      </c>
      <c r="S35" s="53">
        <v>52</v>
      </c>
      <c r="T35" s="53">
        <v>62</v>
      </c>
      <c r="U35" s="53">
        <v>48</v>
      </c>
      <c r="V35" s="53">
        <v>32</v>
      </c>
      <c r="W35" s="53">
        <v>11</v>
      </c>
      <c r="X35" s="53">
        <v>5</v>
      </c>
    </row>
    <row r="36" spans="2:24">
      <c r="B36" s="49" t="s">
        <v>71</v>
      </c>
      <c r="C36" s="52" t="s">
        <v>72</v>
      </c>
      <c r="D36" s="52" t="s">
        <v>272</v>
      </c>
      <c r="E36" s="53">
        <v>164</v>
      </c>
      <c r="F36" s="53">
        <v>71</v>
      </c>
      <c r="G36" s="53">
        <v>91</v>
      </c>
      <c r="H36" s="53">
        <v>2</v>
      </c>
      <c r="I36" s="53">
        <v>6</v>
      </c>
      <c r="J36" s="53">
        <v>0</v>
      </c>
      <c r="K36" s="53">
        <v>0</v>
      </c>
      <c r="L36" s="53">
        <v>49</v>
      </c>
      <c r="M36" s="53">
        <v>0</v>
      </c>
      <c r="N36" s="53">
        <v>115</v>
      </c>
      <c r="O36" s="53">
        <f t="shared" si="1"/>
        <v>0</v>
      </c>
      <c r="P36" s="53"/>
      <c r="Q36" s="53">
        <v>6</v>
      </c>
      <c r="R36" s="53">
        <v>9</v>
      </c>
      <c r="S36" s="53">
        <v>23</v>
      </c>
      <c r="T36" s="53">
        <v>22</v>
      </c>
      <c r="U36" s="53">
        <v>41</v>
      </c>
      <c r="V36" s="53">
        <v>31</v>
      </c>
      <c r="W36" s="53">
        <v>18</v>
      </c>
      <c r="X36" s="53">
        <v>20</v>
      </c>
    </row>
    <row r="37" spans="2:24">
      <c r="B37" s="49" t="s">
        <v>73</v>
      </c>
      <c r="C37" s="52" t="s">
        <v>74</v>
      </c>
      <c r="D37" s="52" t="s">
        <v>275</v>
      </c>
      <c r="E37" s="53">
        <v>126</v>
      </c>
      <c r="F37" s="53">
        <v>64</v>
      </c>
      <c r="G37" s="53">
        <v>58</v>
      </c>
      <c r="H37" s="53">
        <v>4</v>
      </c>
      <c r="I37" s="53">
        <v>2</v>
      </c>
      <c r="J37" s="53">
        <v>0</v>
      </c>
      <c r="K37" s="53">
        <v>0</v>
      </c>
      <c r="L37" s="53">
        <v>47</v>
      </c>
      <c r="M37" s="53">
        <v>0</v>
      </c>
      <c r="N37" s="53">
        <v>66</v>
      </c>
      <c r="O37" s="53">
        <f t="shared" si="1"/>
        <v>0</v>
      </c>
      <c r="P37" s="53"/>
      <c r="Q37" s="53">
        <v>15</v>
      </c>
      <c r="R37" s="53">
        <v>7</v>
      </c>
      <c r="S37" s="53">
        <v>21</v>
      </c>
      <c r="T37" s="53">
        <v>21</v>
      </c>
      <c r="U37" s="53">
        <v>14</v>
      </c>
      <c r="V37" s="53">
        <v>25</v>
      </c>
      <c r="W37" s="53">
        <v>6</v>
      </c>
      <c r="X37" s="53">
        <v>32</v>
      </c>
    </row>
    <row r="38" spans="2:24" ht="31.5">
      <c r="B38" s="49" t="s">
        <v>75</v>
      </c>
      <c r="C38" s="37" t="s">
        <v>363</v>
      </c>
      <c r="D38" s="52" t="s">
        <v>276</v>
      </c>
      <c r="E38" s="54">
        <v>7614</v>
      </c>
      <c r="F38" s="54">
        <v>3598</v>
      </c>
      <c r="G38" s="54">
        <v>3823</v>
      </c>
      <c r="H38" s="54">
        <v>193</v>
      </c>
      <c r="I38" s="54">
        <v>2484</v>
      </c>
      <c r="J38" s="54">
        <v>24</v>
      </c>
      <c r="K38" s="54">
        <v>456</v>
      </c>
      <c r="L38" s="54">
        <v>1979</v>
      </c>
      <c r="M38" s="54">
        <v>21</v>
      </c>
      <c r="N38" s="54">
        <v>5069</v>
      </c>
      <c r="O38" s="53">
        <f t="shared" si="1"/>
        <v>501</v>
      </c>
      <c r="P38" s="54">
        <v>0</v>
      </c>
      <c r="Q38" s="54">
        <v>427</v>
      </c>
      <c r="R38" s="54">
        <v>337</v>
      </c>
      <c r="S38" s="54">
        <v>940</v>
      </c>
      <c r="T38" s="54">
        <v>1622</v>
      </c>
      <c r="U38" s="54">
        <v>1449</v>
      </c>
      <c r="V38" s="54">
        <v>1363</v>
      </c>
      <c r="W38" s="54">
        <v>635</v>
      </c>
      <c r="X38" s="54">
        <v>1268</v>
      </c>
    </row>
    <row r="39" spans="2:24">
      <c r="B39" s="49" t="s">
        <v>77</v>
      </c>
      <c r="C39" s="52" t="s">
        <v>78</v>
      </c>
      <c r="D39" s="52" t="s">
        <v>276</v>
      </c>
      <c r="E39" s="53">
        <v>633</v>
      </c>
      <c r="F39" s="53">
        <v>332</v>
      </c>
      <c r="G39" s="53">
        <v>288</v>
      </c>
      <c r="H39" s="53">
        <v>13</v>
      </c>
      <c r="I39" s="53">
        <v>38</v>
      </c>
      <c r="J39" s="53">
        <v>2</v>
      </c>
      <c r="K39" s="53">
        <v>3</v>
      </c>
      <c r="L39" s="53">
        <v>154</v>
      </c>
      <c r="M39" s="53">
        <v>0</v>
      </c>
      <c r="N39" s="53">
        <v>448</v>
      </c>
      <c r="O39" s="53">
        <f t="shared" si="1"/>
        <v>5</v>
      </c>
      <c r="P39" s="53"/>
      <c r="Q39" s="53">
        <v>60</v>
      </c>
      <c r="R39" s="53">
        <v>28</v>
      </c>
      <c r="S39" s="53">
        <v>72</v>
      </c>
      <c r="T39" s="53">
        <v>124</v>
      </c>
      <c r="U39" s="53">
        <v>127</v>
      </c>
      <c r="V39" s="53">
        <v>94</v>
      </c>
      <c r="W39" s="53">
        <v>43</v>
      </c>
      <c r="X39" s="53">
        <v>145</v>
      </c>
    </row>
    <row r="40" spans="2:24">
      <c r="B40" s="49" t="s">
        <v>79</v>
      </c>
      <c r="C40" s="52" t="s">
        <v>80</v>
      </c>
      <c r="D40" s="52" t="s">
        <v>278</v>
      </c>
      <c r="E40" s="53">
        <v>126</v>
      </c>
      <c r="F40" s="53">
        <v>66</v>
      </c>
      <c r="G40" s="53">
        <v>58</v>
      </c>
      <c r="H40" s="53">
        <v>2</v>
      </c>
      <c r="I40" s="53">
        <v>8</v>
      </c>
      <c r="J40" s="53">
        <v>0</v>
      </c>
      <c r="K40" s="53">
        <v>2</v>
      </c>
      <c r="L40" s="53">
        <v>4</v>
      </c>
      <c r="M40" s="53">
        <v>0</v>
      </c>
      <c r="N40" s="53">
        <v>120</v>
      </c>
      <c r="O40" s="53">
        <f t="shared" si="1"/>
        <v>2</v>
      </c>
      <c r="P40" s="53"/>
      <c r="Q40" s="53">
        <v>3</v>
      </c>
      <c r="R40" s="53">
        <v>10</v>
      </c>
      <c r="S40" s="53">
        <v>22</v>
      </c>
      <c r="T40" s="53">
        <v>24</v>
      </c>
      <c r="U40" s="53">
        <v>24</v>
      </c>
      <c r="V40" s="53">
        <v>18</v>
      </c>
      <c r="W40" s="53">
        <v>10</v>
      </c>
      <c r="X40" s="53">
        <v>18</v>
      </c>
    </row>
    <row r="41" spans="2:24">
      <c r="B41" s="49" t="s">
        <v>81</v>
      </c>
      <c r="C41" s="52" t="s">
        <v>82</v>
      </c>
      <c r="D41" s="52" t="s">
        <v>275</v>
      </c>
      <c r="E41" s="53">
        <v>201</v>
      </c>
      <c r="F41" s="53">
        <v>93</v>
      </c>
      <c r="G41" s="53">
        <v>106</v>
      </c>
      <c r="H41" s="53">
        <v>2</v>
      </c>
      <c r="I41" s="53">
        <v>5</v>
      </c>
      <c r="J41" s="53">
        <v>0</v>
      </c>
      <c r="K41" s="53">
        <v>0</v>
      </c>
      <c r="L41" s="53">
        <v>37</v>
      </c>
      <c r="M41" s="53">
        <v>0</v>
      </c>
      <c r="N41" s="53">
        <v>143</v>
      </c>
      <c r="O41" s="53">
        <f t="shared" si="1"/>
        <v>0</v>
      </c>
      <c r="P41" s="53"/>
      <c r="Q41" s="53">
        <v>21</v>
      </c>
      <c r="R41" s="53">
        <v>3</v>
      </c>
      <c r="S41" s="53">
        <v>21</v>
      </c>
      <c r="T41" s="53">
        <v>46</v>
      </c>
      <c r="U41" s="53">
        <v>46</v>
      </c>
      <c r="V41" s="53">
        <v>34</v>
      </c>
      <c r="W41" s="53">
        <v>7</v>
      </c>
      <c r="X41" s="53">
        <v>44</v>
      </c>
    </row>
    <row r="42" spans="2:24">
      <c r="B42" s="49" t="s">
        <v>83</v>
      </c>
      <c r="C42" s="52" t="s">
        <v>84</v>
      </c>
      <c r="D42" s="52" t="s">
        <v>272</v>
      </c>
      <c r="E42" s="53">
        <v>137</v>
      </c>
      <c r="F42" s="53">
        <v>62</v>
      </c>
      <c r="G42" s="53">
        <v>75</v>
      </c>
      <c r="H42" s="53">
        <v>0</v>
      </c>
      <c r="I42" s="53">
        <v>0</v>
      </c>
      <c r="J42" s="53">
        <v>0</v>
      </c>
      <c r="K42" s="53">
        <v>0</v>
      </c>
      <c r="L42" s="53">
        <v>107</v>
      </c>
      <c r="M42" s="53">
        <v>0</v>
      </c>
      <c r="N42" s="53">
        <v>28</v>
      </c>
      <c r="O42" s="53">
        <f t="shared" si="1"/>
        <v>0</v>
      </c>
      <c r="P42" s="53"/>
      <c r="Q42" s="53">
        <v>3</v>
      </c>
      <c r="R42" s="53">
        <v>8</v>
      </c>
      <c r="S42" s="53">
        <v>22</v>
      </c>
      <c r="T42" s="53">
        <v>27</v>
      </c>
      <c r="U42" s="53">
        <v>12</v>
      </c>
      <c r="V42" s="53">
        <v>21</v>
      </c>
      <c r="W42" s="53">
        <v>10</v>
      </c>
      <c r="X42" s="53">
        <v>37</v>
      </c>
    </row>
    <row r="43" spans="2:24">
      <c r="B43" s="49" t="s">
        <v>85</v>
      </c>
      <c r="C43" s="52" t="s">
        <v>86</v>
      </c>
      <c r="D43" s="52" t="s">
        <v>273</v>
      </c>
      <c r="E43" s="53">
        <v>1377</v>
      </c>
      <c r="F43" s="53">
        <v>663</v>
      </c>
      <c r="G43" s="53">
        <v>689</v>
      </c>
      <c r="H43" s="53">
        <v>25</v>
      </c>
      <c r="I43" s="53">
        <v>72</v>
      </c>
      <c r="J43" s="53">
        <v>0</v>
      </c>
      <c r="K43" s="53">
        <v>0</v>
      </c>
      <c r="L43" s="53">
        <v>137</v>
      </c>
      <c r="M43" s="53">
        <v>2</v>
      </c>
      <c r="N43" s="53">
        <v>1204</v>
      </c>
      <c r="O43" s="53">
        <f t="shared" si="1"/>
        <v>2</v>
      </c>
      <c r="P43" s="53"/>
      <c r="Q43" s="53">
        <v>103</v>
      </c>
      <c r="R43" s="53">
        <v>130</v>
      </c>
      <c r="S43" s="53">
        <v>255</v>
      </c>
      <c r="T43" s="53">
        <v>297</v>
      </c>
      <c r="U43" s="53">
        <v>244</v>
      </c>
      <c r="V43" s="53">
        <v>230</v>
      </c>
      <c r="W43" s="53">
        <v>85</v>
      </c>
      <c r="X43" s="53">
        <v>136</v>
      </c>
    </row>
    <row r="44" spans="2:24">
      <c r="B44" s="49" t="s">
        <v>87</v>
      </c>
      <c r="C44" s="52" t="s">
        <v>88</v>
      </c>
      <c r="D44" s="52" t="s">
        <v>276</v>
      </c>
      <c r="E44" s="53">
        <v>1263</v>
      </c>
      <c r="F44" s="53">
        <v>587</v>
      </c>
      <c r="G44" s="53">
        <v>653</v>
      </c>
      <c r="H44" s="53">
        <v>23</v>
      </c>
      <c r="I44" s="53">
        <v>127</v>
      </c>
      <c r="J44" s="53">
        <v>5</v>
      </c>
      <c r="K44" s="53">
        <v>2</v>
      </c>
      <c r="L44" s="53">
        <v>78</v>
      </c>
      <c r="M44" s="53">
        <v>0</v>
      </c>
      <c r="N44" s="53">
        <v>845</v>
      </c>
      <c r="O44" s="53">
        <f t="shared" si="1"/>
        <v>7</v>
      </c>
      <c r="P44" s="53"/>
      <c r="Q44" s="53">
        <v>370</v>
      </c>
      <c r="R44" s="53">
        <v>87</v>
      </c>
      <c r="S44" s="53">
        <v>185</v>
      </c>
      <c r="T44" s="53">
        <v>257</v>
      </c>
      <c r="U44" s="53">
        <v>248</v>
      </c>
      <c r="V44" s="53">
        <v>206</v>
      </c>
      <c r="W44" s="53">
        <v>104</v>
      </c>
      <c r="X44" s="53">
        <v>176</v>
      </c>
    </row>
    <row r="45" spans="2:24">
      <c r="B45" s="49" t="s">
        <v>89</v>
      </c>
      <c r="C45" s="52" t="s">
        <v>90</v>
      </c>
      <c r="D45" s="52" t="s">
        <v>276</v>
      </c>
      <c r="E45" s="53">
        <v>362</v>
      </c>
      <c r="F45" s="53">
        <v>178</v>
      </c>
      <c r="G45" s="53">
        <v>183</v>
      </c>
      <c r="H45" s="53">
        <v>1</v>
      </c>
      <c r="I45" s="53">
        <v>30</v>
      </c>
      <c r="J45" s="53">
        <v>0</v>
      </c>
      <c r="K45" s="53">
        <v>1</v>
      </c>
      <c r="L45" s="53">
        <v>160</v>
      </c>
      <c r="M45" s="53">
        <v>6</v>
      </c>
      <c r="N45" s="53">
        <v>187</v>
      </c>
      <c r="O45" s="53">
        <f t="shared" si="1"/>
        <v>7</v>
      </c>
      <c r="P45" s="53"/>
      <c r="Q45" s="53">
        <v>23</v>
      </c>
      <c r="R45" s="53">
        <v>43</v>
      </c>
      <c r="S45" s="53">
        <v>89</v>
      </c>
      <c r="T45" s="53">
        <v>81</v>
      </c>
      <c r="U45" s="53">
        <v>58</v>
      </c>
      <c r="V45" s="53">
        <v>43</v>
      </c>
      <c r="W45" s="53">
        <v>10</v>
      </c>
      <c r="X45" s="53">
        <v>38</v>
      </c>
    </row>
    <row r="46" spans="2:24">
      <c r="B46" s="49" t="s">
        <v>91</v>
      </c>
      <c r="C46" s="52" t="s">
        <v>92</v>
      </c>
      <c r="D46" s="52" t="s">
        <v>278</v>
      </c>
      <c r="E46" s="53">
        <v>87</v>
      </c>
      <c r="F46" s="53">
        <v>50</v>
      </c>
      <c r="G46" s="53">
        <v>37</v>
      </c>
      <c r="H46" s="53">
        <v>0</v>
      </c>
      <c r="I46" s="53">
        <v>19</v>
      </c>
      <c r="J46" s="53">
        <v>0</v>
      </c>
      <c r="K46" s="53">
        <v>0</v>
      </c>
      <c r="L46" s="53">
        <v>18</v>
      </c>
      <c r="M46" s="53">
        <v>0</v>
      </c>
      <c r="N46" s="53">
        <v>79</v>
      </c>
      <c r="O46" s="53">
        <f t="shared" si="1"/>
        <v>0</v>
      </c>
      <c r="P46" s="53"/>
      <c r="Q46" s="53">
        <v>5</v>
      </c>
      <c r="R46" s="53">
        <v>9</v>
      </c>
      <c r="S46" s="53">
        <v>20</v>
      </c>
      <c r="T46" s="53">
        <v>21</v>
      </c>
      <c r="U46" s="53">
        <v>20</v>
      </c>
      <c r="V46" s="53">
        <v>9</v>
      </c>
      <c r="W46" s="53">
        <v>1</v>
      </c>
      <c r="X46" s="53">
        <v>7</v>
      </c>
    </row>
    <row r="47" spans="2:24">
      <c r="B47" s="49" t="s">
        <v>93</v>
      </c>
      <c r="C47" s="52" t="s">
        <v>94</v>
      </c>
      <c r="D47" s="52" t="s">
        <v>278</v>
      </c>
      <c r="E47" s="53">
        <v>463</v>
      </c>
      <c r="F47" s="53">
        <v>220</v>
      </c>
      <c r="G47" s="53">
        <v>240</v>
      </c>
      <c r="H47" s="53">
        <v>3</v>
      </c>
      <c r="I47" s="53">
        <v>4</v>
      </c>
      <c r="J47" s="53">
        <v>0</v>
      </c>
      <c r="K47" s="53">
        <v>0</v>
      </c>
      <c r="L47" s="53">
        <v>10</v>
      </c>
      <c r="M47" s="53">
        <v>0</v>
      </c>
      <c r="N47" s="53">
        <v>447</v>
      </c>
      <c r="O47" s="53">
        <f t="shared" si="1"/>
        <v>0</v>
      </c>
      <c r="P47" s="53"/>
      <c r="Q47" s="53">
        <v>7</v>
      </c>
      <c r="R47" s="53">
        <v>29</v>
      </c>
      <c r="S47" s="53">
        <v>75</v>
      </c>
      <c r="T47" s="53">
        <v>129</v>
      </c>
      <c r="U47" s="53">
        <v>81</v>
      </c>
      <c r="V47" s="53">
        <v>57</v>
      </c>
      <c r="W47" s="53">
        <v>18</v>
      </c>
      <c r="X47" s="53">
        <v>74</v>
      </c>
    </row>
    <row r="48" spans="2:24">
      <c r="B48" s="49" t="s">
        <v>95</v>
      </c>
      <c r="C48" s="52" t="s">
        <v>96</v>
      </c>
      <c r="D48" s="52" t="s">
        <v>272</v>
      </c>
      <c r="E48" s="53">
        <v>545</v>
      </c>
      <c r="F48" s="53">
        <v>258</v>
      </c>
      <c r="G48" s="53">
        <v>280</v>
      </c>
      <c r="H48" s="53">
        <v>7</v>
      </c>
      <c r="I48" s="53">
        <v>16</v>
      </c>
      <c r="J48" s="53">
        <v>0</v>
      </c>
      <c r="K48" s="53">
        <v>4</v>
      </c>
      <c r="L48" s="53">
        <v>60</v>
      </c>
      <c r="M48" s="53">
        <v>2</v>
      </c>
      <c r="N48" s="53">
        <v>430</v>
      </c>
      <c r="O48" s="53">
        <f t="shared" si="1"/>
        <v>6</v>
      </c>
      <c r="P48" s="53"/>
      <c r="Q48" s="53">
        <v>63</v>
      </c>
      <c r="R48" s="53">
        <v>24</v>
      </c>
      <c r="S48" s="53">
        <v>80</v>
      </c>
      <c r="T48" s="53">
        <v>121</v>
      </c>
      <c r="U48" s="53">
        <v>99</v>
      </c>
      <c r="V48" s="53">
        <v>102</v>
      </c>
      <c r="W48" s="53">
        <v>50</v>
      </c>
      <c r="X48" s="53">
        <v>69</v>
      </c>
    </row>
    <row r="49" spans="2:24">
      <c r="B49" s="49" t="s">
        <v>97</v>
      </c>
      <c r="C49" s="52" t="s">
        <v>98</v>
      </c>
      <c r="D49" s="52" t="s">
        <v>275</v>
      </c>
      <c r="E49" s="53">
        <v>89</v>
      </c>
      <c r="F49" s="53">
        <v>46</v>
      </c>
      <c r="G49" s="53">
        <v>42</v>
      </c>
      <c r="H49" s="53">
        <v>1</v>
      </c>
      <c r="I49" s="53">
        <v>2</v>
      </c>
      <c r="J49" s="53">
        <v>0</v>
      </c>
      <c r="K49" s="53">
        <v>1</v>
      </c>
      <c r="L49" s="53">
        <v>36</v>
      </c>
      <c r="M49" s="53">
        <v>0</v>
      </c>
      <c r="N49" s="53">
        <v>44</v>
      </c>
      <c r="O49" s="53">
        <f t="shared" si="1"/>
        <v>1</v>
      </c>
      <c r="P49" s="53"/>
      <c r="Q49" s="53">
        <v>13</v>
      </c>
      <c r="R49" s="53">
        <v>5</v>
      </c>
      <c r="S49" s="53">
        <v>12</v>
      </c>
      <c r="T49" s="53">
        <v>19</v>
      </c>
      <c r="U49" s="53">
        <v>10</v>
      </c>
      <c r="V49" s="53">
        <v>12</v>
      </c>
      <c r="W49" s="53">
        <v>4</v>
      </c>
      <c r="X49" s="53">
        <v>27</v>
      </c>
    </row>
    <row r="50" spans="2:24">
      <c r="B50" s="49" t="s">
        <v>99</v>
      </c>
      <c r="C50" s="52" t="s">
        <v>100</v>
      </c>
      <c r="D50" s="52" t="s">
        <v>278</v>
      </c>
      <c r="E50" s="53">
        <v>330</v>
      </c>
      <c r="F50" s="53">
        <v>156</v>
      </c>
      <c r="G50" s="53">
        <v>174</v>
      </c>
      <c r="H50" s="53">
        <v>0</v>
      </c>
      <c r="I50" s="53">
        <v>27</v>
      </c>
      <c r="J50" s="53">
        <v>0</v>
      </c>
      <c r="K50" s="53">
        <v>0</v>
      </c>
      <c r="L50" s="53">
        <v>14</v>
      </c>
      <c r="M50" s="53">
        <v>0</v>
      </c>
      <c r="N50" s="53">
        <v>318</v>
      </c>
      <c r="O50" s="53">
        <f t="shared" si="1"/>
        <v>0</v>
      </c>
      <c r="P50" s="53"/>
      <c r="Q50" s="53">
        <v>4</v>
      </c>
      <c r="R50" s="53">
        <v>22</v>
      </c>
      <c r="S50" s="53">
        <v>47</v>
      </c>
      <c r="T50" s="53">
        <v>80</v>
      </c>
      <c r="U50" s="53">
        <v>68</v>
      </c>
      <c r="V50" s="53">
        <v>66</v>
      </c>
      <c r="W50" s="53">
        <v>21</v>
      </c>
      <c r="X50" s="53">
        <v>26</v>
      </c>
    </row>
    <row r="51" spans="2:24">
      <c r="B51" s="49" t="s">
        <v>101</v>
      </c>
      <c r="C51" s="52" t="s">
        <v>102</v>
      </c>
      <c r="D51" s="52" t="s">
        <v>276</v>
      </c>
      <c r="E51" s="53">
        <v>208</v>
      </c>
      <c r="F51" s="53">
        <v>101</v>
      </c>
      <c r="G51" s="53">
        <v>106</v>
      </c>
      <c r="H51" s="53">
        <v>1</v>
      </c>
      <c r="I51" s="53">
        <v>4</v>
      </c>
      <c r="J51" s="53">
        <v>0</v>
      </c>
      <c r="K51" s="53">
        <v>1</v>
      </c>
      <c r="L51" s="53">
        <v>24</v>
      </c>
      <c r="M51" s="53">
        <v>0</v>
      </c>
      <c r="N51" s="53">
        <v>167</v>
      </c>
      <c r="O51" s="53">
        <f t="shared" si="1"/>
        <v>1</v>
      </c>
      <c r="P51" s="53"/>
      <c r="Q51" s="53">
        <v>23</v>
      </c>
      <c r="R51" s="53">
        <v>9</v>
      </c>
      <c r="S51" s="53">
        <v>27</v>
      </c>
      <c r="T51" s="53">
        <v>58</v>
      </c>
      <c r="U51" s="53">
        <v>34</v>
      </c>
      <c r="V51" s="53">
        <v>21</v>
      </c>
      <c r="W51" s="53">
        <v>8</v>
      </c>
      <c r="X51" s="53">
        <v>51</v>
      </c>
    </row>
    <row r="52" spans="2:24">
      <c r="B52" s="49" t="s">
        <v>103</v>
      </c>
      <c r="C52" s="37" t="s">
        <v>329</v>
      </c>
      <c r="D52" s="52" t="s">
        <v>272</v>
      </c>
      <c r="E52" s="54">
        <v>205</v>
      </c>
      <c r="F52" s="54">
        <v>101</v>
      </c>
      <c r="G52" s="54">
        <v>99</v>
      </c>
      <c r="H52" s="54">
        <v>5</v>
      </c>
      <c r="I52" s="54">
        <v>3</v>
      </c>
      <c r="J52" s="54">
        <v>0</v>
      </c>
      <c r="K52" s="54">
        <v>0</v>
      </c>
      <c r="L52" s="54">
        <v>153</v>
      </c>
      <c r="M52" s="54">
        <v>0</v>
      </c>
      <c r="N52" s="54">
        <v>42</v>
      </c>
      <c r="O52" s="53">
        <f t="shared" si="1"/>
        <v>0</v>
      </c>
      <c r="P52" s="54">
        <v>0</v>
      </c>
      <c r="Q52" s="54">
        <v>17</v>
      </c>
      <c r="R52" s="54">
        <v>19</v>
      </c>
      <c r="S52" s="54">
        <v>30</v>
      </c>
      <c r="T52" s="54">
        <v>41</v>
      </c>
      <c r="U52" s="54">
        <v>37</v>
      </c>
      <c r="V52" s="54">
        <v>36</v>
      </c>
      <c r="W52" s="54">
        <v>20</v>
      </c>
      <c r="X52" s="54">
        <v>22</v>
      </c>
    </row>
    <row r="53" spans="2:24">
      <c r="B53" s="49" t="s">
        <v>105</v>
      </c>
      <c r="C53" s="52" t="s">
        <v>106</v>
      </c>
      <c r="D53" s="52" t="s">
        <v>273</v>
      </c>
      <c r="E53" s="53">
        <v>344</v>
      </c>
      <c r="F53" s="53">
        <v>176</v>
      </c>
      <c r="G53" s="53">
        <v>166</v>
      </c>
      <c r="H53" s="53">
        <v>2</v>
      </c>
      <c r="I53" s="53">
        <v>5</v>
      </c>
      <c r="J53" s="53">
        <v>1</v>
      </c>
      <c r="K53" s="53">
        <v>0</v>
      </c>
      <c r="L53" s="53">
        <v>171</v>
      </c>
      <c r="M53" s="53">
        <v>0</v>
      </c>
      <c r="N53" s="53">
        <v>179</v>
      </c>
      <c r="O53" s="53">
        <f t="shared" si="1"/>
        <v>1</v>
      </c>
      <c r="P53" s="53"/>
      <c r="Q53" s="53">
        <v>11</v>
      </c>
      <c r="R53" s="53">
        <v>17</v>
      </c>
      <c r="S53" s="53">
        <v>59</v>
      </c>
      <c r="T53" s="53">
        <v>87</v>
      </c>
      <c r="U53" s="53">
        <v>82</v>
      </c>
      <c r="V53" s="53">
        <v>69</v>
      </c>
      <c r="W53" s="53">
        <v>11</v>
      </c>
      <c r="X53" s="53">
        <v>19</v>
      </c>
    </row>
    <row r="54" spans="2:24">
      <c r="B54" s="49" t="s">
        <v>107</v>
      </c>
      <c r="C54" s="52" t="s">
        <v>108</v>
      </c>
      <c r="D54" s="52" t="s">
        <v>272</v>
      </c>
      <c r="E54" s="53">
        <v>1587</v>
      </c>
      <c r="F54" s="53">
        <v>804</v>
      </c>
      <c r="G54" s="53">
        <v>756</v>
      </c>
      <c r="H54" s="53">
        <v>27</v>
      </c>
      <c r="I54" s="53">
        <v>56</v>
      </c>
      <c r="J54" s="53">
        <v>4</v>
      </c>
      <c r="K54" s="53">
        <v>8</v>
      </c>
      <c r="L54" s="53">
        <v>931</v>
      </c>
      <c r="M54" s="53">
        <v>1</v>
      </c>
      <c r="N54" s="53">
        <v>603</v>
      </c>
      <c r="O54" s="53">
        <f t="shared" si="1"/>
        <v>13</v>
      </c>
      <c r="P54" s="53"/>
      <c r="Q54" s="53">
        <v>120</v>
      </c>
      <c r="R54" s="53">
        <v>105</v>
      </c>
      <c r="S54" s="53">
        <v>254</v>
      </c>
      <c r="T54" s="53">
        <v>341</v>
      </c>
      <c r="U54" s="53">
        <v>271</v>
      </c>
      <c r="V54" s="53">
        <v>260</v>
      </c>
      <c r="W54" s="53">
        <v>95</v>
      </c>
      <c r="X54" s="53">
        <v>261</v>
      </c>
    </row>
    <row r="55" spans="2:24">
      <c r="B55" s="49" t="s">
        <v>109</v>
      </c>
      <c r="C55" s="52" t="s">
        <v>110</v>
      </c>
      <c r="D55" s="52" t="s">
        <v>275</v>
      </c>
      <c r="E55" s="53">
        <v>745</v>
      </c>
      <c r="F55" s="53">
        <v>349</v>
      </c>
      <c r="G55" s="53">
        <v>384</v>
      </c>
      <c r="H55" s="53">
        <v>12</v>
      </c>
      <c r="I55" s="53">
        <v>34</v>
      </c>
      <c r="J55" s="53">
        <v>1</v>
      </c>
      <c r="K55" s="53">
        <v>9</v>
      </c>
      <c r="L55" s="53">
        <v>153</v>
      </c>
      <c r="M55" s="53">
        <v>0</v>
      </c>
      <c r="N55" s="53">
        <v>586</v>
      </c>
      <c r="O55" s="53">
        <f t="shared" si="1"/>
        <v>10</v>
      </c>
      <c r="P55" s="53"/>
      <c r="Q55" s="53">
        <v>41</v>
      </c>
      <c r="R55" s="53">
        <v>38</v>
      </c>
      <c r="S55" s="53">
        <v>103</v>
      </c>
      <c r="T55" s="53">
        <v>151</v>
      </c>
      <c r="U55" s="53">
        <v>128</v>
      </c>
      <c r="V55" s="53">
        <v>122</v>
      </c>
      <c r="W55" s="53">
        <v>73</v>
      </c>
      <c r="X55" s="53">
        <v>130</v>
      </c>
    </row>
    <row r="56" spans="2:24">
      <c r="B56" s="49" t="s">
        <v>111</v>
      </c>
      <c r="C56" s="52" t="s">
        <v>112</v>
      </c>
      <c r="D56" s="52" t="s">
        <v>275</v>
      </c>
      <c r="E56" s="53">
        <v>2289</v>
      </c>
      <c r="F56" s="53">
        <v>1115</v>
      </c>
      <c r="G56" s="53">
        <v>1111</v>
      </c>
      <c r="H56" s="53">
        <v>63</v>
      </c>
      <c r="I56" s="53">
        <v>143</v>
      </c>
      <c r="J56" s="53">
        <v>11</v>
      </c>
      <c r="K56" s="53">
        <v>48</v>
      </c>
      <c r="L56" s="53">
        <v>1081</v>
      </c>
      <c r="M56" s="53">
        <v>5</v>
      </c>
      <c r="N56" s="53">
        <v>1101</v>
      </c>
      <c r="O56" s="53">
        <f t="shared" si="1"/>
        <v>64</v>
      </c>
      <c r="P56" s="53"/>
      <c r="Q56" s="53">
        <v>154</v>
      </c>
      <c r="R56" s="53">
        <v>127</v>
      </c>
      <c r="S56" s="53">
        <v>330</v>
      </c>
      <c r="T56" s="53">
        <v>440</v>
      </c>
      <c r="U56" s="53">
        <v>426</v>
      </c>
      <c r="V56" s="53">
        <v>345</v>
      </c>
      <c r="W56" s="53">
        <v>142</v>
      </c>
      <c r="X56" s="53">
        <v>479</v>
      </c>
    </row>
    <row r="57" spans="2:24">
      <c r="B57" s="49" t="s">
        <v>113</v>
      </c>
      <c r="C57" s="37" t="s">
        <v>367</v>
      </c>
      <c r="D57" s="52" t="s">
        <v>273</v>
      </c>
      <c r="E57" s="54">
        <v>1263</v>
      </c>
      <c r="F57" s="54">
        <v>603</v>
      </c>
      <c r="G57" s="54">
        <v>608</v>
      </c>
      <c r="H57" s="54">
        <v>52</v>
      </c>
      <c r="I57" s="54">
        <v>58</v>
      </c>
      <c r="J57" s="54">
        <v>0</v>
      </c>
      <c r="K57" s="54">
        <v>3</v>
      </c>
      <c r="L57" s="54">
        <v>336</v>
      </c>
      <c r="M57" s="54">
        <v>23</v>
      </c>
      <c r="N57" s="54">
        <v>737</v>
      </c>
      <c r="O57" s="53">
        <f t="shared" si="1"/>
        <v>26</v>
      </c>
      <c r="P57" s="54">
        <v>0</v>
      </c>
      <c r="Q57" s="54">
        <v>174</v>
      </c>
      <c r="R57" s="54">
        <v>109</v>
      </c>
      <c r="S57" s="54">
        <v>211</v>
      </c>
      <c r="T57" s="54">
        <v>258</v>
      </c>
      <c r="U57" s="54">
        <v>204</v>
      </c>
      <c r="V57" s="54">
        <v>167</v>
      </c>
      <c r="W57" s="54">
        <v>62</v>
      </c>
      <c r="X57" s="54">
        <v>252</v>
      </c>
    </row>
    <row r="58" spans="2:24">
      <c r="B58" s="49" t="s">
        <v>115</v>
      </c>
      <c r="C58" s="52" t="s">
        <v>116</v>
      </c>
      <c r="D58" s="52" t="s">
        <v>273</v>
      </c>
      <c r="E58" s="53">
        <v>49</v>
      </c>
      <c r="F58" s="53">
        <v>12</v>
      </c>
      <c r="G58" s="53">
        <v>34</v>
      </c>
      <c r="H58" s="53">
        <v>3</v>
      </c>
      <c r="I58" s="53">
        <v>1</v>
      </c>
      <c r="J58" s="53">
        <v>0</v>
      </c>
      <c r="K58" s="53">
        <v>0</v>
      </c>
      <c r="L58" s="53">
        <v>0</v>
      </c>
      <c r="M58" s="53">
        <v>0</v>
      </c>
      <c r="N58" s="53">
        <v>46</v>
      </c>
      <c r="O58" s="53">
        <f t="shared" si="1"/>
        <v>0</v>
      </c>
      <c r="P58" s="53"/>
      <c r="Q58" s="53">
        <v>3</v>
      </c>
      <c r="R58" s="53">
        <v>5</v>
      </c>
      <c r="S58" s="53">
        <v>2</v>
      </c>
      <c r="T58" s="53">
        <v>12</v>
      </c>
      <c r="U58" s="53">
        <v>4</v>
      </c>
      <c r="V58" s="53">
        <v>2</v>
      </c>
      <c r="W58" s="53">
        <v>2</v>
      </c>
      <c r="X58" s="53">
        <v>22</v>
      </c>
    </row>
    <row r="59" spans="2:24">
      <c r="B59" s="49" t="s">
        <v>117</v>
      </c>
      <c r="C59" s="52" t="s">
        <v>118</v>
      </c>
      <c r="D59" s="52" t="s">
        <v>275</v>
      </c>
      <c r="E59" s="53">
        <v>538</v>
      </c>
      <c r="F59" s="53">
        <v>243</v>
      </c>
      <c r="G59" s="53">
        <v>288</v>
      </c>
      <c r="H59" s="53">
        <v>7</v>
      </c>
      <c r="I59" s="53">
        <v>27</v>
      </c>
      <c r="J59" s="53">
        <v>2</v>
      </c>
      <c r="K59" s="53">
        <v>9</v>
      </c>
      <c r="L59" s="53">
        <v>240</v>
      </c>
      <c r="M59" s="53">
        <v>4</v>
      </c>
      <c r="N59" s="53">
        <v>261</v>
      </c>
      <c r="O59" s="53">
        <f t="shared" si="1"/>
        <v>15</v>
      </c>
      <c r="P59" s="53"/>
      <c r="Q59" s="53">
        <v>58</v>
      </c>
      <c r="R59" s="53">
        <v>36</v>
      </c>
      <c r="S59" s="53">
        <v>92</v>
      </c>
      <c r="T59" s="53">
        <v>122</v>
      </c>
      <c r="U59" s="53">
        <v>83</v>
      </c>
      <c r="V59" s="53">
        <v>65</v>
      </c>
      <c r="W59" s="53">
        <v>26</v>
      </c>
      <c r="X59" s="53">
        <v>114</v>
      </c>
    </row>
    <row r="60" spans="2:24">
      <c r="B60" s="49" t="s">
        <v>119</v>
      </c>
      <c r="C60" s="52" t="s">
        <v>120</v>
      </c>
      <c r="D60" s="52" t="s">
        <v>272</v>
      </c>
      <c r="E60" s="53">
        <v>285</v>
      </c>
      <c r="F60" s="53">
        <v>141</v>
      </c>
      <c r="G60" s="53">
        <v>144</v>
      </c>
      <c r="H60" s="53">
        <v>0</v>
      </c>
      <c r="I60" s="53">
        <v>13</v>
      </c>
      <c r="J60" s="53">
        <v>0</v>
      </c>
      <c r="K60" s="53">
        <v>0</v>
      </c>
      <c r="L60" s="53">
        <v>105</v>
      </c>
      <c r="M60" s="53">
        <v>0</v>
      </c>
      <c r="N60" s="53">
        <v>187</v>
      </c>
      <c r="O60" s="53">
        <f t="shared" si="1"/>
        <v>0</v>
      </c>
      <c r="P60" s="53"/>
      <c r="Q60" s="53">
        <v>2</v>
      </c>
      <c r="R60" s="53">
        <v>24</v>
      </c>
      <c r="S60" s="53">
        <v>53</v>
      </c>
      <c r="T60" s="53">
        <v>61</v>
      </c>
      <c r="U60" s="53">
        <v>50</v>
      </c>
      <c r="V60" s="53">
        <v>44</v>
      </c>
      <c r="W60" s="53">
        <v>20</v>
      </c>
      <c r="X60" s="53">
        <v>33</v>
      </c>
    </row>
    <row r="61" spans="2:24">
      <c r="B61" s="49" t="s">
        <v>121</v>
      </c>
      <c r="C61" s="52" t="s">
        <v>122</v>
      </c>
      <c r="D61" s="52" t="s">
        <v>272</v>
      </c>
      <c r="E61" s="53">
        <v>596</v>
      </c>
      <c r="F61" s="53">
        <v>334</v>
      </c>
      <c r="G61" s="53">
        <v>259</v>
      </c>
      <c r="H61" s="53">
        <v>3</v>
      </c>
      <c r="I61" s="53">
        <v>44</v>
      </c>
      <c r="J61" s="53">
        <v>0</v>
      </c>
      <c r="K61" s="53">
        <v>3</v>
      </c>
      <c r="L61" s="53">
        <v>200</v>
      </c>
      <c r="M61" s="53">
        <v>2</v>
      </c>
      <c r="N61" s="53">
        <v>411</v>
      </c>
      <c r="O61" s="53">
        <f t="shared" si="1"/>
        <v>5</v>
      </c>
      <c r="P61" s="53"/>
      <c r="Q61" s="53">
        <v>36</v>
      </c>
      <c r="R61" s="53">
        <v>43</v>
      </c>
      <c r="S61" s="53">
        <v>136</v>
      </c>
      <c r="T61" s="53">
        <v>134</v>
      </c>
      <c r="U61" s="53">
        <v>124</v>
      </c>
      <c r="V61" s="53">
        <v>88</v>
      </c>
      <c r="W61" s="53">
        <v>37</v>
      </c>
      <c r="X61" s="53">
        <v>34</v>
      </c>
    </row>
    <row r="62" spans="2:24">
      <c r="B62" s="49" t="s">
        <v>123</v>
      </c>
      <c r="C62" s="52" t="s">
        <v>124</v>
      </c>
      <c r="D62" s="52" t="s">
        <v>275</v>
      </c>
      <c r="E62" s="53">
        <v>83</v>
      </c>
      <c r="F62" s="53">
        <v>34</v>
      </c>
      <c r="G62" s="53">
        <v>48</v>
      </c>
      <c r="H62" s="53">
        <v>1</v>
      </c>
      <c r="I62" s="53">
        <v>3</v>
      </c>
      <c r="J62" s="53">
        <v>0</v>
      </c>
      <c r="K62" s="53">
        <v>0</v>
      </c>
      <c r="L62" s="53">
        <v>32</v>
      </c>
      <c r="M62" s="53">
        <v>1</v>
      </c>
      <c r="N62" s="53">
        <v>50</v>
      </c>
      <c r="O62" s="53">
        <f t="shared" si="1"/>
        <v>1</v>
      </c>
      <c r="P62" s="53"/>
      <c r="Q62" s="53">
        <v>4</v>
      </c>
      <c r="R62" s="53">
        <v>4</v>
      </c>
      <c r="S62" s="53">
        <v>19</v>
      </c>
      <c r="T62" s="53">
        <v>20</v>
      </c>
      <c r="U62" s="53">
        <v>13</v>
      </c>
      <c r="V62" s="53">
        <v>12</v>
      </c>
      <c r="W62" s="53">
        <v>5</v>
      </c>
      <c r="X62" s="53">
        <v>10</v>
      </c>
    </row>
    <row r="63" spans="2:24">
      <c r="B63" s="49" t="s">
        <v>125</v>
      </c>
      <c r="C63" s="52" t="s">
        <v>126</v>
      </c>
      <c r="D63" s="52" t="s">
        <v>276</v>
      </c>
      <c r="E63" s="53">
        <v>155</v>
      </c>
      <c r="F63" s="53">
        <v>80</v>
      </c>
      <c r="G63" s="53">
        <v>74</v>
      </c>
      <c r="H63" s="53">
        <v>1</v>
      </c>
      <c r="I63" s="53">
        <v>4</v>
      </c>
      <c r="J63" s="53">
        <v>0</v>
      </c>
      <c r="K63" s="53">
        <v>2</v>
      </c>
      <c r="L63" s="53">
        <v>43</v>
      </c>
      <c r="M63" s="53">
        <v>0</v>
      </c>
      <c r="N63" s="53">
        <v>103</v>
      </c>
      <c r="O63" s="53">
        <f t="shared" si="1"/>
        <v>2</v>
      </c>
      <c r="P63" s="53"/>
      <c r="Q63" s="53">
        <v>14</v>
      </c>
      <c r="R63" s="53">
        <v>7</v>
      </c>
      <c r="S63" s="53">
        <v>23</v>
      </c>
      <c r="T63" s="53">
        <v>35</v>
      </c>
      <c r="U63" s="53">
        <v>29</v>
      </c>
      <c r="V63" s="53">
        <v>19</v>
      </c>
      <c r="W63" s="53">
        <v>8</v>
      </c>
      <c r="X63" s="53">
        <v>34</v>
      </c>
    </row>
    <row r="64" spans="2:24">
      <c r="B64" s="49" t="s">
        <v>127</v>
      </c>
      <c r="C64" s="52" t="s">
        <v>128</v>
      </c>
      <c r="D64" s="52" t="s">
        <v>275</v>
      </c>
      <c r="E64" s="53">
        <v>100</v>
      </c>
      <c r="F64" s="53">
        <v>57</v>
      </c>
      <c r="G64" s="53">
        <v>43</v>
      </c>
      <c r="H64" s="53">
        <v>0</v>
      </c>
      <c r="I64" s="53">
        <v>1</v>
      </c>
      <c r="J64" s="53">
        <v>0</v>
      </c>
      <c r="K64" s="53">
        <v>0</v>
      </c>
      <c r="L64" s="53">
        <v>17</v>
      </c>
      <c r="M64" s="53">
        <v>0</v>
      </c>
      <c r="N64" s="53">
        <v>74</v>
      </c>
      <c r="O64" s="53">
        <f t="shared" si="1"/>
        <v>0</v>
      </c>
      <c r="P64" s="53"/>
      <c r="Q64" s="53">
        <v>13</v>
      </c>
      <c r="R64" s="53">
        <v>7</v>
      </c>
      <c r="S64" s="53">
        <v>15</v>
      </c>
      <c r="T64" s="53">
        <v>16</v>
      </c>
      <c r="U64" s="53">
        <v>14</v>
      </c>
      <c r="V64" s="53">
        <v>12</v>
      </c>
      <c r="W64" s="53">
        <v>2</v>
      </c>
      <c r="X64" s="53">
        <v>34</v>
      </c>
    </row>
    <row r="65" spans="2:24">
      <c r="B65" s="49" t="s">
        <v>129</v>
      </c>
      <c r="C65" s="52" t="s">
        <v>130</v>
      </c>
      <c r="D65" s="52" t="s">
        <v>275</v>
      </c>
      <c r="E65" s="53">
        <v>75</v>
      </c>
      <c r="F65" s="53">
        <v>51</v>
      </c>
      <c r="G65" s="53">
        <v>23</v>
      </c>
      <c r="H65" s="53">
        <v>1</v>
      </c>
      <c r="I65" s="53">
        <v>0</v>
      </c>
      <c r="J65" s="53">
        <v>0</v>
      </c>
      <c r="K65" s="53">
        <v>0</v>
      </c>
      <c r="L65" s="53">
        <v>38</v>
      </c>
      <c r="M65" s="53">
        <v>0</v>
      </c>
      <c r="N65" s="53">
        <v>37</v>
      </c>
      <c r="O65" s="53">
        <f t="shared" si="1"/>
        <v>0</v>
      </c>
      <c r="P65" s="53"/>
      <c r="Q65" s="53">
        <v>2</v>
      </c>
      <c r="R65" s="53">
        <v>3</v>
      </c>
      <c r="S65" s="53">
        <v>5</v>
      </c>
      <c r="T65" s="53">
        <v>9</v>
      </c>
      <c r="U65" s="53">
        <v>12</v>
      </c>
      <c r="V65" s="53">
        <v>7</v>
      </c>
      <c r="W65" s="53">
        <v>1</v>
      </c>
      <c r="X65" s="53">
        <v>38</v>
      </c>
    </row>
    <row r="66" spans="2:24">
      <c r="B66" s="49" t="s">
        <v>131</v>
      </c>
      <c r="C66" s="52" t="s">
        <v>132</v>
      </c>
      <c r="D66" s="52" t="s">
        <v>278</v>
      </c>
      <c r="E66" s="53">
        <v>645</v>
      </c>
      <c r="F66" s="53">
        <v>331</v>
      </c>
      <c r="G66" s="53">
        <v>311</v>
      </c>
      <c r="H66" s="53">
        <v>3</v>
      </c>
      <c r="I66" s="53">
        <v>12</v>
      </c>
      <c r="J66" s="53">
        <v>0</v>
      </c>
      <c r="K66" s="53">
        <v>0</v>
      </c>
      <c r="L66" s="53">
        <v>9</v>
      </c>
      <c r="M66" s="53">
        <v>5</v>
      </c>
      <c r="N66" s="53">
        <v>619</v>
      </c>
      <c r="O66" s="53">
        <f t="shared" si="1"/>
        <v>5</v>
      </c>
      <c r="P66" s="53"/>
      <c r="Q66" s="53">
        <v>14</v>
      </c>
      <c r="R66" s="53">
        <v>68</v>
      </c>
      <c r="S66" s="53">
        <v>152</v>
      </c>
      <c r="T66" s="53">
        <v>143</v>
      </c>
      <c r="U66" s="53">
        <v>117</v>
      </c>
      <c r="V66" s="53">
        <v>92</v>
      </c>
      <c r="W66" s="53">
        <v>37</v>
      </c>
      <c r="X66" s="53">
        <v>36</v>
      </c>
    </row>
    <row r="67" spans="2:24">
      <c r="B67" s="49" t="s">
        <v>133</v>
      </c>
      <c r="C67" s="52" t="s">
        <v>134</v>
      </c>
      <c r="D67" s="52" t="s">
        <v>276</v>
      </c>
      <c r="E67" s="53">
        <v>2983</v>
      </c>
      <c r="F67" s="53">
        <v>1451</v>
      </c>
      <c r="G67" s="53">
        <v>1465</v>
      </c>
      <c r="H67" s="53">
        <v>67</v>
      </c>
      <c r="I67" s="53">
        <v>502</v>
      </c>
      <c r="J67" s="53">
        <v>0</v>
      </c>
      <c r="K67" s="53">
        <v>38</v>
      </c>
      <c r="L67" s="53">
        <v>104</v>
      </c>
      <c r="M67" s="53">
        <v>0</v>
      </c>
      <c r="N67" s="53">
        <v>305</v>
      </c>
      <c r="O67" s="53">
        <f t="shared" si="1"/>
        <v>38</v>
      </c>
      <c r="P67" s="53"/>
      <c r="Q67" s="53">
        <v>2557</v>
      </c>
      <c r="R67" s="53">
        <v>118</v>
      </c>
      <c r="S67" s="53">
        <v>277</v>
      </c>
      <c r="T67" s="53">
        <v>552</v>
      </c>
      <c r="U67" s="53">
        <v>615</v>
      </c>
      <c r="V67" s="53">
        <v>557</v>
      </c>
      <c r="W67" s="53">
        <v>224</v>
      </c>
      <c r="X67" s="53">
        <v>640</v>
      </c>
    </row>
    <row r="68" spans="2:24">
      <c r="B68" s="49" t="s">
        <v>135</v>
      </c>
      <c r="C68" s="52" t="s">
        <v>136</v>
      </c>
      <c r="D68" s="52" t="s">
        <v>276</v>
      </c>
      <c r="E68" s="53">
        <v>524</v>
      </c>
      <c r="F68" s="53">
        <v>259</v>
      </c>
      <c r="G68" s="53">
        <v>256</v>
      </c>
      <c r="H68" s="53">
        <v>9</v>
      </c>
      <c r="I68" s="53">
        <v>9</v>
      </c>
      <c r="J68" s="53">
        <v>5</v>
      </c>
      <c r="K68" s="53">
        <v>2</v>
      </c>
      <c r="L68" s="53">
        <v>117</v>
      </c>
      <c r="M68" s="53">
        <v>0</v>
      </c>
      <c r="N68" s="53">
        <v>392</v>
      </c>
      <c r="O68" s="53">
        <f t="shared" si="1"/>
        <v>7</v>
      </c>
      <c r="P68" s="53"/>
      <c r="Q68" s="53">
        <v>42</v>
      </c>
      <c r="R68" s="53">
        <v>39</v>
      </c>
      <c r="S68" s="53">
        <v>75</v>
      </c>
      <c r="T68" s="53">
        <v>99</v>
      </c>
      <c r="U68" s="53">
        <v>101</v>
      </c>
      <c r="V68" s="53">
        <v>82</v>
      </c>
      <c r="W68" s="53">
        <v>15</v>
      </c>
      <c r="X68" s="53">
        <v>113</v>
      </c>
    </row>
    <row r="69" spans="2:24">
      <c r="B69" s="49" t="s">
        <v>137</v>
      </c>
      <c r="C69" s="52" t="s">
        <v>138</v>
      </c>
      <c r="D69" s="52" t="s">
        <v>275</v>
      </c>
      <c r="E69" s="53">
        <v>102</v>
      </c>
      <c r="F69" s="53">
        <v>43</v>
      </c>
      <c r="G69" s="53">
        <v>59</v>
      </c>
      <c r="H69" s="53">
        <v>0</v>
      </c>
      <c r="I69" s="53">
        <v>3</v>
      </c>
      <c r="J69" s="53">
        <v>0</v>
      </c>
      <c r="K69" s="53">
        <v>0</v>
      </c>
      <c r="L69" s="53">
        <v>41</v>
      </c>
      <c r="M69" s="53">
        <v>0</v>
      </c>
      <c r="N69" s="53">
        <v>58</v>
      </c>
      <c r="O69" s="53">
        <f t="shared" si="1"/>
        <v>0</v>
      </c>
      <c r="P69" s="53"/>
      <c r="Q69" s="53">
        <v>3</v>
      </c>
      <c r="R69" s="53">
        <v>8</v>
      </c>
      <c r="S69" s="53">
        <v>13</v>
      </c>
      <c r="T69" s="53">
        <v>25</v>
      </c>
      <c r="U69" s="53">
        <v>14</v>
      </c>
      <c r="V69" s="53">
        <v>24</v>
      </c>
      <c r="W69" s="53">
        <v>3</v>
      </c>
      <c r="X69" s="53">
        <v>15</v>
      </c>
    </row>
    <row r="70" spans="2:24">
      <c r="B70" s="49" t="s">
        <v>139</v>
      </c>
      <c r="C70" s="52" t="s">
        <v>140</v>
      </c>
      <c r="D70" s="52" t="s">
        <v>273</v>
      </c>
      <c r="E70" s="53">
        <v>1240</v>
      </c>
      <c r="F70" s="53">
        <v>569</v>
      </c>
      <c r="G70" s="53">
        <v>653</v>
      </c>
      <c r="H70" s="53">
        <v>18</v>
      </c>
      <c r="I70" s="53">
        <v>37</v>
      </c>
      <c r="J70" s="53">
        <v>3</v>
      </c>
      <c r="K70" s="53">
        <v>4</v>
      </c>
      <c r="L70" s="53">
        <v>766</v>
      </c>
      <c r="M70" s="53">
        <v>0</v>
      </c>
      <c r="N70" s="53">
        <v>503</v>
      </c>
      <c r="O70" s="53">
        <f t="shared" ref="O70:O125" si="2">+M70+K70+J70</f>
        <v>7</v>
      </c>
      <c r="P70" s="53"/>
      <c r="Q70" s="53">
        <v>38</v>
      </c>
      <c r="R70" s="53">
        <v>128</v>
      </c>
      <c r="S70" s="53">
        <v>244</v>
      </c>
      <c r="T70" s="53">
        <v>292</v>
      </c>
      <c r="U70" s="53">
        <v>186</v>
      </c>
      <c r="V70" s="53">
        <v>156</v>
      </c>
      <c r="W70" s="53">
        <v>54</v>
      </c>
      <c r="X70" s="53">
        <v>180</v>
      </c>
    </row>
    <row r="71" spans="2:24">
      <c r="B71" s="49" t="s">
        <v>141</v>
      </c>
      <c r="C71" s="52" t="s">
        <v>142</v>
      </c>
      <c r="D71" s="52" t="s">
        <v>276</v>
      </c>
      <c r="E71" s="53">
        <v>128</v>
      </c>
      <c r="F71" s="53">
        <v>59</v>
      </c>
      <c r="G71" s="53">
        <v>68</v>
      </c>
      <c r="H71" s="53">
        <v>1</v>
      </c>
      <c r="I71" s="53">
        <v>8</v>
      </c>
      <c r="J71" s="53">
        <v>0</v>
      </c>
      <c r="K71" s="53">
        <v>2</v>
      </c>
      <c r="L71" s="53">
        <v>21</v>
      </c>
      <c r="M71" s="53">
        <v>1</v>
      </c>
      <c r="N71" s="53">
        <v>111</v>
      </c>
      <c r="O71" s="53">
        <f t="shared" si="2"/>
        <v>3</v>
      </c>
      <c r="P71" s="53"/>
      <c r="Q71" s="53">
        <v>4</v>
      </c>
      <c r="R71" s="53">
        <v>14</v>
      </c>
      <c r="S71" s="53">
        <v>13</v>
      </c>
      <c r="T71" s="53">
        <v>28</v>
      </c>
      <c r="U71" s="53">
        <v>24</v>
      </c>
      <c r="V71" s="53">
        <v>21</v>
      </c>
      <c r="W71" s="53">
        <v>10</v>
      </c>
      <c r="X71" s="53">
        <v>18</v>
      </c>
    </row>
    <row r="72" spans="2:24">
      <c r="B72" s="49" t="s">
        <v>143</v>
      </c>
      <c r="C72" s="52" t="s">
        <v>144</v>
      </c>
      <c r="D72" s="52" t="s">
        <v>276</v>
      </c>
      <c r="E72" s="53">
        <v>343</v>
      </c>
      <c r="F72" s="53">
        <v>170</v>
      </c>
      <c r="G72" s="53">
        <v>169</v>
      </c>
      <c r="H72" s="53">
        <v>4</v>
      </c>
      <c r="I72" s="53">
        <v>129</v>
      </c>
      <c r="J72" s="53">
        <v>0</v>
      </c>
      <c r="K72" s="53">
        <v>4</v>
      </c>
      <c r="L72" s="53">
        <v>95</v>
      </c>
      <c r="M72" s="53">
        <v>1</v>
      </c>
      <c r="N72" s="53">
        <v>243</v>
      </c>
      <c r="O72" s="53">
        <f t="shared" si="2"/>
        <v>5</v>
      </c>
      <c r="P72" s="53"/>
      <c r="Q72" s="53">
        <v>19</v>
      </c>
      <c r="R72" s="53">
        <v>25</v>
      </c>
      <c r="S72" s="53">
        <v>51</v>
      </c>
      <c r="T72" s="53">
        <v>76</v>
      </c>
      <c r="U72" s="53">
        <v>77</v>
      </c>
      <c r="V72" s="53">
        <v>52</v>
      </c>
      <c r="W72" s="53">
        <v>9</v>
      </c>
      <c r="X72" s="53">
        <v>53</v>
      </c>
    </row>
    <row r="73" spans="2:24">
      <c r="B73" s="49" t="s">
        <v>145</v>
      </c>
      <c r="C73" s="52" t="s">
        <v>146</v>
      </c>
      <c r="D73" s="52" t="s">
        <v>276</v>
      </c>
      <c r="E73" s="53">
        <v>145</v>
      </c>
      <c r="F73" s="53">
        <v>71</v>
      </c>
      <c r="G73" s="53">
        <v>70</v>
      </c>
      <c r="H73" s="53">
        <v>4</v>
      </c>
      <c r="I73" s="53">
        <v>46</v>
      </c>
      <c r="J73" s="53">
        <v>0</v>
      </c>
      <c r="K73" s="53">
        <v>6</v>
      </c>
      <c r="L73" s="53">
        <v>18</v>
      </c>
      <c r="M73" s="53">
        <v>0</v>
      </c>
      <c r="N73" s="53">
        <v>106</v>
      </c>
      <c r="O73" s="53">
        <f t="shared" si="2"/>
        <v>6</v>
      </c>
      <c r="P73" s="53"/>
      <c r="Q73" s="53">
        <v>22</v>
      </c>
      <c r="R73" s="53">
        <v>4</v>
      </c>
      <c r="S73" s="53">
        <v>16</v>
      </c>
      <c r="T73" s="53">
        <v>17</v>
      </c>
      <c r="U73" s="53">
        <v>21</v>
      </c>
      <c r="V73" s="53">
        <v>17</v>
      </c>
      <c r="W73" s="53">
        <v>8</v>
      </c>
      <c r="X73" s="53">
        <v>62</v>
      </c>
    </row>
    <row r="74" spans="2:24">
      <c r="B74" s="49" t="s">
        <v>147</v>
      </c>
      <c r="C74" s="52" t="s">
        <v>148</v>
      </c>
      <c r="D74" s="52" t="s">
        <v>272</v>
      </c>
      <c r="E74" s="53">
        <v>162</v>
      </c>
      <c r="F74" s="53">
        <v>83</v>
      </c>
      <c r="G74" s="53">
        <v>78</v>
      </c>
      <c r="H74" s="53">
        <v>1</v>
      </c>
      <c r="I74" s="53">
        <v>5</v>
      </c>
      <c r="J74" s="53">
        <v>0</v>
      </c>
      <c r="K74" s="53">
        <v>2</v>
      </c>
      <c r="L74" s="53">
        <v>42</v>
      </c>
      <c r="M74" s="53">
        <v>0</v>
      </c>
      <c r="N74" s="53">
        <v>124</v>
      </c>
      <c r="O74" s="53">
        <f t="shared" si="2"/>
        <v>2</v>
      </c>
      <c r="P74" s="53"/>
      <c r="Q74" s="53">
        <v>12</v>
      </c>
      <c r="R74" s="53">
        <v>12</v>
      </c>
      <c r="S74" s="53">
        <v>20</v>
      </c>
      <c r="T74" s="53">
        <v>21</v>
      </c>
      <c r="U74" s="53">
        <v>33</v>
      </c>
      <c r="V74" s="53">
        <v>22</v>
      </c>
      <c r="W74" s="53">
        <v>13</v>
      </c>
      <c r="X74" s="53">
        <v>41</v>
      </c>
    </row>
    <row r="75" spans="2:24">
      <c r="B75" s="49" t="s">
        <v>149</v>
      </c>
      <c r="C75" s="52" t="s">
        <v>150</v>
      </c>
      <c r="D75" s="52" t="s">
        <v>273</v>
      </c>
      <c r="E75" s="53">
        <v>390</v>
      </c>
      <c r="F75" s="53">
        <v>182</v>
      </c>
      <c r="G75" s="53">
        <v>208</v>
      </c>
      <c r="H75" s="53">
        <v>0</v>
      </c>
      <c r="I75" s="53">
        <v>5</v>
      </c>
      <c r="J75" s="53">
        <v>0</v>
      </c>
      <c r="K75" s="53">
        <v>0</v>
      </c>
      <c r="L75" s="53">
        <v>190</v>
      </c>
      <c r="M75" s="53">
        <v>0</v>
      </c>
      <c r="N75" s="53">
        <v>196</v>
      </c>
      <c r="O75" s="53">
        <f t="shared" si="2"/>
        <v>0</v>
      </c>
      <c r="P75" s="53"/>
      <c r="Q75" s="53">
        <v>11</v>
      </c>
      <c r="R75" s="53">
        <v>20</v>
      </c>
      <c r="S75" s="53">
        <v>44</v>
      </c>
      <c r="T75" s="53">
        <v>95</v>
      </c>
      <c r="U75" s="53">
        <v>82</v>
      </c>
      <c r="V75" s="53">
        <v>56</v>
      </c>
      <c r="W75" s="53">
        <v>19</v>
      </c>
      <c r="X75" s="53">
        <v>74</v>
      </c>
    </row>
    <row r="76" spans="2:24">
      <c r="B76" s="49" t="s">
        <v>151</v>
      </c>
      <c r="C76" s="52" t="s">
        <v>152</v>
      </c>
      <c r="D76" s="52" t="s">
        <v>275</v>
      </c>
      <c r="E76" s="53">
        <v>164</v>
      </c>
      <c r="F76" s="53">
        <v>77</v>
      </c>
      <c r="G76" s="53">
        <v>82</v>
      </c>
      <c r="H76" s="53">
        <v>5</v>
      </c>
      <c r="I76" s="53">
        <v>2</v>
      </c>
      <c r="J76" s="53">
        <v>0</v>
      </c>
      <c r="K76" s="53">
        <v>0</v>
      </c>
      <c r="L76" s="53">
        <v>45</v>
      </c>
      <c r="M76" s="53">
        <v>0</v>
      </c>
      <c r="N76" s="53">
        <v>102</v>
      </c>
      <c r="O76" s="53">
        <f t="shared" si="2"/>
        <v>0</v>
      </c>
      <c r="P76" s="53"/>
      <c r="Q76" s="53">
        <v>19</v>
      </c>
      <c r="R76" s="53">
        <v>7</v>
      </c>
      <c r="S76" s="53">
        <v>22</v>
      </c>
      <c r="T76" s="53">
        <v>21</v>
      </c>
      <c r="U76" s="53">
        <v>28</v>
      </c>
      <c r="V76" s="53">
        <v>19</v>
      </c>
      <c r="W76" s="53">
        <v>10</v>
      </c>
      <c r="X76" s="53">
        <v>57</v>
      </c>
    </row>
    <row r="77" spans="2:24">
      <c r="B77" s="49" t="s">
        <v>153</v>
      </c>
      <c r="C77" s="52" t="s">
        <v>154</v>
      </c>
      <c r="D77" s="52" t="s">
        <v>278</v>
      </c>
      <c r="E77" s="53">
        <v>573</v>
      </c>
      <c r="F77" s="53">
        <v>279</v>
      </c>
      <c r="G77" s="53">
        <v>291</v>
      </c>
      <c r="H77" s="53">
        <v>3</v>
      </c>
      <c r="I77" s="53">
        <v>9</v>
      </c>
      <c r="J77" s="53">
        <v>1</v>
      </c>
      <c r="K77" s="53">
        <v>1</v>
      </c>
      <c r="L77" s="53">
        <v>37</v>
      </c>
      <c r="M77" s="53">
        <v>0</v>
      </c>
      <c r="N77" s="53">
        <v>526</v>
      </c>
      <c r="O77" s="53">
        <f t="shared" si="2"/>
        <v>2</v>
      </c>
      <c r="P77" s="53"/>
      <c r="Q77" s="53">
        <v>21</v>
      </c>
      <c r="R77" s="53">
        <v>48</v>
      </c>
      <c r="S77" s="53">
        <v>108</v>
      </c>
      <c r="T77" s="53">
        <v>134</v>
      </c>
      <c r="U77" s="53">
        <v>118</v>
      </c>
      <c r="V77" s="53">
        <v>88</v>
      </c>
      <c r="W77" s="53">
        <v>26</v>
      </c>
      <c r="X77" s="53">
        <v>51</v>
      </c>
    </row>
    <row r="78" spans="2:24">
      <c r="B78" s="49" t="s">
        <v>155</v>
      </c>
      <c r="C78" s="52" t="s">
        <v>156</v>
      </c>
      <c r="D78" s="52" t="s">
        <v>273</v>
      </c>
      <c r="E78" s="53">
        <v>172</v>
      </c>
      <c r="F78" s="53">
        <v>68</v>
      </c>
      <c r="G78" s="53">
        <v>103</v>
      </c>
      <c r="H78" s="53">
        <v>1</v>
      </c>
      <c r="I78" s="53">
        <v>2</v>
      </c>
      <c r="J78" s="53">
        <v>0</v>
      </c>
      <c r="K78" s="53">
        <v>0</v>
      </c>
      <c r="L78" s="53">
        <v>13</v>
      </c>
      <c r="M78" s="53">
        <v>0</v>
      </c>
      <c r="N78" s="53">
        <v>154</v>
      </c>
      <c r="O78" s="53">
        <f t="shared" si="2"/>
        <v>0</v>
      </c>
      <c r="P78" s="53"/>
      <c r="Q78" s="53">
        <v>10</v>
      </c>
      <c r="R78" s="53">
        <v>10</v>
      </c>
      <c r="S78" s="53">
        <v>30</v>
      </c>
      <c r="T78" s="53">
        <v>40</v>
      </c>
      <c r="U78" s="53">
        <v>26</v>
      </c>
      <c r="V78" s="53">
        <v>28</v>
      </c>
      <c r="W78" s="53">
        <v>18</v>
      </c>
      <c r="X78" s="53">
        <v>20</v>
      </c>
    </row>
    <row r="79" spans="2:24">
      <c r="B79" s="49" t="s">
        <v>157</v>
      </c>
      <c r="C79" s="52" t="s">
        <v>158</v>
      </c>
      <c r="D79" s="52" t="s">
        <v>275</v>
      </c>
      <c r="E79" s="53">
        <v>165</v>
      </c>
      <c r="F79" s="53">
        <v>83</v>
      </c>
      <c r="G79" s="53">
        <v>77</v>
      </c>
      <c r="H79" s="53">
        <v>5</v>
      </c>
      <c r="I79" s="53">
        <v>1</v>
      </c>
      <c r="J79" s="53">
        <v>0</v>
      </c>
      <c r="K79" s="53">
        <v>0</v>
      </c>
      <c r="L79" s="53">
        <v>23</v>
      </c>
      <c r="M79" s="53">
        <v>0</v>
      </c>
      <c r="N79" s="53">
        <v>124</v>
      </c>
      <c r="O79" s="53">
        <f t="shared" si="2"/>
        <v>0</v>
      </c>
      <c r="P79" s="53"/>
      <c r="Q79" s="53">
        <v>23</v>
      </c>
      <c r="R79" s="53">
        <v>13</v>
      </c>
      <c r="S79" s="53">
        <v>15</v>
      </c>
      <c r="T79" s="53">
        <v>21</v>
      </c>
      <c r="U79" s="53">
        <v>22</v>
      </c>
      <c r="V79" s="53">
        <v>32</v>
      </c>
      <c r="W79" s="53">
        <v>15</v>
      </c>
      <c r="X79" s="53">
        <v>47</v>
      </c>
    </row>
    <row r="80" spans="2:24">
      <c r="B80" s="49" t="s">
        <v>159</v>
      </c>
      <c r="C80" s="52" t="s">
        <v>160</v>
      </c>
      <c r="D80" s="52" t="s">
        <v>272</v>
      </c>
      <c r="E80" s="53">
        <v>2604</v>
      </c>
      <c r="F80" s="53">
        <v>1279</v>
      </c>
      <c r="G80" s="53">
        <v>1282</v>
      </c>
      <c r="H80" s="53">
        <v>43</v>
      </c>
      <c r="I80" s="53">
        <v>144</v>
      </c>
      <c r="J80" s="53">
        <v>4</v>
      </c>
      <c r="K80" s="53">
        <v>21</v>
      </c>
      <c r="L80" s="53">
        <v>1561</v>
      </c>
      <c r="M80" s="53">
        <v>14</v>
      </c>
      <c r="N80" s="53">
        <v>895</v>
      </c>
      <c r="O80" s="53">
        <f t="shared" si="2"/>
        <v>39</v>
      </c>
      <c r="P80" s="53"/>
      <c r="Q80" s="53">
        <v>283</v>
      </c>
      <c r="R80" s="53">
        <v>158</v>
      </c>
      <c r="S80" s="53">
        <v>399</v>
      </c>
      <c r="T80" s="53">
        <v>499</v>
      </c>
      <c r="U80" s="53">
        <v>412</v>
      </c>
      <c r="V80" s="53">
        <v>372</v>
      </c>
      <c r="W80" s="53">
        <v>145</v>
      </c>
      <c r="X80" s="53">
        <v>619</v>
      </c>
    </row>
    <row r="81" spans="2:24">
      <c r="B81" s="49" t="s">
        <v>161</v>
      </c>
      <c r="C81" s="52" t="s">
        <v>162</v>
      </c>
      <c r="D81" s="52" t="s">
        <v>272</v>
      </c>
      <c r="E81" s="53">
        <v>3167</v>
      </c>
      <c r="F81" s="53">
        <v>1558</v>
      </c>
      <c r="G81" s="53">
        <v>1542</v>
      </c>
      <c r="H81" s="53">
        <v>67</v>
      </c>
      <c r="I81" s="53">
        <v>124</v>
      </c>
      <c r="J81" s="53">
        <v>11</v>
      </c>
      <c r="K81" s="53">
        <v>42</v>
      </c>
      <c r="L81" s="53">
        <v>2162</v>
      </c>
      <c r="M81" s="53">
        <v>8</v>
      </c>
      <c r="N81" s="53">
        <v>973</v>
      </c>
      <c r="O81" s="53">
        <f t="shared" si="2"/>
        <v>61</v>
      </c>
      <c r="P81" s="53"/>
      <c r="Q81" s="53">
        <v>139</v>
      </c>
      <c r="R81" s="53">
        <v>253</v>
      </c>
      <c r="S81" s="53">
        <v>502</v>
      </c>
      <c r="T81" s="53">
        <v>599</v>
      </c>
      <c r="U81" s="53">
        <v>561</v>
      </c>
      <c r="V81" s="53">
        <v>465</v>
      </c>
      <c r="W81" s="53">
        <v>214</v>
      </c>
      <c r="X81" s="53">
        <v>573</v>
      </c>
    </row>
    <row r="82" spans="2:24">
      <c r="B82" s="49" t="s">
        <v>163</v>
      </c>
      <c r="C82" s="52" t="s">
        <v>164</v>
      </c>
      <c r="D82" s="52" t="s">
        <v>272</v>
      </c>
      <c r="E82" s="53">
        <v>91</v>
      </c>
      <c r="F82" s="53">
        <v>44</v>
      </c>
      <c r="G82" s="53">
        <v>47</v>
      </c>
      <c r="H82" s="53">
        <v>0</v>
      </c>
      <c r="I82" s="53">
        <v>6</v>
      </c>
      <c r="J82" s="53">
        <v>1</v>
      </c>
      <c r="K82" s="53">
        <v>2</v>
      </c>
      <c r="L82" s="53">
        <v>42</v>
      </c>
      <c r="M82" s="53">
        <v>2</v>
      </c>
      <c r="N82" s="53">
        <v>45</v>
      </c>
      <c r="O82" s="53">
        <f t="shared" si="2"/>
        <v>5</v>
      </c>
      <c r="P82" s="53"/>
      <c r="Q82" s="53">
        <v>0</v>
      </c>
      <c r="R82" s="53">
        <v>6</v>
      </c>
      <c r="S82" s="53">
        <v>10</v>
      </c>
      <c r="T82" s="53">
        <v>26</v>
      </c>
      <c r="U82" s="53">
        <v>19</v>
      </c>
      <c r="V82" s="53">
        <v>12</v>
      </c>
      <c r="W82" s="53">
        <v>6</v>
      </c>
      <c r="X82" s="53">
        <v>12</v>
      </c>
    </row>
    <row r="83" spans="2:24">
      <c r="B83" s="49" t="s">
        <v>165</v>
      </c>
      <c r="C83" s="52" t="s">
        <v>166</v>
      </c>
      <c r="D83" s="52" t="s">
        <v>275</v>
      </c>
      <c r="E83" s="53">
        <v>98</v>
      </c>
      <c r="F83" s="53">
        <v>58</v>
      </c>
      <c r="G83" s="53">
        <v>39</v>
      </c>
      <c r="H83" s="53">
        <v>1</v>
      </c>
      <c r="I83" s="53">
        <v>5</v>
      </c>
      <c r="J83" s="53">
        <v>0</v>
      </c>
      <c r="K83" s="53">
        <v>0</v>
      </c>
      <c r="L83" s="53">
        <v>49</v>
      </c>
      <c r="M83" s="53">
        <v>0</v>
      </c>
      <c r="N83" s="53">
        <v>52</v>
      </c>
      <c r="O83" s="53">
        <f t="shared" si="2"/>
        <v>0</v>
      </c>
      <c r="P83" s="53"/>
      <c r="Q83" s="53">
        <v>2</v>
      </c>
      <c r="R83" s="53">
        <v>5</v>
      </c>
      <c r="S83" s="53">
        <v>11</v>
      </c>
      <c r="T83" s="53">
        <v>21</v>
      </c>
      <c r="U83" s="53">
        <v>29</v>
      </c>
      <c r="V83" s="53">
        <v>18</v>
      </c>
      <c r="W83" s="53">
        <v>1</v>
      </c>
      <c r="X83" s="53">
        <v>13</v>
      </c>
    </row>
    <row r="84" spans="2:24">
      <c r="B84" s="49" t="s">
        <v>167</v>
      </c>
      <c r="C84" s="52" t="s">
        <v>168</v>
      </c>
      <c r="D84" s="52" t="s">
        <v>278</v>
      </c>
      <c r="E84" s="53">
        <v>49</v>
      </c>
      <c r="F84" s="53">
        <v>21</v>
      </c>
      <c r="G84" s="53">
        <v>28</v>
      </c>
      <c r="H84" s="53">
        <v>0</v>
      </c>
      <c r="I84" s="53">
        <v>0</v>
      </c>
      <c r="J84" s="53">
        <v>0</v>
      </c>
      <c r="K84" s="53">
        <v>0</v>
      </c>
      <c r="L84" s="53">
        <v>7</v>
      </c>
      <c r="M84" s="53">
        <v>0</v>
      </c>
      <c r="N84" s="53">
        <v>48</v>
      </c>
      <c r="O84" s="53">
        <f t="shared" si="2"/>
        <v>0</v>
      </c>
      <c r="P84" s="53"/>
      <c r="Q84" s="53">
        <v>0</v>
      </c>
      <c r="R84" s="53">
        <v>3</v>
      </c>
      <c r="S84" s="53">
        <v>8</v>
      </c>
      <c r="T84" s="53">
        <v>7</v>
      </c>
      <c r="U84" s="53">
        <v>14</v>
      </c>
      <c r="V84" s="53">
        <v>10</v>
      </c>
      <c r="W84" s="53">
        <v>1</v>
      </c>
      <c r="X84" s="53">
        <v>6</v>
      </c>
    </row>
    <row r="85" spans="2:24">
      <c r="B85" s="49" t="s">
        <v>169</v>
      </c>
      <c r="C85" s="52" t="s">
        <v>170</v>
      </c>
      <c r="D85" s="52" t="s">
        <v>275</v>
      </c>
      <c r="E85" s="53">
        <v>72</v>
      </c>
      <c r="F85" s="53">
        <v>35</v>
      </c>
      <c r="G85" s="53">
        <v>37</v>
      </c>
      <c r="H85" s="53">
        <v>0</v>
      </c>
      <c r="I85" s="53">
        <v>1</v>
      </c>
      <c r="J85" s="53">
        <v>0</v>
      </c>
      <c r="K85" s="53">
        <v>0</v>
      </c>
      <c r="L85" s="53">
        <v>30</v>
      </c>
      <c r="M85" s="53">
        <v>0</v>
      </c>
      <c r="N85" s="53">
        <v>40</v>
      </c>
      <c r="O85" s="53">
        <f t="shared" si="2"/>
        <v>0</v>
      </c>
      <c r="P85" s="53"/>
      <c r="Q85" s="53">
        <v>2</v>
      </c>
      <c r="R85" s="53">
        <v>9</v>
      </c>
      <c r="S85" s="53">
        <v>5</v>
      </c>
      <c r="T85" s="53">
        <v>8</v>
      </c>
      <c r="U85" s="53">
        <v>13</v>
      </c>
      <c r="V85" s="53">
        <v>13</v>
      </c>
      <c r="W85" s="53">
        <v>8</v>
      </c>
      <c r="X85" s="53">
        <v>16</v>
      </c>
    </row>
    <row r="86" spans="2:24">
      <c r="B86" s="49" t="s">
        <v>171</v>
      </c>
      <c r="C86" s="52" t="s">
        <v>172</v>
      </c>
      <c r="D86" s="52" t="s">
        <v>276</v>
      </c>
      <c r="E86" s="53">
        <v>370</v>
      </c>
      <c r="F86" s="53">
        <v>176</v>
      </c>
      <c r="G86" s="53">
        <v>192</v>
      </c>
      <c r="H86" s="53">
        <v>2</v>
      </c>
      <c r="I86" s="53">
        <v>26</v>
      </c>
      <c r="J86" s="53">
        <v>0</v>
      </c>
      <c r="K86" s="53">
        <v>2</v>
      </c>
      <c r="L86" s="53">
        <v>75</v>
      </c>
      <c r="M86" s="53">
        <v>1</v>
      </c>
      <c r="N86" s="53">
        <v>288</v>
      </c>
      <c r="O86" s="53">
        <f t="shared" si="2"/>
        <v>3</v>
      </c>
      <c r="P86" s="53"/>
      <c r="Q86" s="53">
        <v>17</v>
      </c>
      <c r="R86" s="53">
        <v>24</v>
      </c>
      <c r="S86" s="53">
        <v>74</v>
      </c>
      <c r="T86" s="53">
        <v>75</v>
      </c>
      <c r="U86" s="53">
        <v>61</v>
      </c>
      <c r="V86" s="53">
        <v>74</v>
      </c>
      <c r="W86" s="53">
        <v>31</v>
      </c>
      <c r="X86" s="53">
        <v>31</v>
      </c>
    </row>
    <row r="87" spans="2:24">
      <c r="B87" s="49" t="s">
        <v>173</v>
      </c>
      <c r="C87" s="52" t="s">
        <v>174</v>
      </c>
      <c r="D87" s="52" t="s">
        <v>276</v>
      </c>
      <c r="E87" s="53">
        <v>286</v>
      </c>
      <c r="F87" s="53">
        <v>123</v>
      </c>
      <c r="G87" s="53">
        <v>159</v>
      </c>
      <c r="H87" s="53">
        <v>4</v>
      </c>
      <c r="I87" s="53">
        <v>5</v>
      </c>
      <c r="J87" s="53">
        <v>0</v>
      </c>
      <c r="K87" s="53">
        <v>0</v>
      </c>
      <c r="L87" s="53">
        <v>11</v>
      </c>
      <c r="M87" s="53">
        <v>0</v>
      </c>
      <c r="N87" s="53">
        <v>277</v>
      </c>
      <c r="O87" s="53">
        <f t="shared" si="2"/>
        <v>0</v>
      </c>
      <c r="P87" s="53"/>
      <c r="Q87" s="53">
        <v>0</v>
      </c>
      <c r="R87" s="53">
        <v>24</v>
      </c>
      <c r="S87" s="53">
        <v>34</v>
      </c>
      <c r="T87" s="53">
        <v>71</v>
      </c>
      <c r="U87" s="53">
        <v>47</v>
      </c>
      <c r="V87" s="53">
        <v>48</v>
      </c>
      <c r="W87" s="53">
        <v>18</v>
      </c>
      <c r="X87" s="53">
        <v>44</v>
      </c>
    </row>
    <row r="88" spans="2:24">
      <c r="B88" s="49" t="s">
        <v>175</v>
      </c>
      <c r="C88" s="52" t="s">
        <v>176</v>
      </c>
      <c r="D88" s="52" t="s">
        <v>278</v>
      </c>
      <c r="E88" s="53">
        <v>179</v>
      </c>
      <c r="F88" s="53">
        <v>88</v>
      </c>
      <c r="G88" s="53">
        <v>88</v>
      </c>
      <c r="H88" s="53">
        <v>3</v>
      </c>
      <c r="I88" s="53">
        <v>9</v>
      </c>
      <c r="J88" s="53">
        <v>0</v>
      </c>
      <c r="K88" s="53">
        <v>0</v>
      </c>
      <c r="L88" s="53">
        <v>22</v>
      </c>
      <c r="M88" s="53">
        <v>0</v>
      </c>
      <c r="N88" s="53">
        <v>149</v>
      </c>
      <c r="O88" s="53">
        <f t="shared" si="2"/>
        <v>0</v>
      </c>
      <c r="P88" s="53"/>
      <c r="Q88" s="53">
        <v>10</v>
      </c>
      <c r="R88" s="53">
        <v>20</v>
      </c>
      <c r="S88" s="53">
        <v>38</v>
      </c>
      <c r="T88" s="53">
        <v>53</v>
      </c>
      <c r="U88" s="53">
        <v>28</v>
      </c>
      <c r="V88" s="53">
        <v>13</v>
      </c>
      <c r="W88" s="53">
        <v>14</v>
      </c>
      <c r="X88" s="53">
        <v>13</v>
      </c>
    </row>
    <row r="89" spans="2:24">
      <c r="B89" s="49" t="s">
        <v>177</v>
      </c>
      <c r="C89" s="52" t="s">
        <v>178</v>
      </c>
      <c r="D89" s="52" t="s">
        <v>275</v>
      </c>
      <c r="E89" s="53">
        <v>321</v>
      </c>
      <c r="F89" s="53">
        <v>153</v>
      </c>
      <c r="G89" s="53">
        <v>161</v>
      </c>
      <c r="H89" s="53">
        <v>7</v>
      </c>
      <c r="I89" s="53">
        <v>11</v>
      </c>
      <c r="J89" s="53">
        <v>0</v>
      </c>
      <c r="K89" s="53">
        <v>0</v>
      </c>
      <c r="L89" s="53">
        <v>256</v>
      </c>
      <c r="M89" s="53">
        <v>2</v>
      </c>
      <c r="N89" s="53">
        <v>46</v>
      </c>
      <c r="O89" s="53">
        <f t="shared" si="2"/>
        <v>2</v>
      </c>
      <c r="P89" s="53"/>
      <c r="Q89" s="53">
        <v>23</v>
      </c>
      <c r="R89" s="53">
        <v>33</v>
      </c>
      <c r="S89" s="53">
        <v>60</v>
      </c>
      <c r="T89" s="53">
        <v>68</v>
      </c>
      <c r="U89" s="53">
        <v>40</v>
      </c>
      <c r="V89" s="53">
        <v>34</v>
      </c>
      <c r="W89" s="53">
        <v>18</v>
      </c>
      <c r="X89" s="53">
        <v>68</v>
      </c>
    </row>
    <row r="90" spans="2:24">
      <c r="B90" s="49" t="s">
        <v>179</v>
      </c>
      <c r="C90" s="52" t="s">
        <v>180</v>
      </c>
      <c r="D90" s="52" t="s">
        <v>273</v>
      </c>
      <c r="E90" s="53">
        <v>614</v>
      </c>
      <c r="F90" s="53">
        <v>269</v>
      </c>
      <c r="G90" s="53">
        <v>330</v>
      </c>
      <c r="H90" s="53">
        <v>15</v>
      </c>
      <c r="I90" s="53">
        <v>19</v>
      </c>
      <c r="J90" s="53">
        <v>2</v>
      </c>
      <c r="K90" s="53">
        <v>0</v>
      </c>
      <c r="L90" s="53">
        <v>132</v>
      </c>
      <c r="M90" s="53">
        <v>5</v>
      </c>
      <c r="N90" s="53">
        <v>461</v>
      </c>
      <c r="O90" s="53">
        <f t="shared" si="2"/>
        <v>7</v>
      </c>
      <c r="P90" s="53"/>
      <c r="Q90" s="53">
        <v>55</v>
      </c>
      <c r="R90" s="53">
        <v>42</v>
      </c>
      <c r="S90" s="53">
        <v>91</v>
      </c>
      <c r="T90" s="53">
        <v>128</v>
      </c>
      <c r="U90" s="53">
        <v>79</v>
      </c>
      <c r="V90" s="53">
        <v>95</v>
      </c>
      <c r="W90" s="53">
        <v>31</v>
      </c>
      <c r="X90" s="53">
        <v>148</v>
      </c>
    </row>
    <row r="91" spans="2:24">
      <c r="B91" s="49" t="s">
        <v>181</v>
      </c>
      <c r="C91" s="52" t="s">
        <v>182</v>
      </c>
      <c r="D91" s="52" t="s">
        <v>272</v>
      </c>
      <c r="E91" s="53">
        <v>1806</v>
      </c>
      <c r="F91" s="53">
        <v>884</v>
      </c>
      <c r="G91" s="53">
        <v>866</v>
      </c>
      <c r="H91" s="53">
        <v>56</v>
      </c>
      <c r="I91" s="53">
        <v>45</v>
      </c>
      <c r="J91" s="53">
        <v>1</v>
      </c>
      <c r="K91" s="53">
        <v>15</v>
      </c>
      <c r="L91" s="53">
        <v>1209</v>
      </c>
      <c r="M91" s="53">
        <v>4</v>
      </c>
      <c r="N91" s="53">
        <v>510</v>
      </c>
      <c r="O91" s="53">
        <f t="shared" si="2"/>
        <v>20</v>
      </c>
      <c r="P91" s="53"/>
      <c r="Q91" s="53">
        <v>114</v>
      </c>
      <c r="R91" s="53">
        <v>128</v>
      </c>
      <c r="S91" s="53">
        <v>348</v>
      </c>
      <c r="T91" s="53">
        <v>404</v>
      </c>
      <c r="U91" s="53">
        <v>275</v>
      </c>
      <c r="V91" s="53">
        <v>235</v>
      </c>
      <c r="W91" s="53">
        <v>106</v>
      </c>
      <c r="X91" s="53">
        <v>310</v>
      </c>
    </row>
    <row r="92" spans="2:24">
      <c r="B92" s="49" t="s">
        <v>183</v>
      </c>
      <c r="C92" s="52" t="s">
        <v>184</v>
      </c>
      <c r="D92" s="52" t="s">
        <v>275</v>
      </c>
      <c r="E92" s="53">
        <v>104</v>
      </c>
      <c r="F92" s="53">
        <v>45</v>
      </c>
      <c r="G92" s="53">
        <v>57</v>
      </c>
      <c r="H92" s="53">
        <v>2</v>
      </c>
      <c r="I92" s="53">
        <v>1</v>
      </c>
      <c r="J92" s="53">
        <v>0</v>
      </c>
      <c r="K92" s="53">
        <v>3</v>
      </c>
      <c r="L92" s="53">
        <v>14</v>
      </c>
      <c r="M92" s="53">
        <v>0</v>
      </c>
      <c r="N92" s="53">
        <v>80</v>
      </c>
      <c r="O92" s="53">
        <f t="shared" si="2"/>
        <v>3</v>
      </c>
      <c r="P92" s="53"/>
      <c r="Q92" s="53">
        <v>13</v>
      </c>
      <c r="R92" s="53">
        <v>4</v>
      </c>
      <c r="S92" s="53">
        <v>18</v>
      </c>
      <c r="T92" s="53">
        <v>18</v>
      </c>
      <c r="U92" s="53">
        <v>23</v>
      </c>
      <c r="V92" s="53">
        <v>18</v>
      </c>
      <c r="W92" s="53">
        <v>3</v>
      </c>
      <c r="X92" s="53">
        <v>20</v>
      </c>
    </row>
    <row r="93" spans="2:24">
      <c r="B93" s="49" t="s">
        <v>185</v>
      </c>
      <c r="C93" s="52" t="s">
        <v>186</v>
      </c>
      <c r="D93" s="52" t="s">
        <v>275</v>
      </c>
      <c r="E93" s="53">
        <v>186</v>
      </c>
      <c r="F93" s="53">
        <v>88</v>
      </c>
      <c r="G93" s="53">
        <v>94</v>
      </c>
      <c r="H93" s="53">
        <v>4</v>
      </c>
      <c r="I93" s="53">
        <v>6</v>
      </c>
      <c r="J93" s="53">
        <v>0</v>
      </c>
      <c r="K93" s="53">
        <v>0</v>
      </c>
      <c r="L93" s="53">
        <v>95</v>
      </c>
      <c r="M93" s="53">
        <v>1</v>
      </c>
      <c r="N93" s="53">
        <v>88</v>
      </c>
      <c r="O93" s="53">
        <f t="shared" si="2"/>
        <v>1</v>
      </c>
      <c r="P93" s="53"/>
      <c r="Q93" s="53">
        <v>11</v>
      </c>
      <c r="R93" s="53">
        <v>12</v>
      </c>
      <c r="S93" s="53">
        <v>33</v>
      </c>
      <c r="T93" s="53">
        <v>42</v>
      </c>
      <c r="U93" s="53">
        <v>40</v>
      </c>
      <c r="V93" s="53">
        <v>22</v>
      </c>
      <c r="W93" s="53">
        <v>16</v>
      </c>
      <c r="X93" s="53">
        <v>21</v>
      </c>
    </row>
    <row r="94" spans="2:24">
      <c r="B94" s="49" t="s">
        <v>187</v>
      </c>
      <c r="C94" s="52" t="s">
        <v>188</v>
      </c>
      <c r="D94" s="52" t="s">
        <v>272</v>
      </c>
      <c r="E94" s="53">
        <v>171</v>
      </c>
      <c r="F94" s="53">
        <v>81</v>
      </c>
      <c r="G94" s="53">
        <v>90</v>
      </c>
      <c r="H94" s="53">
        <v>0</v>
      </c>
      <c r="I94" s="53">
        <v>6</v>
      </c>
      <c r="J94" s="53">
        <v>0</v>
      </c>
      <c r="K94" s="53">
        <v>3</v>
      </c>
      <c r="L94" s="53">
        <v>54</v>
      </c>
      <c r="M94" s="53">
        <v>0</v>
      </c>
      <c r="N94" s="53">
        <v>108</v>
      </c>
      <c r="O94" s="53">
        <f t="shared" si="2"/>
        <v>3</v>
      </c>
      <c r="P94" s="53"/>
      <c r="Q94" s="53">
        <v>14</v>
      </c>
      <c r="R94" s="53">
        <v>9</v>
      </c>
      <c r="S94" s="53">
        <v>30</v>
      </c>
      <c r="T94" s="53">
        <v>35</v>
      </c>
      <c r="U94" s="53">
        <v>26</v>
      </c>
      <c r="V94" s="53">
        <v>30</v>
      </c>
      <c r="W94" s="53">
        <v>14</v>
      </c>
      <c r="X94" s="53">
        <v>27</v>
      </c>
    </row>
    <row r="95" spans="2:24">
      <c r="B95" s="49" t="s">
        <v>189</v>
      </c>
      <c r="C95" s="52" t="s">
        <v>190</v>
      </c>
      <c r="D95" s="52" t="s">
        <v>276</v>
      </c>
      <c r="E95" s="53">
        <v>5581</v>
      </c>
      <c r="F95" s="53">
        <v>2630</v>
      </c>
      <c r="G95" s="53">
        <v>2848</v>
      </c>
      <c r="H95" s="53">
        <v>103</v>
      </c>
      <c r="I95" s="53">
        <v>1176</v>
      </c>
      <c r="J95" s="53">
        <v>2</v>
      </c>
      <c r="K95" s="53">
        <v>124</v>
      </c>
      <c r="L95" s="53">
        <v>2026</v>
      </c>
      <c r="M95" s="53">
        <v>19</v>
      </c>
      <c r="N95" s="53">
        <v>2888</v>
      </c>
      <c r="O95" s="53">
        <f t="shared" si="2"/>
        <v>145</v>
      </c>
      <c r="P95" s="53"/>
      <c r="Q95" s="53">
        <v>852</v>
      </c>
      <c r="R95" s="53">
        <v>292</v>
      </c>
      <c r="S95" s="53">
        <v>778</v>
      </c>
      <c r="T95" s="53">
        <v>1086</v>
      </c>
      <c r="U95" s="53">
        <v>1032</v>
      </c>
      <c r="V95" s="53">
        <v>920</v>
      </c>
      <c r="W95" s="53">
        <v>399</v>
      </c>
      <c r="X95" s="53">
        <v>1074</v>
      </c>
    </row>
    <row r="96" spans="2:24">
      <c r="B96" s="49" t="s">
        <v>191</v>
      </c>
      <c r="C96" s="52" t="s">
        <v>192</v>
      </c>
      <c r="D96" s="52" t="s">
        <v>278</v>
      </c>
      <c r="E96" s="53">
        <v>1051</v>
      </c>
      <c r="F96" s="53">
        <v>495</v>
      </c>
      <c r="G96" s="53">
        <v>515</v>
      </c>
      <c r="H96" s="53">
        <v>41</v>
      </c>
      <c r="I96" s="53">
        <v>20</v>
      </c>
      <c r="J96" s="53">
        <v>1</v>
      </c>
      <c r="K96" s="53">
        <v>3</v>
      </c>
      <c r="L96" s="53">
        <v>163</v>
      </c>
      <c r="M96" s="53">
        <v>1</v>
      </c>
      <c r="N96" s="53">
        <v>915</v>
      </c>
      <c r="O96" s="53">
        <f t="shared" si="2"/>
        <v>5</v>
      </c>
      <c r="P96" s="53"/>
      <c r="Q96" s="53">
        <v>69</v>
      </c>
      <c r="R96" s="53">
        <v>76</v>
      </c>
      <c r="S96" s="53">
        <v>231</v>
      </c>
      <c r="T96" s="53">
        <v>180</v>
      </c>
      <c r="U96" s="53">
        <v>169</v>
      </c>
      <c r="V96" s="53">
        <v>169</v>
      </c>
      <c r="W96" s="53">
        <v>97</v>
      </c>
      <c r="X96" s="53">
        <v>129</v>
      </c>
    </row>
    <row r="97" spans="2:24">
      <c r="B97" s="49" t="s">
        <v>193</v>
      </c>
      <c r="C97" s="52" t="s">
        <v>194</v>
      </c>
      <c r="D97" s="52" t="s">
        <v>278</v>
      </c>
      <c r="E97" s="53">
        <v>230</v>
      </c>
      <c r="F97" s="53">
        <v>118</v>
      </c>
      <c r="G97" s="53">
        <v>96</v>
      </c>
      <c r="H97" s="53">
        <v>16</v>
      </c>
      <c r="I97" s="53">
        <v>4</v>
      </c>
      <c r="J97" s="53">
        <v>0</v>
      </c>
      <c r="K97" s="53">
        <v>2</v>
      </c>
      <c r="L97" s="53">
        <v>22</v>
      </c>
      <c r="M97" s="53">
        <v>0</v>
      </c>
      <c r="N97" s="53">
        <v>141</v>
      </c>
      <c r="O97" s="53">
        <f t="shared" si="2"/>
        <v>2</v>
      </c>
      <c r="P97" s="53"/>
      <c r="Q97" s="53">
        <v>71</v>
      </c>
      <c r="R97" s="53">
        <v>16</v>
      </c>
      <c r="S97" s="53">
        <v>39</v>
      </c>
      <c r="T97" s="53">
        <v>29</v>
      </c>
      <c r="U97" s="53">
        <v>23</v>
      </c>
      <c r="V97" s="53">
        <v>26</v>
      </c>
      <c r="W97" s="53">
        <v>16</v>
      </c>
      <c r="X97" s="53">
        <v>81</v>
      </c>
    </row>
    <row r="98" spans="2:24">
      <c r="B98" s="49" t="s">
        <v>195</v>
      </c>
      <c r="C98" s="52" t="s">
        <v>196</v>
      </c>
      <c r="D98" s="52" t="s">
        <v>276</v>
      </c>
      <c r="E98" s="53">
        <v>36</v>
      </c>
      <c r="F98" s="53">
        <v>10</v>
      </c>
      <c r="G98" s="53">
        <v>21</v>
      </c>
      <c r="H98" s="53">
        <v>5</v>
      </c>
      <c r="I98" s="53">
        <v>0</v>
      </c>
      <c r="J98" s="53">
        <v>0</v>
      </c>
      <c r="K98" s="53">
        <v>0</v>
      </c>
      <c r="L98" s="53">
        <v>0</v>
      </c>
      <c r="M98" s="53">
        <v>0</v>
      </c>
      <c r="N98" s="53">
        <v>30</v>
      </c>
      <c r="O98" s="53">
        <f t="shared" si="2"/>
        <v>0</v>
      </c>
      <c r="P98" s="53"/>
      <c r="Q98" s="53">
        <v>6</v>
      </c>
      <c r="R98" s="53">
        <v>7</v>
      </c>
      <c r="S98" s="53">
        <v>5</v>
      </c>
      <c r="T98" s="53">
        <v>8</v>
      </c>
      <c r="U98" s="53">
        <v>0</v>
      </c>
      <c r="V98" s="53">
        <v>3</v>
      </c>
      <c r="W98" s="53">
        <v>2</v>
      </c>
      <c r="X98" s="53">
        <v>11</v>
      </c>
    </row>
    <row r="99" spans="2:24">
      <c r="B99" s="49" t="s">
        <v>197</v>
      </c>
      <c r="C99" s="52" t="s">
        <v>198</v>
      </c>
      <c r="D99" s="52" t="s">
        <v>275</v>
      </c>
      <c r="E99" s="53">
        <v>3661</v>
      </c>
      <c r="F99" s="53">
        <v>1751</v>
      </c>
      <c r="G99" s="53">
        <v>1786</v>
      </c>
      <c r="H99" s="53">
        <v>124</v>
      </c>
      <c r="I99" s="53">
        <v>144</v>
      </c>
      <c r="J99" s="53">
        <v>0</v>
      </c>
      <c r="K99" s="53">
        <v>35</v>
      </c>
      <c r="L99" s="53">
        <v>3106</v>
      </c>
      <c r="M99" s="53">
        <v>4</v>
      </c>
      <c r="N99" s="53">
        <v>519</v>
      </c>
      <c r="O99" s="53">
        <f t="shared" si="2"/>
        <v>39</v>
      </c>
      <c r="P99" s="53"/>
      <c r="Q99" s="53">
        <v>123</v>
      </c>
      <c r="R99" s="53">
        <v>308</v>
      </c>
      <c r="S99" s="53">
        <v>644</v>
      </c>
      <c r="T99" s="53">
        <v>795</v>
      </c>
      <c r="U99" s="53">
        <v>642</v>
      </c>
      <c r="V99" s="53">
        <v>490</v>
      </c>
      <c r="W99" s="53">
        <v>273</v>
      </c>
      <c r="X99" s="53">
        <v>509</v>
      </c>
    </row>
    <row r="100" spans="2:24">
      <c r="B100" s="49" t="s">
        <v>199</v>
      </c>
      <c r="C100" s="52" t="s">
        <v>285</v>
      </c>
      <c r="D100" s="52" t="s">
        <v>275</v>
      </c>
      <c r="E100" s="53">
        <v>42</v>
      </c>
      <c r="F100" s="53">
        <v>25</v>
      </c>
      <c r="G100" s="53">
        <v>17</v>
      </c>
      <c r="H100" s="53">
        <v>0</v>
      </c>
      <c r="I100" s="53">
        <v>6</v>
      </c>
      <c r="J100" s="53">
        <v>0</v>
      </c>
      <c r="K100" s="53">
        <v>0</v>
      </c>
      <c r="L100" s="53">
        <v>16</v>
      </c>
      <c r="M100" s="53">
        <v>0</v>
      </c>
      <c r="N100" s="53">
        <v>23</v>
      </c>
      <c r="O100" s="53">
        <f t="shared" si="2"/>
        <v>0</v>
      </c>
      <c r="P100" s="53"/>
      <c r="Q100" s="53">
        <v>3</v>
      </c>
      <c r="R100" s="53">
        <v>7</v>
      </c>
      <c r="S100" s="53">
        <v>7</v>
      </c>
      <c r="T100" s="53">
        <v>7</v>
      </c>
      <c r="U100" s="53">
        <v>3</v>
      </c>
      <c r="V100" s="53">
        <v>6</v>
      </c>
      <c r="W100" s="53">
        <v>3</v>
      </c>
      <c r="X100" s="53">
        <v>9</v>
      </c>
    </row>
    <row r="101" spans="2:24">
      <c r="B101" s="49" t="s">
        <v>201</v>
      </c>
      <c r="C101" s="52" t="s">
        <v>202</v>
      </c>
      <c r="D101" s="52" t="s">
        <v>273</v>
      </c>
      <c r="E101" s="53">
        <v>1888</v>
      </c>
      <c r="F101" s="53">
        <v>954</v>
      </c>
      <c r="G101" s="53">
        <v>907</v>
      </c>
      <c r="H101" s="53">
        <v>27</v>
      </c>
      <c r="I101" s="53">
        <v>120</v>
      </c>
      <c r="J101" s="53">
        <v>0</v>
      </c>
      <c r="K101" s="53">
        <v>12</v>
      </c>
      <c r="L101" s="53">
        <v>814</v>
      </c>
      <c r="M101" s="53">
        <v>25</v>
      </c>
      <c r="N101" s="53">
        <v>1129</v>
      </c>
      <c r="O101" s="53">
        <f t="shared" si="2"/>
        <v>37</v>
      </c>
      <c r="P101" s="53"/>
      <c r="Q101" s="53">
        <v>70</v>
      </c>
      <c r="R101" s="53">
        <v>208</v>
      </c>
      <c r="S101" s="53">
        <v>369</v>
      </c>
      <c r="T101" s="53">
        <v>378</v>
      </c>
      <c r="U101" s="53">
        <v>309</v>
      </c>
      <c r="V101" s="53">
        <v>309</v>
      </c>
      <c r="W101" s="53">
        <v>112</v>
      </c>
      <c r="X101" s="53">
        <v>203</v>
      </c>
    </row>
    <row r="102" spans="2:24">
      <c r="B102" s="49" t="s">
        <v>203</v>
      </c>
      <c r="C102" s="37" t="s">
        <v>368</v>
      </c>
      <c r="D102" s="52" t="s">
        <v>273</v>
      </c>
      <c r="E102" s="54">
        <v>1285</v>
      </c>
      <c r="F102" s="54">
        <v>622</v>
      </c>
      <c r="G102" s="54">
        <v>638</v>
      </c>
      <c r="H102" s="54">
        <v>25</v>
      </c>
      <c r="I102" s="54">
        <v>41</v>
      </c>
      <c r="J102" s="54">
        <v>2</v>
      </c>
      <c r="K102" s="54">
        <v>8</v>
      </c>
      <c r="L102" s="54">
        <v>189</v>
      </c>
      <c r="M102" s="54">
        <v>1</v>
      </c>
      <c r="N102" s="54">
        <v>1071</v>
      </c>
      <c r="O102" s="53">
        <f t="shared" si="2"/>
        <v>11</v>
      </c>
      <c r="P102" s="54">
        <v>0</v>
      </c>
      <c r="Q102" s="54">
        <v>75</v>
      </c>
      <c r="R102" s="54">
        <v>84</v>
      </c>
      <c r="S102" s="54">
        <v>183</v>
      </c>
      <c r="T102" s="54">
        <v>230</v>
      </c>
      <c r="U102" s="54">
        <v>251</v>
      </c>
      <c r="V102" s="54">
        <v>204</v>
      </c>
      <c r="W102" s="54">
        <v>107</v>
      </c>
      <c r="X102" s="54">
        <v>226</v>
      </c>
    </row>
    <row r="103" spans="2:24" ht="31.5">
      <c r="B103" s="49" t="s">
        <v>205</v>
      </c>
      <c r="C103" s="37" t="s">
        <v>359</v>
      </c>
      <c r="D103" s="52" t="s">
        <v>273</v>
      </c>
      <c r="E103" s="54">
        <v>312</v>
      </c>
      <c r="F103" s="54">
        <v>151</v>
      </c>
      <c r="G103" s="54">
        <v>158</v>
      </c>
      <c r="H103" s="54">
        <v>3</v>
      </c>
      <c r="I103" s="54">
        <v>14</v>
      </c>
      <c r="J103" s="54">
        <v>0</v>
      </c>
      <c r="K103" s="54">
        <v>0</v>
      </c>
      <c r="L103" s="54">
        <v>33</v>
      </c>
      <c r="M103" s="54">
        <v>0</v>
      </c>
      <c r="N103" s="54">
        <v>287</v>
      </c>
      <c r="O103" s="53">
        <f t="shared" si="2"/>
        <v>0</v>
      </c>
      <c r="P103" s="54">
        <v>0</v>
      </c>
      <c r="Q103" s="54">
        <v>10</v>
      </c>
      <c r="R103" s="54">
        <v>25</v>
      </c>
      <c r="S103" s="54">
        <v>51</v>
      </c>
      <c r="T103" s="54">
        <v>80</v>
      </c>
      <c r="U103" s="54">
        <v>59</v>
      </c>
      <c r="V103" s="54">
        <v>39</v>
      </c>
      <c r="W103" s="54">
        <v>13</v>
      </c>
      <c r="X103" s="54">
        <v>45</v>
      </c>
    </row>
    <row r="104" spans="2:24" ht="31.5">
      <c r="B104" s="49" t="s">
        <v>207</v>
      </c>
      <c r="C104" s="37" t="s">
        <v>360</v>
      </c>
      <c r="D104" s="52" t="s">
        <v>276</v>
      </c>
      <c r="E104" s="54">
        <v>2388</v>
      </c>
      <c r="F104" s="54">
        <v>1152</v>
      </c>
      <c r="G104" s="54">
        <v>1167</v>
      </c>
      <c r="H104" s="54">
        <v>69</v>
      </c>
      <c r="I104" s="54">
        <v>357</v>
      </c>
      <c r="J104" s="54">
        <v>0</v>
      </c>
      <c r="K104" s="54">
        <v>17</v>
      </c>
      <c r="L104" s="54">
        <v>160</v>
      </c>
      <c r="M104" s="54">
        <v>2</v>
      </c>
      <c r="N104" s="54">
        <v>2239</v>
      </c>
      <c r="O104" s="53">
        <f t="shared" si="2"/>
        <v>19</v>
      </c>
      <c r="P104" s="54">
        <v>0</v>
      </c>
      <c r="Q104" s="54">
        <v>22</v>
      </c>
      <c r="R104" s="54">
        <v>105</v>
      </c>
      <c r="S104" s="54">
        <v>265</v>
      </c>
      <c r="T104" s="54">
        <v>473</v>
      </c>
      <c r="U104" s="54">
        <v>369</v>
      </c>
      <c r="V104" s="54">
        <v>333</v>
      </c>
      <c r="W104" s="54">
        <v>129</v>
      </c>
      <c r="X104" s="54">
        <v>714</v>
      </c>
    </row>
    <row r="105" spans="2:24">
      <c r="B105" s="49" t="s">
        <v>209</v>
      </c>
      <c r="C105" s="52" t="s">
        <v>210</v>
      </c>
      <c r="D105" s="52" t="s">
        <v>278</v>
      </c>
      <c r="E105" s="53">
        <v>451</v>
      </c>
      <c r="F105" s="53">
        <v>243</v>
      </c>
      <c r="G105" s="53">
        <v>207</v>
      </c>
      <c r="H105" s="53">
        <v>1</v>
      </c>
      <c r="I105" s="53">
        <v>9</v>
      </c>
      <c r="J105" s="53">
        <v>0</v>
      </c>
      <c r="K105" s="53">
        <v>2</v>
      </c>
      <c r="L105" s="53">
        <v>9</v>
      </c>
      <c r="M105" s="53">
        <v>0</v>
      </c>
      <c r="N105" s="53">
        <v>437</v>
      </c>
      <c r="O105" s="53">
        <f t="shared" si="2"/>
        <v>2</v>
      </c>
      <c r="P105" s="53"/>
      <c r="Q105" s="53">
        <v>3</v>
      </c>
      <c r="R105" s="53">
        <v>40</v>
      </c>
      <c r="S105" s="53">
        <v>95</v>
      </c>
      <c r="T105" s="53">
        <v>120</v>
      </c>
      <c r="U105" s="53">
        <v>98</v>
      </c>
      <c r="V105" s="53">
        <v>41</v>
      </c>
      <c r="W105" s="53">
        <v>25</v>
      </c>
      <c r="X105" s="53">
        <v>32</v>
      </c>
    </row>
    <row r="106" spans="2:24">
      <c r="B106" s="49" t="s">
        <v>211</v>
      </c>
      <c r="C106" s="52" t="s">
        <v>212</v>
      </c>
      <c r="D106" s="52" t="s">
        <v>278</v>
      </c>
      <c r="E106" s="53">
        <v>319</v>
      </c>
      <c r="F106" s="53">
        <v>153</v>
      </c>
      <c r="G106" s="53">
        <v>166</v>
      </c>
      <c r="H106" s="53">
        <v>0</v>
      </c>
      <c r="I106" s="53">
        <v>2</v>
      </c>
      <c r="J106" s="53">
        <v>0</v>
      </c>
      <c r="K106" s="53">
        <v>0</v>
      </c>
      <c r="L106" s="53">
        <v>6</v>
      </c>
      <c r="M106" s="53">
        <v>1</v>
      </c>
      <c r="N106" s="53">
        <v>313</v>
      </c>
      <c r="O106" s="53">
        <f t="shared" si="2"/>
        <v>1</v>
      </c>
      <c r="P106" s="53"/>
      <c r="Q106" s="53">
        <v>3</v>
      </c>
      <c r="R106" s="53">
        <v>30</v>
      </c>
      <c r="S106" s="53">
        <v>70</v>
      </c>
      <c r="T106" s="53">
        <v>78</v>
      </c>
      <c r="U106" s="53">
        <v>57</v>
      </c>
      <c r="V106" s="53">
        <v>49</v>
      </c>
      <c r="W106" s="53">
        <v>13</v>
      </c>
      <c r="X106" s="53">
        <v>22</v>
      </c>
    </row>
    <row r="107" spans="2:24">
      <c r="B107" s="49" t="s">
        <v>213</v>
      </c>
      <c r="C107" s="52" t="s">
        <v>214</v>
      </c>
      <c r="D107" s="52" t="s">
        <v>276</v>
      </c>
      <c r="E107" s="53">
        <v>675</v>
      </c>
      <c r="F107" s="53">
        <v>340</v>
      </c>
      <c r="G107" s="53">
        <v>324</v>
      </c>
      <c r="H107" s="53">
        <v>11</v>
      </c>
      <c r="I107" s="53">
        <v>65</v>
      </c>
      <c r="J107" s="53">
        <v>0</v>
      </c>
      <c r="K107" s="53">
        <v>1</v>
      </c>
      <c r="L107" s="53">
        <v>15</v>
      </c>
      <c r="M107" s="53">
        <v>0</v>
      </c>
      <c r="N107" s="53">
        <v>661</v>
      </c>
      <c r="O107" s="53">
        <f t="shared" si="2"/>
        <v>1</v>
      </c>
      <c r="P107" s="53"/>
      <c r="Q107" s="53">
        <v>8</v>
      </c>
      <c r="R107" s="53">
        <v>36</v>
      </c>
      <c r="S107" s="53">
        <v>128</v>
      </c>
      <c r="T107" s="53">
        <v>153</v>
      </c>
      <c r="U107" s="53">
        <v>97</v>
      </c>
      <c r="V107" s="53">
        <v>85</v>
      </c>
      <c r="W107" s="53">
        <v>43</v>
      </c>
      <c r="X107" s="53">
        <v>133</v>
      </c>
    </row>
    <row r="108" spans="2:24">
      <c r="B108" s="49" t="s">
        <v>215</v>
      </c>
      <c r="C108" s="52" t="s">
        <v>216</v>
      </c>
      <c r="D108" s="52" t="s">
        <v>278</v>
      </c>
      <c r="E108" s="53">
        <v>904</v>
      </c>
      <c r="F108" s="53">
        <v>458</v>
      </c>
      <c r="G108" s="53">
        <v>437</v>
      </c>
      <c r="H108" s="53">
        <v>9</v>
      </c>
      <c r="I108" s="53">
        <v>15</v>
      </c>
      <c r="J108" s="53">
        <v>0</v>
      </c>
      <c r="K108" s="53">
        <v>0</v>
      </c>
      <c r="L108" s="53">
        <v>25</v>
      </c>
      <c r="M108" s="53">
        <v>1</v>
      </c>
      <c r="N108" s="53">
        <v>872</v>
      </c>
      <c r="O108" s="53">
        <f t="shared" si="2"/>
        <v>1</v>
      </c>
      <c r="P108" s="53"/>
      <c r="Q108" s="53">
        <v>15</v>
      </c>
      <c r="R108" s="53">
        <v>66</v>
      </c>
      <c r="S108" s="53">
        <v>154</v>
      </c>
      <c r="T108" s="53">
        <v>182</v>
      </c>
      <c r="U108" s="53">
        <v>139</v>
      </c>
      <c r="V108" s="53">
        <v>104</v>
      </c>
      <c r="W108" s="53">
        <v>40</v>
      </c>
      <c r="X108" s="53">
        <v>219</v>
      </c>
    </row>
    <row r="109" spans="2:24">
      <c r="B109" s="49" t="s">
        <v>217</v>
      </c>
      <c r="C109" s="52" t="s">
        <v>218</v>
      </c>
      <c r="D109" s="52" t="s">
        <v>272</v>
      </c>
      <c r="E109" s="53">
        <v>108</v>
      </c>
      <c r="F109" s="53">
        <v>53</v>
      </c>
      <c r="G109" s="53">
        <v>55</v>
      </c>
      <c r="H109" s="53">
        <v>0</v>
      </c>
      <c r="I109" s="53">
        <v>3</v>
      </c>
      <c r="J109" s="53">
        <v>1</v>
      </c>
      <c r="K109" s="53">
        <v>0</v>
      </c>
      <c r="L109" s="53">
        <v>65</v>
      </c>
      <c r="M109" s="53">
        <v>0</v>
      </c>
      <c r="N109" s="53">
        <v>37</v>
      </c>
      <c r="O109" s="53">
        <f t="shared" si="2"/>
        <v>1</v>
      </c>
      <c r="P109" s="53"/>
      <c r="Q109" s="53">
        <v>8</v>
      </c>
      <c r="R109" s="53">
        <v>11</v>
      </c>
      <c r="S109" s="53">
        <v>23</v>
      </c>
      <c r="T109" s="53">
        <v>30</v>
      </c>
      <c r="U109" s="53">
        <v>18</v>
      </c>
      <c r="V109" s="53">
        <v>14</v>
      </c>
      <c r="W109" s="53">
        <v>9</v>
      </c>
      <c r="X109" s="53">
        <v>3</v>
      </c>
    </row>
    <row r="110" spans="2:24">
      <c r="B110" s="49" t="s">
        <v>219</v>
      </c>
      <c r="C110" s="52" t="s">
        <v>220</v>
      </c>
      <c r="D110" s="52" t="s">
        <v>276</v>
      </c>
      <c r="E110" s="53">
        <v>1326</v>
      </c>
      <c r="F110" s="53">
        <v>618</v>
      </c>
      <c r="G110" s="53">
        <v>681</v>
      </c>
      <c r="H110" s="53">
        <v>27</v>
      </c>
      <c r="I110" s="53">
        <v>31</v>
      </c>
      <c r="J110" s="53">
        <v>0</v>
      </c>
      <c r="K110" s="53">
        <v>2</v>
      </c>
      <c r="L110" s="53">
        <v>155</v>
      </c>
      <c r="M110" s="53">
        <v>1</v>
      </c>
      <c r="N110" s="53">
        <v>481</v>
      </c>
      <c r="O110" s="53">
        <f t="shared" si="2"/>
        <v>3</v>
      </c>
      <c r="P110" s="53"/>
      <c r="Q110" s="53">
        <v>721</v>
      </c>
      <c r="R110" s="53">
        <v>83</v>
      </c>
      <c r="S110" s="53">
        <v>193</v>
      </c>
      <c r="T110" s="53">
        <v>226</v>
      </c>
      <c r="U110" s="53">
        <v>243</v>
      </c>
      <c r="V110" s="53">
        <v>223</v>
      </c>
      <c r="W110" s="53">
        <v>98</v>
      </c>
      <c r="X110" s="53">
        <v>260</v>
      </c>
    </row>
    <row r="111" spans="2:24">
      <c r="B111" s="49" t="s">
        <v>221</v>
      </c>
      <c r="C111" s="52" t="s">
        <v>222</v>
      </c>
      <c r="D111" s="52" t="s">
        <v>276</v>
      </c>
      <c r="E111" s="53">
        <v>475</v>
      </c>
      <c r="F111" s="53">
        <v>234</v>
      </c>
      <c r="G111" s="53">
        <v>237</v>
      </c>
      <c r="H111" s="53">
        <v>4</v>
      </c>
      <c r="I111" s="53">
        <v>48</v>
      </c>
      <c r="J111" s="53">
        <v>1</v>
      </c>
      <c r="K111" s="53">
        <v>10</v>
      </c>
      <c r="L111" s="53">
        <v>149</v>
      </c>
      <c r="M111" s="53">
        <v>1</v>
      </c>
      <c r="N111" s="53">
        <v>321</v>
      </c>
      <c r="O111" s="53">
        <f t="shared" si="2"/>
        <v>12</v>
      </c>
      <c r="P111" s="53"/>
      <c r="Q111" s="53">
        <v>18</v>
      </c>
      <c r="R111" s="53">
        <v>41</v>
      </c>
      <c r="S111" s="53">
        <v>69</v>
      </c>
      <c r="T111" s="53">
        <v>103</v>
      </c>
      <c r="U111" s="53">
        <v>59</v>
      </c>
      <c r="V111" s="53">
        <v>68</v>
      </c>
      <c r="W111" s="53">
        <v>30</v>
      </c>
      <c r="X111" s="53">
        <v>105</v>
      </c>
    </row>
    <row r="112" spans="2:24">
      <c r="B112" s="49" t="s">
        <v>223</v>
      </c>
      <c r="C112" s="52" t="s">
        <v>224</v>
      </c>
      <c r="D112" s="52" t="s">
        <v>272</v>
      </c>
      <c r="E112" s="53">
        <v>961</v>
      </c>
      <c r="F112" s="53">
        <v>438</v>
      </c>
      <c r="G112" s="53">
        <v>481</v>
      </c>
      <c r="H112" s="53">
        <v>42</v>
      </c>
      <c r="I112" s="53">
        <v>20</v>
      </c>
      <c r="J112" s="53">
        <v>0</v>
      </c>
      <c r="K112" s="53">
        <v>7</v>
      </c>
      <c r="L112" s="53">
        <v>590</v>
      </c>
      <c r="M112" s="53">
        <v>1</v>
      </c>
      <c r="N112" s="53">
        <v>324</v>
      </c>
      <c r="O112" s="53">
        <f t="shared" si="2"/>
        <v>8</v>
      </c>
      <c r="P112" s="53"/>
      <c r="Q112" s="53">
        <v>70</v>
      </c>
      <c r="R112" s="53">
        <v>53</v>
      </c>
      <c r="S112" s="53">
        <v>103</v>
      </c>
      <c r="T112" s="53">
        <v>168</v>
      </c>
      <c r="U112" s="53">
        <v>127</v>
      </c>
      <c r="V112" s="53">
        <v>149</v>
      </c>
      <c r="W112" s="53">
        <v>51</v>
      </c>
      <c r="X112" s="53">
        <v>310</v>
      </c>
    </row>
    <row r="113" spans="2:24">
      <c r="B113" s="49" t="s">
        <v>225</v>
      </c>
      <c r="C113" s="52" t="s">
        <v>226</v>
      </c>
      <c r="D113" s="52" t="s">
        <v>272</v>
      </c>
      <c r="E113" s="53">
        <v>46</v>
      </c>
      <c r="F113" s="53">
        <v>17</v>
      </c>
      <c r="G113" s="53">
        <v>29</v>
      </c>
      <c r="H113" s="53">
        <v>0</v>
      </c>
      <c r="I113" s="53">
        <v>0</v>
      </c>
      <c r="J113" s="53">
        <v>0</v>
      </c>
      <c r="K113" s="53">
        <v>0</v>
      </c>
      <c r="L113" s="53">
        <v>19</v>
      </c>
      <c r="M113" s="53">
        <v>0</v>
      </c>
      <c r="N113" s="53">
        <v>26</v>
      </c>
      <c r="O113" s="53">
        <f t="shared" si="2"/>
        <v>0</v>
      </c>
      <c r="P113" s="53"/>
      <c r="Q113" s="53">
        <v>1</v>
      </c>
      <c r="R113" s="53">
        <v>1</v>
      </c>
      <c r="S113" s="53">
        <v>6</v>
      </c>
      <c r="T113" s="53">
        <v>5</v>
      </c>
      <c r="U113" s="53">
        <v>10</v>
      </c>
      <c r="V113" s="53">
        <v>9</v>
      </c>
      <c r="W113" s="53">
        <v>4</v>
      </c>
      <c r="X113" s="53">
        <v>11</v>
      </c>
    </row>
    <row r="114" spans="2:24">
      <c r="B114" s="49" t="s">
        <v>227</v>
      </c>
      <c r="C114" s="52" t="s">
        <v>228</v>
      </c>
      <c r="D114" s="52" t="s">
        <v>272</v>
      </c>
      <c r="E114" s="53">
        <v>79</v>
      </c>
      <c r="F114" s="53">
        <v>40</v>
      </c>
      <c r="G114" s="53">
        <v>39</v>
      </c>
      <c r="H114" s="53">
        <v>0</v>
      </c>
      <c r="I114" s="53">
        <v>2</v>
      </c>
      <c r="J114" s="53">
        <v>0</v>
      </c>
      <c r="K114" s="53">
        <v>0</v>
      </c>
      <c r="L114" s="53">
        <v>42</v>
      </c>
      <c r="M114" s="53">
        <v>0</v>
      </c>
      <c r="N114" s="53">
        <v>32</v>
      </c>
      <c r="O114" s="53">
        <f t="shared" si="2"/>
        <v>0</v>
      </c>
      <c r="P114" s="53"/>
      <c r="Q114" s="53">
        <v>8</v>
      </c>
      <c r="R114" s="53">
        <v>12</v>
      </c>
      <c r="S114" s="53">
        <v>11</v>
      </c>
      <c r="T114" s="53">
        <v>16</v>
      </c>
      <c r="U114" s="53">
        <v>11</v>
      </c>
      <c r="V114" s="53">
        <v>19</v>
      </c>
      <c r="W114" s="53">
        <v>4</v>
      </c>
      <c r="X114" s="53">
        <v>6</v>
      </c>
    </row>
    <row r="115" spans="2:24">
      <c r="B115" s="49" t="s">
        <v>229</v>
      </c>
      <c r="C115" s="52" t="s">
        <v>230</v>
      </c>
      <c r="D115" s="52" t="s">
        <v>278</v>
      </c>
      <c r="E115" s="53">
        <v>622</v>
      </c>
      <c r="F115" s="53">
        <v>304</v>
      </c>
      <c r="G115" s="53">
        <v>317</v>
      </c>
      <c r="H115" s="53">
        <v>1</v>
      </c>
      <c r="I115" s="53">
        <v>4</v>
      </c>
      <c r="J115" s="53">
        <v>0</v>
      </c>
      <c r="K115" s="53">
        <v>1</v>
      </c>
      <c r="L115" s="53">
        <v>22</v>
      </c>
      <c r="M115" s="53">
        <v>0</v>
      </c>
      <c r="N115" s="53">
        <v>602</v>
      </c>
      <c r="O115" s="53">
        <f t="shared" si="2"/>
        <v>1</v>
      </c>
      <c r="P115" s="53"/>
      <c r="Q115" s="53">
        <v>2</v>
      </c>
      <c r="R115" s="53">
        <v>52</v>
      </c>
      <c r="S115" s="53">
        <v>124</v>
      </c>
      <c r="T115" s="53">
        <v>167</v>
      </c>
      <c r="U115" s="53">
        <v>108</v>
      </c>
      <c r="V115" s="53">
        <v>89</v>
      </c>
      <c r="W115" s="53">
        <v>35</v>
      </c>
      <c r="X115" s="53">
        <v>47</v>
      </c>
    </row>
    <row r="116" spans="2:24">
      <c r="B116" s="49" t="s">
        <v>231</v>
      </c>
      <c r="C116" s="52" t="s">
        <v>232</v>
      </c>
      <c r="D116" s="52" t="s">
        <v>272</v>
      </c>
      <c r="E116" s="53">
        <v>5244</v>
      </c>
      <c r="F116" s="53">
        <v>2568</v>
      </c>
      <c r="G116" s="53">
        <v>2586</v>
      </c>
      <c r="H116" s="53">
        <v>90</v>
      </c>
      <c r="I116" s="53">
        <v>446</v>
      </c>
      <c r="J116" s="53">
        <v>12</v>
      </c>
      <c r="K116" s="53">
        <v>77</v>
      </c>
      <c r="L116" s="53">
        <v>1724</v>
      </c>
      <c r="M116" s="53">
        <v>43</v>
      </c>
      <c r="N116" s="53">
        <v>2958</v>
      </c>
      <c r="O116" s="53">
        <f t="shared" si="2"/>
        <v>132</v>
      </c>
      <c r="P116" s="53"/>
      <c r="Q116" s="53">
        <v>689</v>
      </c>
      <c r="R116" s="53">
        <v>290</v>
      </c>
      <c r="S116" s="53">
        <v>820</v>
      </c>
      <c r="T116" s="53">
        <v>1075</v>
      </c>
      <c r="U116" s="53">
        <v>970</v>
      </c>
      <c r="V116" s="53">
        <v>864</v>
      </c>
      <c r="W116" s="53">
        <v>462</v>
      </c>
      <c r="X116" s="53">
        <v>763</v>
      </c>
    </row>
    <row r="117" spans="2:24">
      <c r="B117" s="49" t="s">
        <v>233</v>
      </c>
      <c r="C117" s="52" t="s">
        <v>234</v>
      </c>
      <c r="D117" s="52" t="s">
        <v>276</v>
      </c>
      <c r="E117" s="53">
        <v>944</v>
      </c>
      <c r="F117" s="53">
        <v>458</v>
      </c>
      <c r="G117" s="53">
        <v>479</v>
      </c>
      <c r="H117" s="53">
        <v>7</v>
      </c>
      <c r="I117" s="53">
        <v>78</v>
      </c>
      <c r="J117" s="53">
        <v>2</v>
      </c>
      <c r="K117" s="53">
        <v>1</v>
      </c>
      <c r="L117" s="53">
        <v>110</v>
      </c>
      <c r="M117" s="53">
        <v>4</v>
      </c>
      <c r="N117" s="53">
        <v>903</v>
      </c>
      <c r="O117" s="53">
        <f t="shared" si="2"/>
        <v>7</v>
      </c>
      <c r="P117" s="53"/>
      <c r="Q117" s="53">
        <v>16</v>
      </c>
      <c r="R117" s="53">
        <v>73</v>
      </c>
      <c r="S117" s="53">
        <v>199</v>
      </c>
      <c r="T117" s="53">
        <v>213</v>
      </c>
      <c r="U117" s="53">
        <v>171</v>
      </c>
      <c r="V117" s="53">
        <v>141</v>
      </c>
      <c r="W117" s="53">
        <v>45</v>
      </c>
      <c r="X117" s="53">
        <v>102</v>
      </c>
    </row>
    <row r="118" spans="2:24">
      <c r="B118" s="49" t="s">
        <v>235</v>
      </c>
      <c r="C118" s="52" t="s">
        <v>236</v>
      </c>
      <c r="D118" s="52" t="s">
        <v>278</v>
      </c>
      <c r="E118" s="53">
        <v>529</v>
      </c>
      <c r="F118" s="53">
        <v>253</v>
      </c>
      <c r="G118" s="53">
        <v>271</v>
      </c>
      <c r="H118" s="53">
        <v>5</v>
      </c>
      <c r="I118" s="53">
        <v>3</v>
      </c>
      <c r="J118" s="53">
        <v>0</v>
      </c>
      <c r="K118" s="53">
        <v>0</v>
      </c>
      <c r="L118" s="53">
        <v>15</v>
      </c>
      <c r="M118" s="53">
        <v>0</v>
      </c>
      <c r="N118" s="53">
        <v>508</v>
      </c>
      <c r="O118" s="53">
        <f t="shared" si="2"/>
        <v>0</v>
      </c>
      <c r="P118" s="53"/>
      <c r="Q118" s="53">
        <v>11</v>
      </c>
      <c r="R118" s="53">
        <v>39</v>
      </c>
      <c r="S118" s="53">
        <v>87</v>
      </c>
      <c r="T118" s="53">
        <v>112</v>
      </c>
      <c r="U118" s="53">
        <v>75</v>
      </c>
      <c r="V118" s="53">
        <v>72</v>
      </c>
      <c r="W118" s="53">
        <v>28</v>
      </c>
      <c r="X118" s="53">
        <v>116</v>
      </c>
    </row>
    <row r="119" spans="2:24">
      <c r="B119" s="49" t="s">
        <v>237</v>
      </c>
      <c r="C119" s="52" t="s">
        <v>238</v>
      </c>
      <c r="D119" s="52" t="s">
        <v>275</v>
      </c>
      <c r="E119" s="53">
        <v>158</v>
      </c>
      <c r="F119" s="53">
        <v>72</v>
      </c>
      <c r="G119" s="53">
        <v>85</v>
      </c>
      <c r="H119" s="53">
        <v>1</v>
      </c>
      <c r="I119" s="53">
        <v>4</v>
      </c>
      <c r="J119" s="53">
        <v>0</v>
      </c>
      <c r="K119" s="53">
        <v>0</v>
      </c>
      <c r="L119" s="53">
        <v>48</v>
      </c>
      <c r="M119" s="53">
        <v>0</v>
      </c>
      <c r="N119" s="53">
        <v>58</v>
      </c>
      <c r="O119" s="53">
        <f t="shared" si="2"/>
        <v>0</v>
      </c>
      <c r="P119" s="53"/>
      <c r="Q119" s="53">
        <v>53</v>
      </c>
      <c r="R119" s="53">
        <v>12</v>
      </c>
      <c r="S119" s="53">
        <v>26</v>
      </c>
      <c r="T119" s="53">
        <v>34</v>
      </c>
      <c r="U119" s="53">
        <v>17</v>
      </c>
      <c r="V119" s="53">
        <v>23</v>
      </c>
      <c r="W119" s="53">
        <v>9</v>
      </c>
      <c r="X119" s="53">
        <v>37</v>
      </c>
    </row>
    <row r="120" spans="2:24">
      <c r="B120" s="49" t="s">
        <v>239</v>
      </c>
      <c r="C120" s="52" t="s">
        <v>240</v>
      </c>
      <c r="D120" s="52" t="s">
        <v>272</v>
      </c>
      <c r="E120" s="53">
        <v>114</v>
      </c>
      <c r="F120" s="53">
        <v>46</v>
      </c>
      <c r="G120" s="53">
        <v>68</v>
      </c>
      <c r="H120" s="53">
        <v>0</v>
      </c>
      <c r="I120" s="53">
        <v>19</v>
      </c>
      <c r="J120" s="53">
        <v>2</v>
      </c>
      <c r="K120" s="53">
        <v>2</v>
      </c>
      <c r="L120" s="53">
        <v>43</v>
      </c>
      <c r="M120" s="53">
        <v>0</v>
      </c>
      <c r="N120" s="53">
        <v>72</v>
      </c>
      <c r="O120" s="53">
        <f t="shared" si="2"/>
        <v>4</v>
      </c>
      <c r="P120" s="53"/>
      <c r="Q120" s="53">
        <v>7</v>
      </c>
      <c r="R120" s="53">
        <v>11</v>
      </c>
      <c r="S120" s="53">
        <v>22</v>
      </c>
      <c r="T120" s="53">
        <v>25</v>
      </c>
      <c r="U120" s="53">
        <v>22</v>
      </c>
      <c r="V120" s="53">
        <v>19</v>
      </c>
      <c r="W120" s="53">
        <v>5</v>
      </c>
      <c r="X120" s="53">
        <v>10</v>
      </c>
    </row>
    <row r="121" spans="2:24">
      <c r="B121" s="49" t="s">
        <v>241</v>
      </c>
      <c r="C121" s="52" t="s">
        <v>242</v>
      </c>
      <c r="D121" s="52" t="s">
        <v>276</v>
      </c>
      <c r="E121" s="53">
        <v>688</v>
      </c>
      <c r="F121" s="53">
        <v>342</v>
      </c>
      <c r="G121" s="53">
        <v>334</v>
      </c>
      <c r="H121" s="53">
        <v>12</v>
      </c>
      <c r="I121" s="53">
        <v>102</v>
      </c>
      <c r="J121" s="53">
        <v>1</v>
      </c>
      <c r="K121" s="53">
        <v>3</v>
      </c>
      <c r="L121" s="53">
        <v>195</v>
      </c>
      <c r="M121" s="53">
        <v>0</v>
      </c>
      <c r="N121" s="53">
        <v>529</v>
      </c>
      <c r="O121" s="53">
        <f t="shared" si="2"/>
        <v>4</v>
      </c>
      <c r="P121" s="53"/>
      <c r="Q121" s="53">
        <v>43</v>
      </c>
      <c r="R121" s="53">
        <v>74</v>
      </c>
      <c r="S121" s="53">
        <v>145</v>
      </c>
      <c r="T121" s="53">
        <v>157</v>
      </c>
      <c r="U121" s="53">
        <v>112</v>
      </c>
      <c r="V121" s="53">
        <v>99</v>
      </c>
      <c r="W121" s="53">
        <v>28</v>
      </c>
      <c r="X121" s="53">
        <v>73</v>
      </c>
    </row>
    <row r="122" spans="2:24">
      <c r="B122" s="49" t="s">
        <v>243</v>
      </c>
      <c r="C122" s="52" t="s">
        <v>244</v>
      </c>
      <c r="D122" s="52" t="s">
        <v>278</v>
      </c>
      <c r="E122" s="53">
        <v>1359</v>
      </c>
      <c r="F122" s="53">
        <v>646</v>
      </c>
      <c r="G122" s="53">
        <v>701</v>
      </c>
      <c r="H122" s="53">
        <v>12</v>
      </c>
      <c r="I122" s="53">
        <v>5</v>
      </c>
      <c r="J122" s="53">
        <v>0</v>
      </c>
      <c r="K122" s="53">
        <v>0</v>
      </c>
      <c r="L122" s="53">
        <v>139</v>
      </c>
      <c r="M122" s="53">
        <v>2</v>
      </c>
      <c r="N122" s="53">
        <v>1282</v>
      </c>
      <c r="O122" s="53">
        <f t="shared" si="2"/>
        <v>2</v>
      </c>
      <c r="P122" s="53"/>
      <c r="Q122" s="53">
        <v>4</v>
      </c>
      <c r="R122" s="53">
        <v>133</v>
      </c>
      <c r="S122" s="53">
        <v>275</v>
      </c>
      <c r="T122" s="53">
        <v>287</v>
      </c>
      <c r="U122" s="53">
        <v>227</v>
      </c>
      <c r="V122" s="53">
        <v>205</v>
      </c>
      <c r="W122" s="53">
        <v>91</v>
      </c>
      <c r="X122" s="53">
        <v>141</v>
      </c>
    </row>
    <row r="123" spans="2:24">
      <c r="B123" s="49" t="s">
        <v>245</v>
      </c>
      <c r="C123" s="52" t="s">
        <v>246</v>
      </c>
      <c r="D123" s="52" t="s">
        <v>278</v>
      </c>
      <c r="E123" s="53">
        <v>531</v>
      </c>
      <c r="F123" s="53">
        <v>278</v>
      </c>
      <c r="G123" s="53">
        <v>250</v>
      </c>
      <c r="H123" s="53">
        <v>3</v>
      </c>
      <c r="I123" s="53">
        <v>10</v>
      </c>
      <c r="J123" s="53">
        <v>0</v>
      </c>
      <c r="K123" s="53">
        <v>1</v>
      </c>
      <c r="L123" s="53">
        <v>23</v>
      </c>
      <c r="M123" s="53">
        <v>0</v>
      </c>
      <c r="N123" s="53">
        <v>508</v>
      </c>
      <c r="O123" s="53">
        <f t="shared" si="2"/>
        <v>1</v>
      </c>
      <c r="P123" s="53"/>
      <c r="Q123" s="53">
        <v>11</v>
      </c>
      <c r="R123" s="53">
        <v>34</v>
      </c>
      <c r="S123" s="53">
        <v>95</v>
      </c>
      <c r="T123" s="53">
        <v>139</v>
      </c>
      <c r="U123" s="53">
        <v>103</v>
      </c>
      <c r="V123" s="53">
        <v>82</v>
      </c>
      <c r="W123" s="53">
        <v>29</v>
      </c>
      <c r="X123" s="53">
        <v>49</v>
      </c>
    </row>
    <row r="124" spans="2:24">
      <c r="B124" s="49" t="s">
        <v>247</v>
      </c>
      <c r="C124" s="37" t="s">
        <v>248</v>
      </c>
      <c r="D124" s="52" t="s">
        <v>272</v>
      </c>
      <c r="E124" s="54">
        <v>1013</v>
      </c>
      <c r="F124" s="54">
        <v>491</v>
      </c>
      <c r="G124" s="54">
        <v>494</v>
      </c>
      <c r="H124" s="54">
        <v>28</v>
      </c>
      <c r="I124" s="54">
        <v>28</v>
      </c>
      <c r="J124" s="54">
        <v>3</v>
      </c>
      <c r="K124" s="54">
        <v>11</v>
      </c>
      <c r="L124" s="54">
        <v>173</v>
      </c>
      <c r="M124" s="54">
        <v>3</v>
      </c>
      <c r="N124" s="54">
        <v>625</v>
      </c>
      <c r="O124" s="53">
        <f t="shared" si="2"/>
        <v>17</v>
      </c>
      <c r="P124" s="54">
        <v>0</v>
      </c>
      <c r="Q124" s="54">
        <v>221</v>
      </c>
      <c r="R124" s="54">
        <v>44</v>
      </c>
      <c r="S124" s="54">
        <v>125</v>
      </c>
      <c r="T124" s="54">
        <v>180</v>
      </c>
      <c r="U124" s="54">
        <v>190</v>
      </c>
      <c r="V124" s="54">
        <v>172</v>
      </c>
      <c r="W124" s="54">
        <v>59</v>
      </c>
      <c r="X124" s="54">
        <v>243</v>
      </c>
    </row>
    <row r="125" spans="2:24" ht="12" customHeight="1">
      <c r="B125" s="55" t="s">
        <v>8</v>
      </c>
      <c r="C125" s="49" t="s">
        <v>9</v>
      </c>
      <c r="E125" s="53">
        <f>SUM($E$5:$E$124)</f>
        <v>94215</v>
      </c>
      <c r="F125" s="53">
        <f>SUM($F$5:$F$124)</f>
        <v>45604</v>
      </c>
      <c r="G125" s="53">
        <f>SUM($G$5:$G$124)</f>
        <v>46742</v>
      </c>
      <c r="H125" s="53">
        <f>SUM($H$5:$H$124)</f>
        <v>1869</v>
      </c>
      <c r="I125" s="53">
        <f>SUM($I$5:$I$124)</f>
        <v>9139</v>
      </c>
      <c r="J125" s="53">
        <f>SUM($J$5:$J$124)</f>
        <v>145</v>
      </c>
      <c r="K125" s="53">
        <f>SUM($K$5:$K$124)</f>
        <v>1257</v>
      </c>
      <c r="L125" s="53">
        <f>SUM($L$5:$L$124)</f>
        <v>29742</v>
      </c>
      <c r="M125" s="53">
        <f>SUM($M$5:$M$124)</f>
        <v>262</v>
      </c>
      <c r="N125" s="53">
        <f>SUM($N$5:$N$124)</f>
        <v>57074</v>
      </c>
      <c r="O125" s="53">
        <f t="shared" si="2"/>
        <v>1664</v>
      </c>
      <c r="P125" s="53"/>
      <c r="Q125" s="53">
        <f>SUM($Q$5:$Q$124)</f>
        <v>9805</v>
      </c>
      <c r="R125" s="53">
        <f>SUM($R$5:$R$124)</f>
        <v>6082</v>
      </c>
      <c r="S125" s="53">
        <f>SUM($S$5:$S$124)</f>
        <v>14410</v>
      </c>
      <c r="T125" s="53">
        <f>SUM($T$5:$T$124)</f>
        <v>19258</v>
      </c>
      <c r="U125" s="53">
        <f>SUM($U$5:$U$124)</f>
        <v>16544</v>
      </c>
      <c r="V125" s="53">
        <f>SUM($V$5:$V$124)</f>
        <v>14510</v>
      </c>
      <c r="W125" s="53">
        <f>SUM($W$5:$W$124)</f>
        <v>6338</v>
      </c>
      <c r="X125" s="53">
        <f>SUM($X$5:$X$124)</f>
        <v>17073</v>
      </c>
    </row>
  </sheetData>
  <pageMargins left="0.75" right="0.75" top="1" bottom="1" header="0.5" footer="0.5"/>
  <pageSetup orientation="portrait" r:id="rId1"/>
</worksheet>
</file>

<file path=xl/worksheets/sheet23.xml><?xml version="1.0" encoding="utf-8"?>
<worksheet xmlns="http://schemas.openxmlformats.org/spreadsheetml/2006/main" xmlns:r="http://schemas.openxmlformats.org/officeDocument/2006/relationships">
  <sheetPr>
    <tabColor theme="0"/>
  </sheetPr>
  <dimension ref="A1:CC130"/>
  <sheetViews>
    <sheetView workbookViewId="0">
      <pane ySplit="4" topLeftCell="A98" activePane="bottomLeft" state="frozen"/>
      <selection pane="bottomLeft" activeCell="B12" sqref="B12"/>
    </sheetView>
  </sheetViews>
  <sheetFormatPr defaultRowHeight="12.75"/>
  <cols>
    <col min="1" max="1" width="6.375" style="654" customWidth="1"/>
    <col min="2" max="2" width="28.875" style="654" customWidth="1"/>
    <col min="3" max="3" width="10.875" style="654" bestFit="1" customWidth="1"/>
    <col min="4" max="6" width="10" style="654" bestFit="1" customWidth="1"/>
    <col min="7" max="7" width="11.125" style="654" bestFit="1" customWidth="1"/>
    <col min="8" max="8" width="12.125" style="654" bestFit="1" customWidth="1"/>
    <col min="9" max="9" width="7.75" style="654" bestFit="1" customWidth="1"/>
    <col min="10" max="10" width="14.125" style="654" bestFit="1" customWidth="1"/>
    <col min="11" max="11" width="12.125" style="654" bestFit="1" customWidth="1"/>
    <col min="12" max="13" width="13.125" style="654" bestFit="1" customWidth="1"/>
    <col min="14" max="14" width="12.125" style="654" bestFit="1" customWidth="1"/>
    <col min="15" max="15" width="7.75" style="654" bestFit="1" customWidth="1"/>
    <col min="16" max="16" width="7.625" style="654" bestFit="1" customWidth="1"/>
    <col min="17" max="17" width="12.125" style="654" bestFit="1" customWidth="1"/>
    <col min="18" max="18" width="10.5" style="654" bestFit="1" customWidth="1"/>
    <col min="19" max="19" width="12.125" style="654" bestFit="1" customWidth="1"/>
    <col min="20" max="16384" width="9" style="654"/>
  </cols>
  <sheetData>
    <row r="1" spans="1:81" ht="15.75">
      <c r="A1" s="108" t="s">
        <v>1025</v>
      </c>
      <c r="H1" s="832"/>
      <c r="J1" s="832"/>
      <c r="K1" s="832"/>
      <c r="L1" s="832"/>
      <c r="M1" s="832"/>
    </row>
    <row r="2" spans="1:81">
      <c r="C2" s="831"/>
      <c r="D2" s="831"/>
      <c r="E2" s="831"/>
      <c r="F2" s="831"/>
      <c r="G2" s="831"/>
    </row>
    <row r="3" spans="1:81" ht="25.5">
      <c r="A3" s="854" t="s">
        <v>4</v>
      </c>
      <c r="B3" s="854" t="s">
        <v>373</v>
      </c>
      <c r="C3" s="1096" t="s">
        <v>393</v>
      </c>
      <c r="D3" s="1096" t="s">
        <v>394</v>
      </c>
      <c r="E3" s="1096" t="s">
        <v>1029</v>
      </c>
      <c r="F3" s="1096" t="s">
        <v>395</v>
      </c>
      <c r="G3" s="847" t="s">
        <v>595</v>
      </c>
      <c r="H3" s="854" t="s">
        <v>374</v>
      </c>
      <c r="I3" s="854" t="s">
        <v>375</v>
      </c>
      <c r="J3" s="854" t="s">
        <v>376</v>
      </c>
      <c r="K3" s="854" t="s">
        <v>377</v>
      </c>
      <c r="L3" s="854" t="s">
        <v>378</v>
      </c>
      <c r="M3" s="854" t="s">
        <v>379</v>
      </c>
      <c r="N3" s="854" t="s">
        <v>380</v>
      </c>
      <c r="O3" s="854" t="s">
        <v>381</v>
      </c>
      <c r="P3" s="854" t="s">
        <v>382</v>
      </c>
      <c r="Q3" s="854" t="s">
        <v>383</v>
      </c>
      <c r="R3" s="854" t="s">
        <v>384</v>
      </c>
      <c r="S3" s="854" t="s">
        <v>385</v>
      </c>
    </row>
    <row r="4" spans="1:81">
      <c r="A4" s="1093">
        <v>999</v>
      </c>
      <c r="B4" s="853" t="s">
        <v>9</v>
      </c>
      <c r="C4" s="849">
        <f t="shared" ref="C4:S4" si="0">SUM(C5:C124)</f>
        <v>115701710.64999995</v>
      </c>
      <c r="D4" s="850">
        <f t="shared" si="0"/>
        <v>56341038.329999991</v>
      </c>
      <c r="E4" s="851">
        <f t="shared" si="0"/>
        <v>65488352.870000012</v>
      </c>
      <c r="F4" s="849">
        <f t="shared" si="0"/>
        <v>62983614.530000009</v>
      </c>
      <c r="G4" s="851">
        <f t="shared" si="0"/>
        <v>2504738.3400000022</v>
      </c>
      <c r="H4" s="852">
        <f t="shared" si="0"/>
        <v>82342608.209999993</v>
      </c>
      <c r="I4" s="852">
        <f t="shared" si="0"/>
        <v>0</v>
      </c>
      <c r="J4" s="852">
        <f t="shared" si="0"/>
        <v>56341038.329999991</v>
      </c>
      <c r="K4" s="852">
        <f t="shared" si="0"/>
        <v>25438782.960000008</v>
      </c>
      <c r="L4" s="852">
        <f t="shared" si="0"/>
        <v>2411470.7300000009</v>
      </c>
      <c r="M4" s="852">
        <f t="shared" si="0"/>
        <v>166533900.22999999</v>
      </c>
      <c r="N4" s="852">
        <f t="shared" si="0"/>
        <v>33359102.440000027</v>
      </c>
      <c r="O4" s="852">
        <f t="shared" si="0"/>
        <v>0</v>
      </c>
      <c r="P4" s="852">
        <f t="shared" si="0"/>
        <v>0</v>
      </c>
      <c r="Q4" s="852">
        <f t="shared" si="0"/>
        <v>37544831.57</v>
      </c>
      <c r="R4" s="852">
        <f t="shared" si="0"/>
        <v>93267.610000000015</v>
      </c>
      <c r="S4" s="852">
        <f t="shared" si="0"/>
        <v>70997201.61999999</v>
      </c>
      <c r="T4" s="829"/>
      <c r="U4" s="829"/>
      <c r="V4" s="833"/>
      <c r="W4" s="833"/>
      <c r="X4" s="834"/>
      <c r="Y4" s="834"/>
      <c r="Z4" s="834"/>
      <c r="AA4" s="834"/>
      <c r="AB4" s="834"/>
      <c r="AC4" s="834"/>
      <c r="AD4" s="829"/>
      <c r="AE4" s="829"/>
      <c r="AF4" s="829"/>
      <c r="AG4" s="829"/>
      <c r="AH4" s="829"/>
      <c r="AI4" s="829"/>
      <c r="AJ4" s="833"/>
      <c r="AK4" s="833"/>
      <c r="AL4" s="834"/>
      <c r="AM4" s="834"/>
      <c r="AN4" s="834"/>
      <c r="AO4" s="834"/>
      <c r="AP4" s="834"/>
      <c r="AQ4" s="834"/>
      <c r="AR4" s="829"/>
      <c r="AS4" s="829"/>
      <c r="AT4" s="829"/>
      <c r="AU4" s="829"/>
      <c r="AV4" s="829"/>
      <c r="AW4" s="829"/>
      <c r="AX4" s="833"/>
      <c r="AY4" s="833"/>
      <c r="AZ4" s="834"/>
      <c r="BA4" s="834"/>
      <c r="BB4" s="834"/>
      <c r="BC4" s="834"/>
      <c r="BD4" s="834"/>
      <c r="BE4" s="834"/>
      <c r="BF4" s="829"/>
      <c r="BG4" s="829"/>
      <c r="BH4" s="829"/>
      <c r="BI4" s="829"/>
      <c r="BJ4" s="829"/>
      <c r="BK4" s="829"/>
      <c r="BL4" s="833"/>
      <c r="BM4" s="833"/>
      <c r="BN4" s="834"/>
      <c r="BO4" s="834"/>
      <c r="BP4" s="834"/>
      <c r="BQ4" s="834"/>
      <c r="BR4" s="834"/>
      <c r="BS4" s="834"/>
      <c r="BT4" s="829"/>
      <c r="BU4" s="829"/>
      <c r="BV4" s="829"/>
      <c r="BW4" s="829"/>
      <c r="BX4" s="829"/>
      <c r="BY4" s="829"/>
      <c r="BZ4" s="833"/>
      <c r="CA4" s="833"/>
      <c r="CB4" s="834"/>
      <c r="CC4" s="834"/>
    </row>
    <row r="5" spans="1:81">
      <c r="A5" s="1094" t="s">
        <v>10</v>
      </c>
      <c r="B5" s="837" t="s">
        <v>11</v>
      </c>
      <c r="C5" s="838">
        <f>+H5+I5+N5+O5</f>
        <v>783551.56</v>
      </c>
      <c r="D5" s="839">
        <f>J5+P5</f>
        <v>530947.83999999997</v>
      </c>
      <c r="E5" s="840">
        <f>+F5+G5</f>
        <v>263838.43</v>
      </c>
      <c r="F5" s="838">
        <f>+K5+Q5</f>
        <v>241118.97</v>
      </c>
      <c r="G5" s="840">
        <f>+L5+R5</f>
        <v>22719.46</v>
      </c>
      <c r="H5" s="841">
        <v>783551.56</v>
      </c>
      <c r="I5" s="835">
        <v>0</v>
      </c>
      <c r="J5" s="835">
        <v>530947.83999999997</v>
      </c>
      <c r="K5" s="835">
        <v>241118.97</v>
      </c>
      <c r="L5" s="835">
        <v>22719.46</v>
      </c>
      <c r="M5" s="835">
        <v>1578337.83</v>
      </c>
      <c r="N5" s="830"/>
      <c r="O5" s="830"/>
      <c r="P5" s="830"/>
      <c r="Q5" s="830"/>
      <c r="R5" s="830"/>
      <c r="S5" s="830"/>
    </row>
    <row r="6" spans="1:81">
      <c r="A6" s="1095" t="s">
        <v>12</v>
      </c>
      <c r="B6" s="837" t="s">
        <v>13</v>
      </c>
      <c r="C6" s="838">
        <f t="shared" ref="C6:C68" si="1">+H6+I6+N6+O6</f>
        <v>1243426.25</v>
      </c>
      <c r="D6" s="839">
        <f t="shared" ref="D6:D69" si="2">J6+P6</f>
        <v>367145.65</v>
      </c>
      <c r="E6" s="840">
        <f t="shared" ref="E6:E69" si="3">+F6+G6</f>
        <v>996346.9</v>
      </c>
      <c r="F6" s="838">
        <f t="shared" ref="F6:G69" si="4">+K6+Q6</f>
        <v>968796.92</v>
      </c>
      <c r="G6" s="840">
        <f t="shared" ref="G6:G68" si="5">+L6+R6</f>
        <v>27549.98</v>
      </c>
      <c r="H6" s="841">
        <v>529292.94999999995</v>
      </c>
      <c r="I6" s="835">
        <v>0</v>
      </c>
      <c r="J6" s="835">
        <v>367145.65</v>
      </c>
      <c r="K6" s="835">
        <v>164434.01</v>
      </c>
      <c r="L6" s="835">
        <v>11450.81</v>
      </c>
      <c r="M6" s="835">
        <v>1072323.42</v>
      </c>
      <c r="N6" s="835">
        <v>714133.3</v>
      </c>
      <c r="O6" s="835">
        <v>0</v>
      </c>
      <c r="P6" s="835">
        <v>0</v>
      </c>
      <c r="Q6" s="835">
        <v>804362.91</v>
      </c>
      <c r="R6" s="835">
        <v>16099.17</v>
      </c>
      <c r="S6" s="835">
        <v>1534595.38</v>
      </c>
    </row>
    <row r="7" spans="1:81">
      <c r="A7" s="1095" t="s">
        <v>16</v>
      </c>
      <c r="B7" s="837" t="s">
        <v>364</v>
      </c>
      <c r="C7" s="838">
        <f t="shared" si="1"/>
        <v>450964.82</v>
      </c>
      <c r="D7" s="839">
        <f t="shared" si="2"/>
        <v>276423.21999999997</v>
      </c>
      <c r="E7" s="840">
        <f t="shared" si="3"/>
        <v>178033.87</v>
      </c>
      <c r="F7" s="838">
        <f t="shared" si="4"/>
        <v>176221.03</v>
      </c>
      <c r="G7" s="840">
        <f t="shared" si="5"/>
        <v>1812.84</v>
      </c>
      <c r="H7" s="841">
        <v>405649</v>
      </c>
      <c r="I7" s="835">
        <v>0</v>
      </c>
      <c r="J7" s="835">
        <v>276423.21999999997</v>
      </c>
      <c r="K7" s="835">
        <v>125112.13</v>
      </c>
      <c r="L7" s="835">
        <v>1813.25</v>
      </c>
      <c r="M7" s="835">
        <v>808997.6</v>
      </c>
      <c r="N7" s="835">
        <v>45315.82</v>
      </c>
      <c r="O7" s="835">
        <v>0</v>
      </c>
      <c r="P7" s="835">
        <v>0</v>
      </c>
      <c r="Q7" s="835">
        <v>51108.9</v>
      </c>
      <c r="R7" s="835">
        <v>-0.41</v>
      </c>
      <c r="S7" s="835">
        <v>96424.31</v>
      </c>
    </row>
    <row r="8" spans="1:81">
      <c r="A8" s="1095" t="s">
        <v>18</v>
      </c>
      <c r="B8" s="837" t="s">
        <v>19</v>
      </c>
      <c r="C8" s="838">
        <f t="shared" si="1"/>
        <v>224991.06</v>
      </c>
      <c r="D8" s="839">
        <f t="shared" si="2"/>
        <v>114047.32</v>
      </c>
      <c r="E8" s="840">
        <f t="shared" si="3"/>
        <v>118007.1</v>
      </c>
      <c r="F8" s="838">
        <f t="shared" si="4"/>
        <v>117921.36</v>
      </c>
      <c r="G8" s="840">
        <f t="shared" si="5"/>
        <v>85.74</v>
      </c>
      <c r="H8" s="841">
        <v>166023.73000000001</v>
      </c>
      <c r="I8" s="835">
        <v>0</v>
      </c>
      <c r="J8" s="835">
        <v>114047.32</v>
      </c>
      <c r="K8" s="835">
        <v>51372.06</v>
      </c>
      <c r="L8" s="835">
        <v>-1.0900000000000001</v>
      </c>
      <c r="M8" s="835">
        <v>331442.02</v>
      </c>
      <c r="N8" s="835">
        <v>58967.33</v>
      </c>
      <c r="O8" s="835">
        <v>0</v>
      </c>
      <c r="P8" s="835">
        <v>0</v>
      </c>
      <c r="Q8" s="835">
        <v>66549.3</v>
      </c>
      <c r="R8" s="835">
        <v>86.83</v>
      </c>
      <c r="S8" s="835">
        <v>125603.46</v>
      </c>
    </row>
    <row r="9" spans="1:81">
      <c r="A9" s="1095" t="s">
        <v>20</v>
      </c>
      <c r="B9" s="837" t="s">
        <v>21</v>
      </c>
      <c r="C9" s="838">
        <f t="shared" si="1"/>
        <v>450162.74</v>
      </c>
      <c r="D9" s="839">
        <f t="shared" si="2"/>
        <v>213680.77</v>
      </c>
      <c r="E9" s="840">
        <f t="shared" si="3"/>
        <v>265985.74</v>
      </c>
      <c r="F9" s="838">
        <f t="shared" si="4"/>
        <v>251732.93</v>
      </c>
      <c r="G9" s="840">
        <f t="shared" si="5"/>
        <v>14252.81</v>
      </c>
      <c r="H9" s="841">
        <v>312462.95</v>
      </c>
      <c r="I9" s="835">
        <v>0</v>
      </c>
      <c r="J9" s="835">
        <v>213680.77</v>
      </c>
      <c r="K9" s="835">
        <v>96509.39</v>
      </c>
      <c r="L9" s="835">
        <v>14256.64</v>
      </c>
      <c r="M9" s="835">
        <v>636909.75</v>
      </c>
      <c r="N9" s="835">
        <v>137699.79</v>
      </c>
      <c r="O9" s="835">
        <v>0</v>
      </c>
      <c r="P9" s="835">
        <v>0</v>
      </c>
      <c r="Q9" s="835">
        <v>155223.54</v>
      </c>
      <c r="R9" s="835">
        <v>-3.83</v>
      </c>
      <c r="S9" s="835">
        <v>292919.5</v>
      </c>
    </row>
    <row r="10" spans="1:81">
      <c r="A10" s="1095" t="s">
        <v>22</v>
      </c>
      <c r="B10" s="837" t="s">
        <v>23</v>
      </c>
      <c r="C10" s="838">
        <f t="shared" si="1"/>
        <v>256015.44</v>
      </c>
      <c r="D10" s="839">
        <f t="shared" si="2"/>
        <v>143597.68</v>
      </c>
      <c r="E10" s="840">
        <f t="shared" si="3"/>
        <v>116847.23000000001</v>
      </c>
      <c r="F10" s="838">
        <f t="shared" si="4"/>
        <v>116399.29000000001</v>
      </c>
      <c r="G10" s="840">
        <f t="shared" si="5"/>
        <v>447.94</v>
      </c>
      <c r="H10" s="841">
        <v>210379.21</v>
      </c>
      <c r="I10" s="835">
        <v>0</v>
      </c>
      <c r="J10" s="835">
        <v>143597.68</v>
      </c>
      <c r="K10" s="835">
        <v>64929.07</v>
      </c>
      <c r="L10" s="835">
        <v>449.3</v>
      </c>
      <c r="M10" s="835">
        <v>419355.26</v>
      </c>
      <c r="N10" s="835">
        <v>45636.23</v>
      </c>
      <c r="O10" s="835">
        <v>0</v>
      </c>
      <c r="P10" s="835">
        <v>0</v>
      </c>
      <c r="Q10" s="835">
        <v>51470.22</v>
      </c>
      <c r="R10" s="835">
        <v>-1.36</v>
      </c>
      <c r="S10" s="835">
        <v>97105.09</v>
      </c>
    </row>
    <row r="11" spans="1:81">
      <c r="A11" s="1095" t="s">
        <v>24</v>
      </c>
      <c r="B11" s="837" t="s">
        <v>25</v>
      </c>
      <c r="C11" s="838">
        <f t="shared" si="1"/>
        <v>2882893.35</v>
      </c>
      <c r="D11" s="839">
        <f t="shared" si="2"/>
        <v>964098.6</v>
      </c>
      <c r="E11" s="840">
        <f t="shared" si="3"/>
        <v>2102187.5599999996</v>
      </c>
      <c r="F11" s="838">
        <f t="shared" si="4"/>
        <v>2102204.5299999998</v>
      </c>
      <c r="G11" s="840">
        <f t="shared" si="5"/>
        <v>-16.97</v>
      </c>
      <c r="H11" s="841">
        <v>1396502.73</v>
      </c>
      <c r="I11" s="835">
        <v>0</v>
      </c>
      <c r="J11" s="835">
        <v>964098.6</v>
      </c>
      <c r="K11" s="835">
        <v>433007.87</v>
      </c>
      <c r="L11" s="835">
        <v>-6.22</v>
      </c>
      <c r="M11" s="835">
        <v>2793602.98</v>
      </c>
      <c r="N11" s="835">
        <v>1486390.62</v>
      </c>
      <c r="O11" s="835">
        <v>0</v>
      </c>
      <c r="P11" s="835">
        <v>0</v>
      </c>
      <c r="Q11" s="835">
        <v>1669196.66</v>
      </c>
      <c r="R11" s="835">
        <v>-10.75</v>
      </c>
      <c r="S11" s="835">
        <v>3155576.53</v>
      </c>
    </row>
    <row r="12" spans="1:81">
      <c r="A12" s="1095" t="s">
        <v>26</v>
      </c>
      <c r="B12" s="837" t="s">
        <v>1114</v>
      </c>
      <c r="C12" s="838">
        <f t="shared" si="1"/>
        <v>1554505.35</v>
      </c>
      <c r="D12" s="839">
        <f t="shared" si="2"/>
        <v>678446.25</v>
      </c>
      <c r="E12" s="840">
        <f t="shared" si="3"/>
        <v>953605.6399999999</v>
      </c>
      <c r="F12" s="838">
        <f t="shared" si="4"/>
        <v>953638.54999999993</v>
      </c>
      <c r="G12" s="840">
        <f t="shared" si="5"/>
        <v>-32.909999999999997</v>
      </c>
      <c r="H12" s="841">
        <v>979666.13</v>
      </c>
      <c r="I12" s="835">
        <v>0</v>
      </c>
      <c r="J12" s="835">
        <v>678446.25</v>
      </c>
      <c r="K12" s="835">
        <v>304148.86</v>
      </c>
      <c r="L12" s="835">
        <v>-75.02</v>
      </c>
      <c r="M12" s="835">
        <v>1962186.22</v>
      </c>
      <c r="N12" s="835">
        <v>574839.22</v>
      </c>
      <c r="O12" s="835">
        <v>0</v>
      </c>
      <c r="P12" s="835">
        <v>0</v>
      </c>
      <c r="Q12" s="835">
        <v>649489.68999999994</v>
      </c>
      <c r="R12" s="835">
        <v>42.11</v>
      </c>
      <c r="S12" s="835">
        <v>1224371.02</v>
      </c>
    </row>
    <row r="13" spans="1:81">
      <c r="A13" s="1095" t="s">
        <v>27</v>
      </c>
      <c r="B13" s="837" t="s">
        <v>28</v>
      </c>
      <c r="C13" s="838">
        <f t="shared" si="1"/>
        <v>104602.44</v>
      </c>
      <c r="D13" s="839">
        <f t="shared" si="2"/>
        <v>64801.22</v>
      </c>
      <c r="E13" s="840">
        <f t="shared" si="3"/>
        <v>42402.130000000005</v>
      </c>
      <c r="F13" s="838">
        <f t="shared" si="4"/>
        <v>39863.370000000003</v>
      </c>
      <c r="G13" s="840">
        <f t="shared" si="5"/>
        <v>2538.7600000000002</v>
      </c>
      <c r="H13" s="841">
        <v>95293.89</v>
      </c>
      <c r="I13" s="835">
        <v>0</v>
      </c>
      <c r="J13" s="835">
        <v>64801.22</v>
      </c>
      <c r="K13" s="835">
        <v>29364.880000000001</v>
      </c>
      <c r="L13" s="835">
        <v>2539.59</v>
      </c>
      <c r="M13" s="835">
        <v>191999.58</v>
      </c>
      <c r="N13" s="835">
        <v>9308.5499999999993</v>
      </c>
      <c r="O13" s="835">
        <v>0</v>
      </c>
      <c r="P13" s="835">
        <v>0</v>
      </c>
      <c r="Q13" s="835">
        <v>10498.49</v>
      </c>
      <c r="R13" s="835">
        <v>-0.83</v>
      </c>
      <c r="S13" s="835">
        <v>19806.21</v>
      </c>
    </row>
    <row r="14" spans="1:81">
      <c r="A14" s="1095" t="s">
        <v>29</v>
      </c>
      <c r="B14" s="837" t="s">
        <v>386</v>
      </c>
      <c r="C14" s="838">
        <f t="shared" si="1"/>
        <v>914367.26</v>
      </c>
      <c r="D14" s="839">
        <f t="shared" si="2"/>
        <v>343733.1</v>
      </c>
      <c r="E14" s="840">
        <f t="shared" si="3"/>
        <v>627833.26</v>
      </c>
      <c r="F14" s="838">
        <f t="shared" si="4"/>
        <v>623659.79</v>
      </c>
      <c r="G14" s="840">
        <f t="shared" si="5"/>
        <v>4173.47</v>
      </c>
      <c r="H14" s="841">
        <v>499061.61</v>
      </c>
      <c r="I14" s="835">
        <v>0</v>
      </c>
      <c r="J14" s="835">
        <v>343733.1</v>
      </c>
      <c r="K14" s="835">
        <v>154593.95000000001</v>
      </c>
      <c r="L14" s="835">
        <v>2939.52</v>
      </c>
      <c r="M14" s="835">
        <v>1000328.18</v>
      </c>
      <c r="N14" s="835">
        <v>415305.65</v>
      </c>
      <c r="O14" s="835">
        <v>0</v>
      </c>
      <c r="P14" s="835">
        <v>0</v>
      </c>
      <c r="Q14" s="835">
        <v>469065.84</v>
      </c>
      <c r="R14" s="835">
        <v>1233.95</v>
      </c>
      <c r="S14" s="835">
        <v>885605.44</v>
      </c>
    </row>
    <row r="15" spans="1:81">
      <c r="A15" s="1095" t="s">
        <v>31</v>
      </c>
      <c r="B15" s="837" t="s">
        <v>32</v>
      </c>
      <c r="C15" s="838">
        <f t="shared" si="1"/>
        <v>174719.15</v>
      </c>
      <c r="D15" s="839">
        <f t="shared" si="2"/>
        <v>84340.24</v>
      </c>
      <c r="E15" s="840">
        <f t="shared" si="3"/>
        <v>95826.16</v>
      </c>
      <c r="F15" s="838">
        <f t="shared" si="4"/>
        <v>95109.22</v>
      </c>
      <c r="G15" s="840">
        <f t="shared" si="5"/>
        <v>716.93999999999994</v>
      </c>
      <c r="H15" s="841">
        <v>124325.37</v>
      </c>
      <c r="I15" s="835">
        <v>0</v>
      </c>
      <c r="J15" s="835">
        <v>84340.24</v>
      </c>
      <c r="K15" s="835">
        <v>38274.06</v>
      </c>
      <c r="L15" s="835">
        <v>719.78</v>
      </c>
      <c r="M15" s="835">
        <v>247659.45</v>
      </c>
      <c r="N15" s="835">
        <v>50393.78</v>
      </c>
      <c r="O15" s="835">
        <v>0</v>
      </c>
      <c r="P15" s="835">
        <v>0</v>
      </c>
      <c r="Q15" s="835">
        <v>56835.16</v>
      </c>
      <c r="R15" s="835">
        <v>-2.84</v>
      </c>
      <c r="S15" s="835">
        <v>107226.1</v>
      </c>
    </row>
    <row r="16" spans="1:81">
      <c r="A16" s="1095" t="s">
        <v>33</v>
      </c>
      <c r="B16" s="837" t="s">
        <v>34</v>
      </c>
      <c r="C16" s="838">
        <f t="shared" si="1"/>
        <v>227086.49</v>
      </c>
      <c r="D16" s="839">
        <f t="shared" si="2"/>
        <v>139181.19</v>
      </c>
      <c r="E16" s="840">
        <f t="shared" si="3"/>
        <v>90100.699999999983</v>
      </c>
      <c r="F16" s="838">
        <f t="shared" si="4"/>
        <v>88444.049999999988</v>
      </c>
      <c r="G16" s="840">
        <f t="shared" si="5"/>
        <v>1656.6499999999999</v>
      </c>
      <c r="H16" s="841">
        <v>204648.99</v>
      </c>
      <c r="I16" s="835">
        <v>0</v>
      </c>
      <c r="J16" s="835">
        <v>139181.19</v>
      </c>
      <c r="K16" s="835">
        <v>63066.27</v>
      </c>
      <c r="L16" s="835">
        <v>1657.28</v>
      </c>
      <c r="M16" s="835">
        <v>408553.73</v>
      </c>
      <c r="N16" s="835">
        <v>22437.5</v>
      </c>
      <c r="O16" s="835">
        <v>0</v>
      </c>
      <c r="P16" s="835">
        <v>0</v>
      </c>
      <c r="Q16" s="835">
        <v>25377.78</v>
      </c>
      <c r="R16" s="835">
        <v>-0.63</v>
      </c>
      <c r="S16" s="835">
        <v>47814.65</v>
      </c>
    </row>
    <row r="17" spans="1:19">
      <c r="A17" s="1095" t="s">
        <v>37</v>
      </c>
      <c r="B17" s="837" t="s">
        <v>38</v>
      </c>
      <c r="C17" s="838">
        <f t="shared" si="1"/>
        <v>437055.22</v>
      </c>
      <c r="D17" s="839">
        <f t="shared" si="2"/>
        <v>288713.78000000003</v>
      </c>
      <c r="E17" s="840">
        <f t="shared" si="3"/>
        <v>146689.88</v>
      </c>
      <c r="F17" s="838">
        <f t="shared" si="4"/>
        <v>144426.84</v>
      </c>
      <c r="G17" s="840">
        <f t="shared" si="5"/>
        <v>2263.04</v>
      </c>
      <c r="H17" s="841">
        <v>425090.74</v>
      </c>
      <c r="I17" s="835">
        <v>0</v>
      </c>
      <c r="J17" s="835">
        <v>288713.78000000003</v>
      </c>
      <c r="K17" s="835">
        <v>130932.85</v>
      </c>
      <c r="L17" s="835">
        <v>2263.08</v>
      </c>
      <c r="M17" s="835">
        <v>847000.45</v>
      </c>
      <c r="N17" s="835">
        <v>11964.48</v>
      </c>
      <c r="O17" s="835">
        <v>0</v>
      </c>
      <c r="P17" s="835">
        <v>0</v>
      </c>
      <c r="Q17" s="835">
        <v>13493.99</v>
      </c>
      <c r="R17" s="835">
        <v>-0.04</v>
      </c>
      <c r="S17" s="835">
        <v>25458.43</v>
      </c>
    </row>
    <row r="18" spans="1:19">
      <c r="A18" s="1095" t="s">
        <v>39</v>
      </c>
      <c r="B18" s="837" t="s">
        <v>40</v>
      </c>
      <c r="C18" s="838">
        <f t="shared" si="1"/>
        <v>932718.29</v>
      </c>
      <c r="D18" s="839">
        <f t="shared" si="2"/>
        <v>437148.01</v>
      </c>
      <c r="E18" s="840">
        <f t="shared" si="3"/>
        <v>535583.34</v>
      </c>
      <c r="F18" s="838">
        <f t="shared" si="4"/>
        <v>533804.49</v>
      </c>
      <c r="G18" s="840">
        <f t="shared" si="5"/>
        <v>1778.8500000000001</v>
      </c>
      <c r="H18" s="841">
        <v>634199.68000000005</v>
      </c>
      <c r="I18" s="835">
        <v>0</v>
      </c>
      <c r="J18" s="835">
        <v>437148.01</v>
      </c>
      <c r="K18" s="835">
        <v>196517.33</v>
      </c>
      <c r="L18" s="835">
        <v>2152.0700000000002</v>
      </c>
      <c r="M18" s="835">
        <v>1270017.0900000001</v>
      </c>
      <c r="N18" s="835">
        <v>298518.61</v>
      </c>
      <c r="O18" s="835">
        <v>0</v>
      </c>
      <c r="P18" s="835">
        <v>0</v>
      </c>
      <c r="Q18" s="835">
        <v>337287.16</v>
      </c>
      <c r="R18" s="835">
        <v>-373.22</v>
      </c>
      <c r="S18" s="835">
        <v>635432.55000000005</v>
      </c>
    </row>
    <row r="19" spans="1:19">
      <c r="A19" s="1095" t="s">
        <v>41</v>
      </c>
      <c r="B19" s="837" t="s">
        <v>42</v>
      </c>
      <c r="C19" s="838">
        <f t="shared" si="1"/>
        <v>299199.09000000003</v>
      </c>
      <c r="D19" s="839">
        <f t="shared" si="2"/>
        <v>174936.59</v>
      </c>
      <c r="E19" s="840">
        <f t="shared" si="3"/>
        <v>133843.61000000002</v>
      </c>
      <c r="F19" s="838">
        <f t="shared" si="4"/>
        <v>127507.6</v>
      </c>
      <c r="G19" s="840">
        <f t="shared" si="5"/>
        <v>6336.01</v>
      </c>
      <c r="H19" s="841">
        <v>256274.79</v>
      </c>
      <c r="I19" s="835">
        <v>0</v>
      </c>
      <c r="J19" s="835">
        <v>174936.59</v>
      </c>
      <c r="K19" s="835">
        <v>79096.05</v>
      </c>
      <c r="L19" s="835">
        <v>6337.52</v>
      </c>
      <c r="M19" s="835">
        <v>516644.95</v>
      </c>
      <c r="N19" s="835">
        <v>42924.3</v>
      </c>
      <c r="O19" s="835">
        <v>0</v>
      </c>
      <c r="P19" s="835">
        <v>0</v>
      </c>
      <c r="Q19" s="835">
        <v>48411.55</v>
      </c>
      <c r="R19" s="835">
        <v>-1.51</v>
      </c>
      <c r="S19" s="835">
        <v>91334.34</v>
      </c>
    </row>
    <row r="20" spans="1:19">
      <c r="A20" s="1095" t="s">
        <v>43</v>
      </c>
      <c r="B20" s="837" t="s">
        <v>44</v>
      </c>
      <c r="C20" s="838">
        <f t="shared" si="1"/>
        <v>878922.65</v>
      </c>
      <c r="D20" s="839">
        <f t="shared" si="2"/>
        <v>440542.21</v>
      </c>
      <c r="E20" s="840">
        <f t="shared" si="3"/>
        <v>453738</v>
      </c>
      <c r="F20" s="838">
        <f t="shared" si="4"/>
        <v>453749.26</v>
      </c>
      <c r="G20" s="840">
        <f t="shared" si="5"/>
        <v>-11.26</v>
      </c>
      <c r="H20" s="841">
        <v>651771.29</v>
      </c>
      <c r="I20" s="835">
        <v>0</v>
      </c>
      <c r="J20" s="835">
        <v>440542.21</v>
      </c>
      <c r="K20" s="835">
        <v>200362.57</v>
      </c>
      <c r="L20" s="835">
        <v>-9.08</v>
      </c>
      <c r="M20" s="835">
        <v>1292666.99</v>
      </c>
      <c r="N20" s="835">
        <v>227151.35999999999</v>
      </c>
      <c r="O20" s="835">
        <v>0</v>
      </c>
      <c r="P20" s="835">
        <v>0</v>
      </c>
      <c r="Q20" s="835">
        <v>253386.69</v>
      </c>
      <c r="R20" s="835">
        <v>-2.1800000000000002</v>
      </c>
      <c r="S20" s="835">
        <v>480535.87</v>
      </c>
    </row>
    <row r="21" spans="1:19">
      <c r="A21" s="1095" t="s">
        <v>45</v>
      </c>
      <c r="B21" s="837" t="s">
        <v>46</v>
      </c>
      <c r="C21" s="838">
        <f t="shared" si="1"/>
        <v>494038.16</v>
      </c>
      <c r="D21" s="839">
        <f t="shared" si="2"/>
        <v>225955.5</v>
      </c>
      <c r="E21" s="840">
        <f t="shared" si="3"/>
        <v>286869.42</v>
      </c>
      <c r="F21" s="838">
        <f t="shared" si="4"/>
        <v>284554.2</v>
      </c>
      <c r="G21" s="840">
        <f t="shared" si="5"/>
        <v>2315.2199999999998</v>
      </c>
      <c r="H21" s="841">
        <v>331488.34999999998</v>
      </c>
      <c r="I21" s="835">
        <v>0</v>
      </c>
      <c r="J21" s="835">
        <v>225955.5</v>
      </c>
      <c r="K21" s="835">
        <v>102251.99</v>
      </c>
      <c r="L21" s="835">
        <v>2316.4699999999998</v>
      </c>
      <c r="M21" s="835">
        <v>662012.31000000006</v>
      </c>
      <c r="N21" s="835">
        <v>162549.81</v>
      </c>
      <c r="O21" s="835">
        <v>0</v>
      </c>
      <c r="P21" s="835">
        <v>0</v>
      </c>
      <c r="Q21" s="835">
        <v>182302.21</v>
      </c>
      <c r="R21" s="835">
        <v>-1.25</v>
      </c>
      <c r="S21" s="835">
        <v>344850.77</v>
      </c>
    </row>
    <row r="22" spans="1:19">
      <c r="A22" s="1095" t="s">
        <v>47</v>
      </c>
      <c r="B22" s="837" t="s">
        <v>48</v>
      </c>
      <c r="C22" s="838">
        <f t="shared" si="1"/>
        <v>501214.82</v>
      </c>
      <c r="D22" s="839">
        <f t="shared" si="2"/>
        <v>292869.24</v>
      </c>
      <c r="E22" s="840">
        <f t="shared" si="3"/>
        <v>257312.32</v>
      </c>
      <c r="F22" s="838">
        <f t="shared" si="4"/>
        <v>212821.24</v>
      </c>
      <c r="G22" s="840">
        <f t="shared" si="5"/>
        <v>44491.08</v>
      </c>
      <c r="H22" s="841">
        <v>430098.27</v>
      </c>
      <c r="I22" s="835">
        <v>0</v>
      </c>
      <c r="J22" s="835">
        <v>292869.24</v>
      </c>
      <c r="K22" s="835">
        <v>132613.31</v>
      </c>
      <c r="L22" s="835">
        <v>42464.5</v>
      </c>
      <c r="M22" s="835">
        <v>898045.32</v>
      </c>
      <c r="N22" s="835">
        <v>71116.55</v>
      </c>
      <c r="O22" s="835">
        <v>0</v>
      </c>
      <c r="P22" s="835">
        <v>0</v>
      </c>
      <c r="Q22" s="835">
        <v>80207.929999999993</v>
      </c>
      <c r="R22" s="835">
        <v>2026.58</v>
      </c>
      <c r="S22" s="835">
        <v>153351.06</v>
      </c>
    </row>
    <row r="23" spans="1:19">
      <c r="A23" s="1095" t="s">
        <v>49</v>
      </c>
      <c r="B23" s="837" t="s">
        <v>279</v>
      </c>
      <c r="C23" s="838">
        <f t="shared" si="1"/>
        <v>192832.66999999998</v>
      </c>
      <c r="D23" s="839">
        <f t="shared" si="2"/>
        <v>127350.18</v>
      </c>
      <c r="E23" s="840">
        <f t="shared" si="3"/>
        <v>63463.15</v>
      </c>
      <c r="F23" s="838">
        <f t="shared" si="4"/>
        <v>63469.41</v>
      </c>
      <c r="G23" s="840">
        <f t="shared" si="5"/>
        <v>-6.2600000000000007</v>
      </c>
      <c r="H23" s="841">
        <v>187774.87</v>
      </c>
      <c r="I23" s="835">
        <v>0</v>
      </c>
      <c r="J23" s="835">
        <v>127350.18</v>
      </c>
      <c r="K23" s="835">
        <v>57802.68</v>
      </c>
      <c r="L23" s="835">
        <v>-6.15</v>
      </c>
      <c r="M23" s="835">
        <v>372921.58</v>
      </c>
      <c r="N23" s="835">
        <v>5057.8</v>
      </c>
      <c r="O23" s="835">
        <v>0</v>
      </c>
      <c r="P23" s="835">
        <v>0</v>
      </c>
      <c r="Q23" s="835">
        <v>5666.73</v>
      </c>
      <c r="R23" s="835">
        <v>-0.11</v>
      </c>
      <c r="S23" s="835">
        <v>10724.42</v>
      </c>
    </row>
    <row r="24" spans="1:19">
      <c r="A24" s="1095" t="s">
        <v>51</v>
      </c>
      <c r="B24" s="837" t="s">
        <v>52</v>
      </c>
      <c r="C24" s="838">
        <f t="shared" si="1"/>
        <v>335351.34999999998</v>
      </c>
      <c r="D24" s="839">
        <f t="shared" si="2"/>
        <v>179681.7</v>
      </c>
      <c r="E24" s="840">
        <f t="shared" si="3"/>
        <v>164409.00999999998</v>
      </c>
      <c r="F24" s="838">
        <f t="shared" si="4"/>
        <v>164181.49</v>
      </c>
      <c r="G24" s="840">
        <f t="shared" si="5"/>
        <v>227.51999999999998</v>
      </c>
      <c r="H24" s="841">
        <v>261637.37</v>
      </c>
      <c r="I24" s="835">
        <v>0</v>
      </c>
      <c r="J24" s="835">
        <v>179681.7</v>
      </c>
      <c r="K24" s="835">
        <v>80950.58</v>
      </c>
      <c r="L24" s="835">
        <v>228.35</v>
      </c>
      <c r="M24" s="835">
        <v>522498</v>
      </c>
      <c r="N24" s="835">
        <v>73713.98</v>
      </c>
      <c r="O24" s="835">
        <v>0</v>
      </c>
      <c r="P24" s="835">
        <v>0</v>
      </c>
      <c r="Q24" s="835">
        <v>83230.91</v>
      </c>
      <c r="R24" s="835">
        <v>-0.83</v>
      </c>
      <c r="S24" s="835">
        <v>156944.06</v>
      </c>
    </row>
    <row r="25" spans="1:19">
      <c r="A25" s="1095" t="s">
        <v>57</v>
      </c>
      <c r="B25" s="837" t="s">
        <v>362</v>
      </c>
      <c r="C25" s="838">
        <f t="shared" si="1"/>
        <v>2231317.9500000002</v>
      </c>
      <c r="D25" s="839">
        <f t="shared" si="2"/>
        <v>836520.13</v>
      </c>
      <c r="E25" s="840">
        <f t="shared" si="3"/>
        <v>1541522.04</v>
      </c>
      <c r="F25" s="838">
        <f t="shared" si="4"/>
        <v>1501105.09</v>
      </c>
      <c r="G25" s="840">
        <f t="shared" si="5"/>
        <v>40416.950000000004</v>
      </c>
      <c r="H25" s="841">
        <v>1228214.6000000001</v>
      </c>
      <c r="I25" s="835">
        <v>0</v>
      </c>
      <c r="J25" s="835">
        <v>836520.13</v>
      </c>
      <c r="K25" s="835">
        <v>378735.54</v>
      </c>
      <c r="L25" s="835">
        <v>61.22</v>
      </c>
      <c r="M25" s="835">
        <v>2443531.4900000002</v>
      </c>
      <c r="N25" s="835">
        <v>1003103.35</v>
      </c>
      <c r="O25" s="835">
        <v>0</v>
      </c>
      <c r="P25" s="835">
        <v>0</v>
      </c>
      <c r="Q25" s="835">
        <v>1122369.55</v>
      </c>
      <c r="R25" s="835">
        <v>40355.730000000003</v>
      </c>
      <c r="S25" s="835">
        <v>2165828.63</v>
      </c>
    </row>
    <row r="26" spans="1:19">
      <c r="A26" s="1095" t="s">
        <v>59</v>
      </c>
      <c r="B26" s="837" t="s">
        <v>60</v>
      </c>
      <c r="C26" s="838">
        <f t="shared" si="1"/>
        <v>195368.7</v>
      </c>
      <c r="D26" s="839">
        <f t="shared" si="2"/>
        <v>67100.31</v>
      </c>
      <c r="E26" s="840">
        <f t="shared" si="3"/>
        <v>142049</v>
      </c>
      <c r="F26" s="838">
        <f t="shared" si="4"/>
        <v>141571.15</v>
      </c>
      <c r="G26" s="840">
        <f t="shared" si="5"/>
        <v>477.85</v>
      </c>
      <c r="H26" s="841">
        <v>96684.7</v>
      </c>
      <c r="I26" s="835">
        <v>0</v>
      </c>
      <c r="J26" s="835">
        <v>67100.31</v>
      </c>
      <c r="K26" s="835">
        <v>30041.81</v>
      </c>
      <c r="L26" s="835">
        <v>262.35000000000002</v>
      </c>
      <c r="M26" s="835">
        <v>194089.17</v>
      </c>
      <c r="N26" s="835">
        <v>98684</v>
      </c>
      <c r="O26" s="835">
        <v>0</v>
      </c>
      <c r="P26" s="835">
        <v>0</v>
      </c>
      <c r="Q26" s="835">
        <v>111529.34</v>
      </c>
      <c r="R26" s="835">
        <v>215.5</v>
      </c>
      <c r="S26" s="835">
        <v>210428.84</v>
      </c>
    </row>
    <row r="27" spans="1:19">
      <c r="A27" s="1095" t="s">
        <v>61</v>
      </c>
      <c r="B27" s="837" t="s">
        <v>62</v>
      </c>
      <c r="C27" s="838">
        <f t="shared" si="1"/>
        <v>107944.63</v>
      </c>
      <c r="D27" s="839">
        <f t="shared" si="2"/>
        <v>54575.86</v>
      </c>
      <c r="E27" s="840">
        <f t="shared" si="3"/>
        <v>59497.889999999992</v>
      </c>
      <c r="F27" s="838">
        <f t="shared" si="4"/>
        <v>55951.789999999994</v>
      </c>
      <c r="G27" s="840">
        <f t="shared" si="5"/>
        <v>3546.1</v>
      </c>
      <c r="H27" s="841">
        <v>79845.919999999998</v>
      </c>
      <c r="I27" s="835">
        <v>0</v>
      </c>
      <c r="J27" s="835">
        <v>54575.86</v>
      </c>
      <c r="K27" s="835">
        <v>24655.37</v>
      </c>
      <c r="L27" s="835">
        <v>3548.19</v>
      </c>
      <c r="M27" s="835">
        <v>162625.34</v>
      </c>
      <c r="N27" s="835">
        <v>28098.71</v>
      </c>
      <c r="O27" s="835">
        <v>0</v>
      </c>
      <c r="P27" s="835">
        <v>0</v>
      </c>
      <c r="Q27" s="835">
        <v>31296.42</v>
      </c>
      <c r="R27" s="835">
        <v>-2.09</v>
      </c>
      <c r="S27" s="835">
        <v>59393.04</v>
      </c>
    </row>
    <row r="28" spans="1:19">
      <c r="A28" s="1095" t="s">
        <v>63</v>
      </c>
      <c r="B28" s="837" t="s">
        <v>64</v>
      </c>
      <c r="C28" s="838">
        <f t="shared" si="1"/>
        <v>803092.33</v>
      </c>
      <c r="D28" s="839">
        <f t="shared" si="2"/>
        <v>249987.53</v>
      </c>
      <c r="E28" s="840">
        <f t="shared" si="3"/>
        <v>1249837.3799999999</v>
      </c>
      <c r="F28" s="838">
        <f t="shared" si="4"/>
        <v>611065.04</v>
      </c>
      <c r="G28" s="840">
        <f t="shared" si="5"/>
        <v>638772.34</v>
      </c>
      <c r="H28" s="841">
        <v>360783.22</v>
      </c>
      <c r="I28" s="835">
        <v>0</v>
      </c>
      <c r="J28" s="835">
        <v>249987.53</v>
      </c>
      <c r="K28" s="835">
        <v>112033.24</v>
      </c>
      <c r="L28" s="835">
        <v>596244.89</v>
      </c>
      <c r="M28" s="835">
        <v>1319048.8799999999</v>
      </c>
      <c r="N28" s="835">
        <v>442309.11</v>
      </c>
      <c r="O28" s="835">
        <v>0</v>
      </c>
      <c r="P28" s="835">
        <v>0</v>
      </c>
      <c r="Q28" s="835">
        <v>499031.8</v>
      </c>
      <c r="R28" s="835">
        <v>42527.45</v>
      </c>
      <c r="S28" s="835">
        <v>983868.36</v>
      </c>
    </row>
    <row r="29" spans="1:19">
      <c r="A29" s="1095" t="s">
        <v>65</v>
      </c>
      <c r="B29" s="837" t="s">
        <v>66</v>
      </c>
      <c r="C29" s="838">
        <f t="shared" si="1"/>
        <v>201023.71999999997</v>
      </c>
      <c r="D29" s="839">
        <f t="shared" si="2"/>
        <v>119274.82</v>
      </c>
      <c r="E29" s="840">
        <f t="shared" si="3"/>
        <v>93836.5</v>
      </c>
      <c r="F29" s="838">
        <f t="shared" si="4"/>
        <v>83192.83</v>
      </c>
      <c r="G29" s="840">
        <f t="shared" si="5"/>
        <v>10643.67</v>
      </c>
      <c r="H29" s="841">
        <v>175142.33</v>
      </c>
      <c r="I29" s="835">
        <v>0</v>
      </c>
      <c r="J29" s="835">
        <v>119274.82</v>
      </c>
      <c r="K29" s="835">
        <v>54002.82</v>
      </c>
      <c r="L29" s="835">
        <v>10645.17</v>
      </c>
      <c r="M29" s="835">
        <v>359065.14</v>
      </c>
      <c r="N29" s="835">
        <v>25881.39</v>
      </c>
      <c r="O29" s="835">
        <v>0</v>
      </c>
      <c r="P29" s="835">
        <v>0</v>
      </c>
      <c r="Q29" s="835">
        <v>29190.01</v>
      </c>
      <c r="R29" s="835">
        <v>-1.5</v>
      </c>
      <c r="S29" s="835">
        <v>55069.9</v>
      </c>
    </row>
    <row r="30" spans="1:19">
      <c r="A30" s="1095" t="s">
        <v>69</v>
      </c>
      <c r="B30" s="837" t="s">
        <v>70</v>
      </c>
      <c r="C30" s="838">
        <f t="shared" si="1"/>
        <v>575850.07000000007</v>
      </c>
      <c r="D30" s="839">
        <f t="shared" si="2"/>
        <v>327522.7</v>
      </c>
      <c r="E30" s="840">
        <f t="shared" si="3"/>
        <v>261251.25999999998</v>
      </c>
      <c r="F30" s="838">
        <f t="shared" si="4"/>
        <v>252576.99</v>
      </c>
      <c r="G30" s="840">
        <f t="shared" si="5"/>
        <v>8674.27</v>
      </c>
      <c r="H30" s="841">
        <v>482893.59</v>
      </c>
      <c r="I30" s="835">
        <v>0</v>
      </c>
      <c r="J30" s="835">
        <v>327522.7</v>
      </c>
      <c r="K30" s="835">
        <v>148653.87</v>
      </c>
      <c r="L30" s="835">
        <v>8620.84</v>
      </c>
      <c r="M30" s="835">
        <v>967691</v>
      </c>
      <c r="N30" s="835">
        <v>92956.479999999996</v>
      </c>
      <c r="O30" s="835">
        <v>0</v>
      </c>
      <c r="P30" s="835">
        <v>0</v>
      </c>
      <c r="Q30" s="835">
        <v>103923.12</v>
      </c>
      <c r="R30" s="835">
        <v>53.43</v>
      </c>
      <c r="S30" s="835">
        <v>196933.03</v>
      </c>
    </row>
    <row r="31" spans="1:19">
      <c r="A31" s="1095" t="s">
        <v>71</v>
      </c>
      <c r="B31" s="837" t="s">
        <v>72</v>
      </c>
      <c r="C31" s="838">
        <f t="shared" si="1"/>
        <v>477149.88</v>
      </c>
      <c r="D31" s="839">
        <f t="shared" si="2"/>
        <v>275252.45</v>
      </c>
      <c r="E31" s="840">
        <f t="shared" si="3"/>
        <v>211281.27999999997</v>
      </c>
      <c r="F31" s="838">
        <f t="shared" si="4"/>
        <v>205328.47999999998</v>
      </c>
      <c r="G31" s="840">
        <f t="shared" si="5"/>
        <v>5952.7999999999993</v>
      </c>
      <c r="H31" s="841">
        <v>405282.2</v>
      </c>
      <c r="I31" s="835">
        <v>0</v>
      </c>
      <c r="J31" s="835">
        <v>275252.45</v>
      </c>
      <c r="K31" s="835">
        <v>124829.8</v>
      </c>
      <c r="L31" s="835">
        <v>5955.4</v>
      </c>
      <c r="M31" s="835">
        <v>811319.85</v>
      </c>
      <c r="N31" s="835">
        <v>71867.679999999993</v>
      </c>
      <c r="O31" s="835">
        <v>0</v>
      </c>
      <c r="P31" s="835">
        <v>0</v>
      </c>
      <c r="Q31" s="835">
        <v>80498.679999999993</v>
      </c>
      <c r="R31" s="835">
        <v>-2.6</v>
      </c>
      <c r="S31" s="835">
        <v>152363.76</v>
      </c>
    </row>
    <row r="32" spans="1:19">
      <c r="A32" s="1095" t="s">
        <v>73</v>
      </c>
      <c r="B32" s="837" t="s">
        <v>74</v>
      </c>
      <c r="C32" s="838">
        <f t="shared" si="1"/>
        <v>255634.99</v>
      </c>
      <c r="D32" s="839">
        <f t="shared" si="2"/>
        <v>103974.7</v>
      </c>
      <c r="E32" s="840">
        <f t="shared" si="3"/>
        <v>169033.7</v>
      </c>
      <c r="F32" s="838">
        <f t="shared" si="4"/>
        <v>166374.06</v>
      </c>
      <c r="G32" s="840">
        <f t="shared" si="5"/>
        <v>2659.6400000000003</v>
      </c>
      <c r="H32" s="841">
        <v>149602.54</v>
      </c>
      <c r="I32" s="835">
        <v>0</v>
      </c>
      <c r="J32" s="835">
        <v>103974.7</v>
      </c>
      <c r="K32" s="835">
        <v>46512.19</v>
      </c>
      <c r="L32" s="835">
        <v>2560.36</v>
      </c>
      <c r="M32" s="835">
        <v>302649.78999999998</v>
      </c>
      <c r="N32" s="835">
        <v>106032.45</v>
      </c>
      <c r="O32" s="835">
        <v>0</v>
      </c>
      <c r="P32" s="835">
        <v>0</v>
      </c>
      <c r="Q32" s="835">
        <v>119861.87</v>
      </c>
      <c r="R32" s="835">
        <v>99.28</v>
      </c>
      <c r="S32" s="835">
        <v>225993.60000000001</v>
      </c>
    </row>
    <row r="33" spans="1:19">
      <c r="A33" s="1095" t="s">
        <v>75</v>
      </c>
      <c r="B33" s="837" t="s">
        <v>369</v>
      </c>
      <c r="C33" s="838">
        <f t="shared" si="1"/>
        <v>10561775.060000001</v>
      </c>
      <c r="D33" s="839">
        <f t="shared" si="2"/>
        <v>3436993.61</v>
      </c>
      <c r="E33" s="840">
        <f t="shared" si="3"/>
        <v>7802506.75</v>
      </c>
      <c r="F33" s="838">
        <f t="shared" si="4"/>
        <v>7802525.0700000003</v>
      </c>
      <c r="G33" s="840">
        <f t="shared" si="5"/>
        <v>-18.32</v>
      </c>
      <c r="H33" s="841">
        <v>4990115.9800000004</v>
      </c>
      <c r="I33" s="835">
        <v>0</v>
      </c>
      <c r="J33" s="835">
        <v>3436993.61</v>
      </c>
      <c r="K33" s="835">
        <v>1545801.03</v>
      </c>
      <c r="L33" s="835">
        <v>-0.62</v>
      </c>
      <c r="M33" s="835">
        <v>9972910</v>
      </c>
      <c r="N33" s="835">
        <v>5571659.0800000001</v>
      </c>
      <c r="O33" s="835">
        <v>0</v>
      </c>
      <c r="P33" s="835">
        <v>0</v>
      </c>
      <c r="Q33" s="835">
        <v>6256724.04</v>
      </c>
      <c r="R33" s="835">
        <v>-17.7</v>
      </c>
      <c r="S33" s="835">
        <v>11828365.42</v>
      </c>
    </row>
    <row r="34" spans="1:19">
      <c r="A34" s="1095" t="s">
        <v>77</v>
      </c>
      <c r="B34" s="837" t="s">
        <v>78</v>
      </c>
      <c r="C34" s="838">
        <f t="shared" si="1"/>
        <v>603737.88</v>
      </c>
      <c r="D34" s="839">
        <f t="shared" si="2"/>
        <v>248659.74</v>
      </c>
      <c r="E34" s="840">
        <f t="shared" si="3"/>
        <v>392123.83999999997</v>
      </c>
      <c r="F34" s="838">
        <f t="shared" si="4"/>
        <v>389156.68</v>
      </c>
      <c r="G34" s="840">
        <f t="shared" si="5"/>
        <v>2967.16</v>
      </c>
      <c r="H34" s="841">
        <v>357851.92</v>
      </c>
      <c r="I34" s="835">
        <v>0</v>
      </c>
      <c r="J34" s="835">
        <v>248659.74</v>
      </c>
      <c r="K34" s="835">
        <v>111252.81</v>
      </c>
      <c r="L34" s="835">
        <v>1048.51</v>
      </c>
      <c r="M34" s="835">
        <v>718812.98</v>
      </c>
      <c r="N34" s="835">
        <v>245885.96</v>
      </c>
      <c r="O34" s="835">
        <v>0</v>
      </c>
      <c r="P34" s="835">
        <v>0</v>
      </c>
      <c r="Q34" s="835">
        <v>277903.87</v>
      </c>
      <c r="R34" s="835">
        <v>1918.65</v>
      </c>
      <c r="S34" s="835">
        <v>525708.48</v>
      </c>
    </row>
    <row r="35" spans="1:19">
      <c r="A35" s="1095" t="s">
        <v>79</v>
      </c>
      <c r="B35" s="837" t="s">
        <v>80</v>
      </c>
      <c r="C35" s="838">
        <f t="shared" si="1"/>
        <v>198955.56</v>
      </c>
      <c r="D35" s="839">
        <f t="shared" si="2"/>
        <v>94413.35</v>
      </c>
      <c r="E35" s="840">
        <f t="shared" si="3"/>
        <v>110681.74</v>
      </c>
      <c r="F35" s="838">
        <f t="shared" si="4"/>
        <v>110036.78</v>
      </c>
      <c r="G35" s="840">
        <f t="shared" si="5"/>
        <v>644.96</v>
      </c>
      <c r="H35" s="841">
        <v>138916.93</v>
      </c>
      <c r="I35" s="835">
        <v>0</v>
      </c>
      <c r="J35" s="835">
        <v>94413.35</v>
      </c>
      <c r="K35" s="835">
        <v>42797.74</v>
      </c>
      <c r="L35" s="835">
        <v>647.76</v>
      </c>
      <c r="M35" s="835">
        <v>276775.78000000003</v>
      </c>
      <c r="N35" s="835">
        <v>60038.63</v>
      </c>
      <c r="O35" s="835">
        <v>0</v>
      </c>
      <c r="P35" s="835">
        <v>0</v>
      </c>
      <c r="Q35" s="835">
        <v>67239.039999999994</v>
      </c>
      <c r="R35" s="835">
        <v>-2.8</v>
      </c>
      <c r="S35" s="835">
        <v>127274.87</v>
      </c>
    </row>
    <row r="36" spans="1:19">
      <c r="A36" s="1095" t="s">
        <v>81</v>
      </c>
      <c r="B36" s="837" t="s">
        <v>82</v>
      </c>
      <c r="C36" s="838">
        <f t="shared" si="1"/>
        <v>243177</v>
      </c>
      <c r="D36" s="839">
        <f t="shared" si="2"/>
        <v>126153.08</v>
      </c>
      <c r="E36" s="840">
        <f t="shared" si="3"/>
        <v>215751.33</v>
      </c>
      <c r="F36" s="838">
        <f t="shared" si="4"/>
        <v>122885.65</v>
      </c>
      <c r="G36" s="840">
        <f t="shared" si="5"/>
        <v>92865.68</v>
      </c>
      <c r="H36" s="841">
        <v>184713.24</v>
      </c>
      <c r="I36" s="835">
        <v>0</v>
      </c>
      <c r="J36" s="835">
        <v>126153.08</v>
      </c>
      <c r="K36" s="835">
        <v>57020.77</v>
      </c>
      <c r="L36" s="835">
        <v>89778.81</v>
      </c>
      <c r="M36" s="835">
        <v>457665.9</v>
      </c>
      <c r="N36" s="835">
        <v>58463.76</v>
      </c>
      <c r="O36" s="835">
        <v>0</v>
      </c>
      <c r="P36" s="835">
        <v>0</v>
      </c>
      <c r="Q36" s="835">
        <v>65864.88</v>
      </c>
      <c r="R36" s="835">
        <v>3086.87</v>
      </c>
      <c r="S36" s="835">
        <v>127415.51</v>
      </c>
    </row>
    <row r="37" spans="1:19">
      <c r="A37" s="1095" t="s">
        <v>85</v>
      </c>
      <c r="B37" s="837" t="s">
        <v>387</v>
      </c>
      <c r="C37" s="838">
        <f t="shared" si="1"/>
        <v>680756.29</v>
      </c>
      <c r="D37" s="839">
        <f t="shared" si="2"/>
        <v>301276.27</v>
      </c>
      <c r="E37" s="840">
        <f t="shared" si="3"/>
        <v>420689.84999999992</v>
      </c>
      <c r="F37" s="838">
        <f t="shared" si="4"/>
        <v>412839.43999999994</v>
      </c>
      <c r="G37" s="840">
        <f t="shared" si="5"/>
        <v>7850.41</v>
      </c>
      <c r="H37" s="841">
        <v>434989.76</v>
      </c>
      <c r="I37" s="835">
        <v>0</v>
      </c>
      <c r="J37" s="835">
        <v>301276.27</v>
      </c>
      <c r="K37" s="835">
        <v>135053.01999999999</v>
      </c>
      <c r="L37" s="835">
        <v>7855</v>
      </c>
      <c r="M37" s="835">
        <v>879174.05</v>
      </c>
      <c r="N37" s="835">
        <v>245766.53</v>
      </c>
      <c r="O37" s="835">
        <v>0</v>
      </c>
      <c r="P37" s="835">
        <v>0</v>
      </c>
      <c r="Q37" s="835">
        <v>277786.42</v>
      </c>
      <c r="R37" s="835">
        <v>-4.59</v>
      </c>
      <c r="S37" s="835">
        <v>523548.36</v>
      </c>
    </row>
    <row r="38" spans="1:19">
      <c r="A38" s="1095" t="s">
        <v>87</v>
      </c>
      <c r="B38" s="837" t="s">
        <v>88</v>
      </c>
      <c r="C38" s="838">
        <f t="shared" si="1"/>
        <v>837749.3</v>
      </c>
      <c r="D38" s="839">
        <f t="shared" si="2"/>
        <v>272320.23</v>
      </c>
      <c r="E38" s="840">
        <f t="shared" si="3"/>
        <v>626579.51</v>
      </c>
      <c r="F38" s="838">
        <f t="shared" si="4"/>
        <v>624997.03</v>
      </c>
      <c r="G38" s="840">
        <f t="shared" si="5"/>
        <v>1582.48</v>
      </c>
      <c r="H38" s="841">
        <v>392380.66</v>
      </c>
      <c r="I38" s="835">
        <v>0</v>
      </c>
      <c r="J38" s="835">
        <v>272320.23</v>
      </c>
      <c r="K38" s="835">
        <v>121925.66</v>
      </c>
      <c r="L38" s="835">
        <v>897.63</v>
      </c>
      <c r="M38" s="835">
        <v>787524.18</v>
      </c>
      <c r="N38" s="835">
        <v>445368.64</v>
      </c>
      <c r="O38" s="835">
        <v>0</v>
      </c>
      <c r="P38" s="835">
        <v>0</v>
      </c>
      <c r="Q38" s="835">
        <v>503071.37</v>
      </c>
      <c r="R38" s="835">
        <v>684.85</v>
      </c>
      <c r="S38" s="835">
        <v>949124.86</v>
      </c>
    </row>
    <row r="39" spans="1:19">
      <c r="A39" s="1095" t="s">
        <v>93</v>
      </c>
      <c r="B39" s="837" t="s">
        <v>94</v>
      </c>
      <c r="C39" s="838">
        <f t="shared" si="1"/>
        <v>312077.59999999998</v>
      </c>
      <c r="D39" s="839">
        <f t="shared" si="2"/>
        <v>167156.76</v>
      </c>
      <c r="E39" s="840">
        <f t="shared" si="3"/>
        <v>154928.68</v>
      </c>
      <c r="F39" s="838">
        <f t="shared" si="4"/>
        <v>151047.78999999998</v>
      </c>
      <c r="G39" s="840">
        <f t="shared" si="5"/>
        <v>3880.89</v>
      </c>
      <c r="H39" s="841">
        <v>244816.02</v>
      </c>
      <c r="I39" s="835">
        <v>0</v>
      </c>
      <c r="J39" s="835">
        <v>167156.76</v>
      </c>
      <c r="K39" s="835">
        <v>75566.679999999993</v>
      </c>
      <c r="L39" s="835">
        <v>3882.35</v>
      </c>
      <c r="M39" s="835">
        <v>491421.81</v>
      </c>
      <c r="N39" s="835">
        <v>67261.58</v>
      </c>
      <c r="O39" s="835">
        <v>0</v>
      </c>
      <c r="P39" s="835">
        <v>0</v>
      </c>
      <c r="Q39" s="835">
        <v>75481.11</v>
      </c>
      <c r="R39" s="835">
        <v>-1.46</v>
      </c>
      <c r="S39" s="835">
        <v>142741.23000000001</v>
      </c>
    </row>
    <row r="40" spans="1:19">
      <c r="A40" s="1095" t="s">
        <v>95</v>
      </c>
      <c r="B40" s="837" t="s">
        <v>96</v>
      </c>
      <c r="C40" s="838">
        <f t="shared" si="1"/>
        <v>394862.13999999996</v>
      </c>
      <c r="D40" s="839">
        <f t="shared" si="2"/>
        <v>229453.73</v>
      </c>
      <c r="E40" s="840">
        <f t="shared" si="3"/>
        <v>167517.66000000003</v>
      </c>
      <c r="F40" s="838">
        <f t="shared" si="4"/>
        <v>166891.96000000002</v>
      </c>
      <c r="G40" s="840">
        <f t="shared" si="5"/>
        <v>625.70000000000005</v>
      </c>
      <c r="H40" s="841">
        <v>338533.16</v>
      </c>
      <c r="I40" s="835">
        <v>0</v>
      </c>
      <c r="J40" s="835">
        <v>229453.73</v>
      </c>
      <c r="K40" s="835">
        <v>104184.38</v>
      </c>
      <c r="L40" s="835">
        <v>629.13</v>
      </c>
      <c r="M40" s="835">
        <v>672800.4</v>
      </c>
      <c r="N40" s="835">
        <v>56328.98</v>
      </c>
      <c r="O40" s="835">
        <v>0</v>
      </c>
      <c r="P40" s="835">
        <v>0</v>
      </c>
      <c r="Q40" s="835">
        <v>62707.58</v>
      </c>
      <c r="R40" s="835">
        <v>-3.43</v>
      </c>
      <c r="S40" s="835">
        <v>119033.13</v>
      </c>
    </row>
    <row r="41" spans="1:19">
      <c r="A41" s="1095" t="s">
        <v>97</v>
      </c>
      <c r="B41" s="837" t="s">
        <v>98</v>
      </c>
      <c r="C41" s="838">
        <f t="shared" si="1"/>
        <v>237669.47</v>
      </c>
      <c r="D41" s="839">
        <f t="shared" si="2"/>
        <v>145441.17000000001</v>
      </c>
      <c r="E41" s="840">
        <f t="shared" si="3"/>
        <v>130140.24000000002</v>
      </c>
      <c r="F41" s="838">
        <f t="shared" si="4"/>
        <v>92884.860000000015</v>
      </c>
      <c r="G41" s="840">
        <f t="shared" si="5"/>
        <v>37255.379999999997</v>
      </c>
      <c r="H41" s="841">
        <v>213726.48</v>
      </c>
      <c r="I41" s="835">
        <v>0</v>
      </c>
      <c r="J41" s="835">
        <v>145441.17000000001</v>
      </c>
      <c r="K41" s="835">
        <v>65881.070000000007</v>
      </c>
      <c r="L41" s="835">
        <v>36889.54</v>
      </c>
      <c r="M41" s="835">
        <v>461938.26</v>
      </c>
      <c r="N41" s="835">
        <v>23942.99</v>
      </c>
      <c r="O41" s="835">
        <v>0</v>
      </c>
      <c r="P41" s="835">
        <v>0</v>
      </c>
      <c r="Q41" s="835">
        <v>27003.79</v>
      </c>
      <c r="R41" s="835">
        <v>365.84</v>
      </c>
      <c r="S41" s="835">
        <v>51312.62</v>
      </c>
    </row>
    <row r="42" spans="1:19">
      <c r="A42" s="1095" t="s">
        <v>99</v>
      </c>
      <c r="B42" s="837" t="s">
        <v>100</v>
      </c>
      <c r="C42" s="838">
        <f t="shared" si="1"/>
        <v>262027.99</v>
      </c>
      <c r="D42" s="839">
        <f t="shared" si="2"/>
        <v>177749.88</v>
      </c>
      <c r="E42" s="840">
        <f t="shared" si="3"/>
        <v>81648.649999999994</v>
      </c>
      <c r="F42" s="838">
        <f t="shared" si="4"/>
        <v>80667.14</v>
      </c>
      <c r="G42" s="840">
        <f t="shared" si="5"/>
        <v>981.51</v>
      </c>
      <c r="H42" s="841">
        <v>262027.99</v>
      </c>
      <c r="I42" s="835">
        <v>0</v>
      </c>
      <c r="J42" s="835">
        <v>177749.88</v>
      </c>
      <c r="K42" s="835">
        <v>80667.14</v>
      </c>
      <c r="L42" s="835">
        <v>981.51</v>
      </c>
      <c r="M42" s="835">
        <v>521426.52</v>
      </c>
      <c r="N42" s="830"/>
      <c r="O42" s="830"/>
      <c r="P42" s="830"/>
      <c r="Q42" s="830"/>
      <c r="R42" s="830"/>
      <c r="S42" s="830"/>
    </row>
    <row r="43" spans="1:19">
      <c r="A43" s="1095" t="s">
        <v>101</v>
      </c>
      <c r="B43" s="837" t="s">
        <v>102</v>
      </c>
      <c r="C43" s="838">
        <f t="shared" si="1"/>
        <v>231667.41999999998</v>
      </c>
      <c r="D43" s="839">
        <f t="shared" si="2"/>
        <v>106337.32</v>
      </c>
      <c r="E43" s="840">
        <f t="shared" si="3"/>
        <v>135941.87</v>
      </c>
      <c r="F43" s="838">
        <f t="shared" si="4"/>
        <v>135687.47</v>
      </c>
      <c r="G43" s="840">
        <f t="shared" si="5"/>
        <v>254.40000000000003</v>
      </c>
      <c r="H43" s="841">
        <v>153817.28</v>
      </c>
      <c r="I43" s="835">
        <v>0</v>
      </c>
      <c r="J43" s="835">
        <v>106337.32</v>
      </c>
      <c r="K43" s="835">
        <v>47719.19</v>
      </c>
      <c r="L43" s="835">
        <v>141.36000000000001</v>
      </c>
      <c r="M43" s="835">
        <v>308015.15000000002</v>
      </c>
      <c r="N43" s="835">
        <v>77850.14</v>
      </c>
      <c r="O43" s="835">
        <v>0</v>
      </c>
      <c r="P43" s="835">
        <v>0</v>
      </c>
      <c r="Q43" s="835">
        <v>87968.28</v>
      </c>
      <c r="R43" s="835">
        <v>113.04</v>
      </c>
      <c r="S43" s="835">
        <v>165931.46</v>
      </c>
    </row>
    <row r="44" spans="1:19">
      <c r="A44" s="1095" t="s">
        <v>103</v>
      </c>
      <c r="B44" s="837" t="s">
        <v>104</v>
      </c>
      <c r="C44" s="838">
        <f t="shared" si="1"/>
        <v>545412.30999999994</v>
      </c>
      <c r="D44" s="839">
        <f t="shared" si="2"/>
        <v>320104.53999999998</v>
      </c>
      <c r="E44" s="840">
        <f t="shared" si="3"/>
        <v>237708.91</v>
      </c>
      <c r="F44" s="838">
        <f t="shared" si="4"/>
        <v>230045.44</v>
      </c>
      <c r="G44" s="840">
        <f t="shared" si="5"/>
        <v>7663.47</v>
      </c>
      <c r="H44" s="841">
        <v>469794.8</v>
      </c>
      <c r="I44" s="835">
        <v>0</v>
      </c>
      <c r="J44" s="835">
        <v>320104.53999999998</v>
      </c>
      <c r="K44" s="835">
        <v>144890.46</v>
      </c>
      <c r="L44" s="835">
        <v>5875.72</v>
      </c>
      <c r="M44" s="835">
        <v>940665.52</v>
      </c>
      <c r="N44" s="835">
        <v>75617.509999999995</v>
      </c>
      <c r="O44" s="835">
        <v>0</v>
      </c>
      <c r="P44" s="835">
        <v>0</v>
      </c>
      <c r="Q44" s="835">
        <v>85154.98</v>
      </c>
      <c r="R44" s="835">
        <v>1787.75</v>
      </c>
      <c r="S44" s="835">
        <v>162560.24</v>
      </c>
    </row>
    <row r="45" spans="1:19">
      <c r="A45" s="1095" t="s">
        <v>105</v>
      </c>
      <c r="B45" s="837" t="s">
        <v>388</v>
      </c>
      <c r="C45" s="838">
        <f t="shared" si="1"/>
        <v>834701.04999999993</v>
      </c>
      <c r="D45" s="839">
        <f t="shared" si="2"/>
        <v>419432.96000000002</v>
      </c>
      <c r="E45" s="840">
        <f t="shared" si="3"/>
        <v>470991.69</v>
      </c>
      <c r="F45" s="838">
        <f t="shared" si="4"/>
        <v>431494.99</v>
      </c>
      <c r="G45" s="840">
        <f t="shared" si="5"/>
        <v>39496.699999999997</v>
      </c>
      <c r="H45" s="841">
        <v>619058.44999999995</v>
      </c>
      <c r="I45" s="835">
        <v>0</v>
      </c>
      <c r="J45" s="835">
        <v>419432.96000000002</v>
      </c>
      <c r="K45" s="835">
        <v>190490.25</v>
      </c>
      <c r="L45" s="835">
        <v>39497.949999999997</v>
      </c>
      <c r="M45" s="835">
        <v>1268479.6100000001</v>
      </c>
      <c r="N45" s="835">
        <v>215642.6</v>
      </c>
      <c r="O45" s="835">
        <v>0</v>
      </c>
      <c r="P45" s="835">
        <v>0</v>
      </c>
      <c r="Q45" s="835">
        <v>241004.74</v>
      </c>
      <c r="R45" s="835">
        <v>-1.25</v>
      </c>
      <c r="S45" s="835">
        <v>456646.09</v>
      </c>
    </row>
    <row r="46" spans="1:19">
      <c r="A46" s="1095" t="s">
        <v>109</v>
      </c>
      <c r="B46" s="837" t="s">
        <v>110</v>
      </c>
      <c r="C46" s="838">
        <f t="shared" si="1"/>
        <v>850069.5</v>
      </c>
      <c r="D46" s="839">
        <f t="shared" si="2"/>
        <v>224529.27</v>
      </c>
      <c r="E46" s="840">
        <f t="shared" si="3"/>
        <v>728763.88000000012</v>
      </c>
      <c r="F46" s="838">
        <f t="shared" si="4"/>
        <v>691715.34000000008</v>
      </c>
      <c r="G46" s="840">
        <f t="shared" si="5"/>
        <v>37048.54</v>
      </c>
      <c r="H46" s="841">
        <v>323909.90000000002</v>
      </c>
      <c r="I46" s="835">
        <v>0</v>
      </c>
      <c r="J46" s="835">
        <v>224529.27</v>
      </c>
      <c r="K46" s="835">
        <v>100598.81</v>
      </c>
      <c r="L46" s="835">
        <v>11922.03</v>
      </c>
      <c r="M46" s="835">
        <v>660960.01</v>
      </c>
      <c r="N46" s="835">
        <v>526159.6</v>
      </c>
      <c r="O46" s="835">
        <v>0</v>
      </c>
      <c r="P46" s="835">
        <v>0</v>
      </c>
      <c r="Q46" s="835">
        <v>591116.53</v>
      </c>
      <c r="R46" s="835">
        <v>25126.51</v>
      </c>
      <c r="S46" s="835">
        <v>1142402.6399999999</v>
      </c>
    </row>
    <row r="47" spans="1:19">
      <c r="A47" s="1095" t="s">
        <v>111</v>
      </c>
      <c r="B47" s="837" t="s">
        <v>112</v>
      </c>
      <c r="C47" s="838">
        <f t="shared" si="1"/>
        <v>2804030.4</v>
      </c>
      <c r="D47" s="839">
        <f t="shared" si="2"/>
        <v>1201077.3700000001</v>
      </c>
      <c r="E47" s="840">
        <f t="shared" si="3"/>
        <v>1747825.77</v>
      </c>
      <c r="F47" s="838">
        <f t="shared" si="4"/>
        <v>1733640.28</v>
      </c>
      <c r="G47" s="840">
        <f t="shared" si="5"/>
        <v>14185.490000000002</v>
      </c>
      <c r="H47" s="841">
        <v>1743893.47</v>
      </c>
      <c r="I47" s="835">
        <v>0</v>
      </c>
      <c r="J47" s="835">
        <v>1201077.3700000001</v>
      </c>
      <c r="K47" s="835">
        <v>540198.30000000005</v>
      </c>
      <c r="L47" s="835">
        <v>32832.620000000003</v>
      </c>
      <c r="M47" s="835">
        <v>3518001.76</v>
      </c>
      <c r="N47" s="835">
        <v>1060136.93</v>
      </c>
      <c r="O47" s="835">
        <v>0</v>
      </c>
      <c r="P47" s="835">
        <v>0</v>
      </c>
      <c r="Q47" s="835">
        <v>1193441.98</v>
      </c>
      <c r="R47" s="835">
        <v>-18647.13</v>
      </c>
      <c r="S47" s="835">
        <v>2234931.7799999998</v>
      </c>
    </row>
    <row r="48" spans="1:19">
      <c r="A48" s="1095" t="s">
        <v>113</v>
      </c>
      <c r="B48" s="837" t="s">
        <v>367</v>
      </c>
      <c r="C48" s="838">
        <f t="shared" si="1"/>
        <v>1119670.32</v>
      </c>
      <c r="D48" s="839">
        <f t="shared" si="2"/>
        <v>759363.92</v>
      </c>
      <c r="E48" s="840">
        <f t="shared" si="3"/>
        <v>350398.3</v>
      </c>
      <c r="F48" s="838">
        <f t="shared" si="4"/>
        <v>344671.44</v>
      </c>
      <c r="G48" s="840">
        <f t="shared" si="5"/>
        <v>5726.86</v>
      </c>
      <c r="H48" s="841">
        <v>1119670.32</v>
      </c>
      <c r="I48" s="835">
        <v>0</v>
      </c>
      <c r="J48" s="835">
        <v>759363.92</v>
      </c>
      <c r="K48" s="835">
        <v>344671.44</v>
      </c>
      <c r="L48" s="835">
        <v>5726.86</v>
      </c>
      <c r="M48" s="835">
        <v>2229432.54</v>
      </c>
      <c r="N48" s="830"/>
      <c r="O48" s="830"/>
      <c r="P48" s="830"/>
      <c r="Q48" s="830"/>
      <c r="R48" s="830"/>
      <c r="S48" s="830"/>
    </row>
    <row r="49" spans="1:19">
      <c r="A49" s="1095" t="s">
        <v>115</v>
      </c>
      <c r="B49" s="837" t="s">
        <v>116</v>
      </c>
      <c r="C49" s="838">
        <f t="shared" si="1"/>
        <v>67024.38</v>
      </c>
      <c r="D49" s="839">
        <f t="shared" si="2"/>
        <v>45449.8</v>
      </c>
      <c r="E49" s="840">
        <f t="shared" si="3"/>
        <v>20627.27</v>
      </c>
      <c r="F49" s="838">
        <f t="shared" si="4"/>
        <v>20630.400000000001</v>
      </c>
      <c r="G49" s="840">
        <f t="shared" si="5"/>
        <v>-3.13</v>
      </c>
      <c r="H49" s="841">
        <v>67024.38</v>
      </c>
      <c r="I49" s="835">
        <v>0</v>
      </c>
      <c r="J49" s="835">
        <v>45449.8</v>
      </c>
      <c r="K49" s="835">
        <v>20630.400000000001</v>
      </c>
      <c r="L49" s="835">
        <v>-3.13</v>
      </c>
      <c r="M49" s="835">
        <v>133101.45000000001</v>
      </c>
      <c r="N49" s="830"/>
      <c r="O49" s="830"/>
      <c r="P49" s="830"/>
      <c r="Q49" s="830"/>
      <c r="R49" s="830"/>
      <c r="S49" s="830"/>
    </row>
    <row r="50" spans="1:19">
      <c r="A50" s="1095" t="s">
        <v>119</v>
      </c>
      <c r="B50" s="837" t="s">
        <v>120</v>
      </c>
      <c r="C50" s="838">
        <f t="shared" si="1"/>
        <v>401228.75</v>
      </c>
      <c r="D50" s="839">
        <f t="shared" si="2"/>
        <v>235782.97</v>
      </c>
      <c r="E50" s="840">
        <f t="shared" si="3"/>
        <v>175984.91</v>
      </c>
      <c r="F50" s="838">
        <f t="shared" si="4"/>
        <v>167919.22</v>
      </c>
      <c r="G50" s="840">
        <f t="shared" si="5"/>
        <v>8065.69</v>
      </c>
      <c r="H50" s="841">
        <v>346734.49</v>
      </c>
      <c r="I50" s="835">
        <v>0</v>
      </c>
      <c r="J50" s="835">
        <v>235782.97</v>
      </c>
      <c r="K50" s="835">
        <v>106850.74</v>
      </c>
      <c r="L50" s="835">
        <v>8068.37</v>
      </c>
      <c r="M50" s="835">
        <v>697436.57</v>
      </c>
      <c r="N50" s="835">
        <v>54494.26</v>
      </c>
      <c r="O50" s="835">
        <v>0</v>
      </c>
      <c r="P50" s="835">
        <v>0</v>
      </c>
      <c r="Q50" s="835">
        <v>61068.480000000003</v>
      </c>
      <c r="R50" s="835">
        <v>-2.68</v>
      </c>
      <c r="S50" s="835">
        <v>115560.06</v>
      </c>
    </row>
    <row r="51" spans="1:19">
      <c r="A51" s="1095" t="s">
        <v>121</v>
      </c>
      <c r="B51" s="837" t="s">
        <v>122</v>
      </c>
      <c r="C51" s="838">
        <f t="shared" si="1"/>
        <v>677940.74</v>
      </c>
      <c r="D51" s="839">
        <f t="shared" si="2"/>
        <v>324505.09999999998</v>
      </c>
      <c r="E51" s="840">
        <f t="shared" si="3"/>
        <v>376121.45999999996</v>
      </c>
      <c r="F51" s="838">
        <f t="shared" si="4"/>
        <v>378474.35</v>
      </c>
      <c r="G51" s="840">
        <f t="shared" si="5"/>
        <v>-2352.89</v>
      </c>
      <c r="H51" s="841">
        <v>472216.6</v>
      </c>
      <c r="I51" s="835">
        <v>0</v>
      </c>
      <c r="J51" s="835">
        <v>324505.09999999998</v>
      </c>
      <c r="K51" s="835">
        <v>146142.38</v>
      </c>
      <c r="L51" s="835">
        <v>-2348.23</v>
      </c>
      <c r="M51" s="835">
        <v>940515.85</v>
      </c>
      <c r="N51" s="835">
        <v>205724.14</v>
      </c>
      <c r="O51" s="835">
        <v>0</v>
      </c>
      <c r="P51" s="835">
        <v>0</v>
      </c>
      <c r="Q51" s="835">
        <v>232331.97</v>
      </c>
      <c r="R51" s="835">
        <v>-4.66</v>
      </c>
      <c r="S51" s="835">
        <v>438051.45</v>
      </c>
    </row>
    <row r="52" spans="1:19">
      <c r="A52" s="1095" t="s">
        <v>123</v>
      </c>
      <c r="B52" s="837" t="s">
        <v>284</v>
      </c>
      <c r="C52" s="838">
        <f t="shared" si="1"/>
        <v>232721.2</v>
      </c>
      <c r="D52" s="839">
        <f t="shared" si="2"/>
        <v>121760.59</v>
      </c>
      <c r="E52" s="840">
        <f t="shared" si="3"/>
        <v>117952.67000000001</v>
      </c>
      <c r="F52" s="838">
        <f t="shared" si="4"/>
        <v>116220.48000000001</v>
      </c>
      <c r="G52" s="840">
        <f t="shared" si="5"/>
        <v>1732.19</v>
      </c>
      <c r="H52" s="841">
        <v>178518.31</v>
      </c>
      <c r="I52" s="835">
        <v>0</v>
      </c>
      <c r="J52" s="835">
        <v>121760.59</v>
      </c>
      <c r="K52" s="835">
        <v>55079.75</v>
      </c>
      <c r="L52" s="835">
        <v>1436.05</v>
      </c>
      <c r="M52" s="835">
        <v>356794.7</v>
      </c>
      <c r="N52" s="835">
        <v>54202.89</v>
      </c>
      <c r="O52" s="835">
        <v>0</v>
      </c>
      <c r="P52" s="835">
        <v>0</v>
      </c>
      <c r="Q52" s="835">
        <v>61140.73</v>
      </c>
      <c r="R52" s="835">
        <v>296.14</v>
      </c>
      <c r="S52" s="835">
        <v>115639.76</v>
      </c>
    </row>
    <row r="53" spans="1:19">
      <c r="A53" s="1095" t="s">
        <v>125</v>
      </c>
      <c r="B53" s="837" t="s">
        <v>126</v>
      </c>
      <c r="C53" s="838">
        <f t="shared" si="1"/>
        <v>297606.52999999997</v>
      </c>
      <c r="D53" s="839">
        <f t="shared" si="2"/>
        <v>128500.15</v>
      </c>
      <c r="E53" s="840">
        <f t="shared" si="3"/>
        <v>208162.53999999998</v>
      </c>
      <c r="F53" s="838">
        <f t="shared" si="4"/>
        <v>180460.15</v>
      </c>
      <c r="G53" s="840">
        <f t="shared" si="5"/>
        <v>27702.39</v>
      </c>
      <c r="H53" s="841">
        <v>189180.77</v>
      </c>
      <c r="I53" s="835">
        <v>0</v>
      </c>
      <c r="J53" s="835">
        <v>128500.15</v>
      </c>
      <c r="K53" s="835">
        <v>58271.4</v>
      </c>
      <c r="L53" s="835">
        <v>27704.5</v>
      </c>
      <c r="M53" s="835">
        <v>403656.82</v>
      </c>
      <c r="N53" s="835">
        <v>108425.76</v>
      </c>
      <c r="O53" s="835">
        <v>0</v>
      </c>
      <c r="P53" s="835">
        <v>0</v>
      </c>
      <c r="Q53" s="835">
        <v>122188.75</v>
      </c>
      <c r="R53" s="835">
        <v>-2.11</v>
      </c>
      <c r="S53" s="835">
        <v>230612.4</v>
      </c>
    </row>
    <row r="54" spans="1:19">
      <c r="A54" s="1095" t="s">
        <v>127</v>
      </c>
      <c r="B54" s="837" t="s">
        <v>128</v>
      </c>
      <c r="C54" s="838">
        <f t="shared" si="1"/>
        <v>188117.83000000002</v>
      </c>
      <c r="D54" s="839">
        <f t="shared" si="2"/>
        <v>95086.42</v>
      </c>
      <c r="E54" s="840">
        <f t="shared" si="3"/>
        <v>100135.72000000002</v>
      </c>
      <c r="F54" s="838">
        <f t="shared" si="4"/>
        <v>98163.73000000001</v>
      </c>
      <c r="G54" s="840">
        <f t="shared" si="5"/>
        <v>1971.99</v>
      </c>
      <c r="H54" s="841">
        <v>138848.98000000001</v>
      </c>
      <c r="I54" s="835">
        <v>0</v>
      </c>
      <c r="J54" s="835">
        <v>95086.42</v>
      </c>
      <c r="K54" s="835">
        <v>42909.08</v>
      </c>
      <c r="L54" s="835">
        <v>1976.1</v>
      </c>
      <c r="M54" s="835">
        <v>278820.58</v>
      </c>
      <c r="N54" s="835">
        <v>49268.85</v>
      </c>
      <c r="O54" s="835">
        <v>0</v>
      </c>
      <c r="P54" s="835">
        <v>0</v>
      </c>
      <c r="Q54" s="835">
        <v>55254.65</v>
      </c>
      <c r="R54" s="835">
        <v>-4.1100000000000003</v>
      </c>
      <c r="S54" s="835">
        <v>104519.39</v>
      </c>
    </row>
    <row r="55" spans="1:19">
      <c r="A55" s="1095" t="s">
        <v>129</v>
      </c>
      <c r="B55" s="837" t="s">
        <v>130</v>
      </c>
      <c r="C55" s="838">
        <f t="shared" si="1"/>
        <v>302529.15999999997</v>
      </c>
      <c r="D55" s="839">
        <f t="shared" si="2"/>
        <v>199276.55</v>
      </c>
      <c r="E55" s="840">
        <f t="shared" si="3"/>
        <v>123860.56000000001</v>
      </c>
      <c r="F55" s="838">
        <f t="shared" si="4"/>
        <v>100382.23000000001</v>
      </c>
      <c r="G55" s="840">
        <f t="shared" si="5"/>
        <v>23478.33</v>
      </c>
      <c r="H55" s="841">
        <v>293701.65999999997</v>
      </c>
      <c r="I55" s="835">
        <v>0</v>
      </c>
      <c r="J55" s="835">
        <v>199276.55</v>
      </c>
      <c r="K55" s="835">
        <v>90426.240000000005</v>
      </c>
      <c r="L55" s="835">
        <v>23476.400000000001</v>
      </c>
      <c r="M55" s="835">
        <v>606880.85</v>
      </c>
      <c r="N55" s="835">
        <v>8827.5</v>
      </c>
      <c r="O55" s="835">
        <v>0</v>
      </c>
      <c r="P55" s="835">
        <v>0</v>
      </c>
      <c r="Q55" s="835">
        <v>9955.99</v>
      </c>
      <c r="R55" s="835">
        <v>1.93</v>
      </c>
      <c r="S55" s="835">
        <v>18785.419999999998</v>
      </c>
    </row>
    <row r="56" spans="1:19">
      <c r="A56" s="1095" t="s">
        <v>131</v>
      </c>
      <c r="B56" s="837" t="s">
        <v>132</v>
      </c>
      <c r="C56" s="838">
        <f t="shared" si="1"/>
        <v>705658.21</v>
      </c>
      <c r="D56" s="839">
        <f t="shared" si="2"/>
        <v>445418.9</v>
      </c>
      <c r="E56" s="840">
        <f t="shared" si="3"/>
        <v>261066.28999999998</v>
      </c>
      <c r="F56" s="838">
        <f t="shared" si="4"/>
        <v>257181.71</v>
      </c>
      <c r="G56" s="840">
        <f t="shared" si="5"/>
        <v>3884.58</v>
      </c>
      <c r="H56" s="841">
        <v>656436.18999999994</v>
      </c>
      <c r="I56" s="835">
        <v>0</v>
      </c>
      <c r="J56" s="835">
        <v>445418.9</v>
      </c>
      <c r="K56" s="835">
        <v>202112.9</v>
      </c>
      <c r="L56" s="835">
        <v>3887.62</v>
      </c>
      <c r="M56" s="835">
        <v>1307855.6100000001</v>
      </c>
      <c r="N56" s="835">
        <v>49222.02</v>
      </c>
      <c r="O56" s="835">
        <v>0</v>
      </c>
      <c r="P56" s="835">
        <v>0</v>
      </c>
      <c r="Q56" s="835">
        <v>55068.81</v>
      </c>
      <c r="R56" s="835">
        <v>-3.04</v>
      </c>
      <c r="S56" s="835">
        <v>104287.79</v>
      </c>
    </row>
    <row r="57" spans="1:19">
      <c r="A57" s="1095" t="s">
        <v>133</v>
      </c>
      <c r="B57" s="837" t="s">
        <v>134</v>
      </c>
      <c r="C57" s="838">
        <f t="shared" si="1"/>
        <v>979870.58</v>
      </c>
      <c r="D57" s="839">
        <f t="shared" si="2"/>
        <v>429606.41</v>
      </c>
      <c r="E57" s="840">
        <f t="shared" si="3"/>
        <v>593065.15</v>
      </c>
      <c r="F57" s="838">
        <f t="shared" si="4"/>
        <v>593078.03</v>
      </c>
      <c r="G57" s="840">
        <f t="shared" si="5"/>
        <v>-12.879999999999999</v>
      </c>
      <c r="H57" s="841">
        <v>623821.18999999994</v>
      </c>
      <c r="I57" s="835">
        <v>0</v>
      </c>
      <c r="J57" s="835">
        <v>429606.41</v>
      </c>
      <c r="K57" s="835">
        <v>193230.21</v>
      </c>
      <c r="L57" s="835">
        <v>-6.81</v>
      </c>
      <c r="M57" s="835">
        <v>1246651</v>
      </c>
      <c r="N57" s="835">
        <v>356049.39</v>
      </c>
      <c r="O57" s="835">
        <v>0</v>
      </c>
      <c r="P57" s="835">
        <v>0</v>
      </c>
      <c r="Q57" s="835">
        <v>399847.82</v>
      </c>
      <c r="R57" s="835">
        <v>-6.07</v>
      </c>
      <c r="S57" s="835">
        <v>755891.14</v>
      </c>
    </row>
    <row r="58" spans="1:19">
      <c r="A58" s="1095" t="s">
        <v>135</v>
      </c>
      <c r="B58" s="837" t="s">
        <v>136</v>
      </c>
      <c r="C58" s="838">
        <f t="shared" si="1"/>
        <v>535955.65</v>
      </c>
      <c r="D58" s="839">
        <f t="shared" si="2"/>
        <v>236143.78</v>
      </c>
      <c r="E58" s="840">
        <f t="shared" si="3"/>
        <v>330378.15000000002</v>
      </c>
      <c r="F58" s="838">
        <f t="shared" si="4"/>
        <v>324983.17000000004</v>
      </c>
      <c r="G58" s="840">
        <f t="shared" si="5"/>
        <v>5394.98</v>
      </c>
      <c r="H58" s="841">
        <v>342261.83</v>
      </c>
      <c r="I58" s="835">
        <v>0</v>
      </c>
      <c r="J58" s="835">
        <v>236143.78</v>
      </c>
      <c r="K58" s="835">
        <v>106095.91</v>
      </c>
      <c r="L58" s="835">
        <v>-6.52</v>
      </c>
      <c r="M58" s="835">
        <v>684495</v>
      </c>
      <c r="N58" s="835">
        <v>193693.82</v>
      </c>
      <c r="O58" s="835">
        <v>0</v>
      </c>
      <c r="P58" s="835">
        <v>0</v>
      </c>
      <c r="Q58" s="835">
        <v>218887.26</v>
      </c>
      <c r="R58" s="835">
        <v>5401.5</v>
      </c>
      <c r="S58" s="835">
        <v>417982.58</v>
      </c>
    </row>
    <row r="59" spans="1:19">
      <c r="A59" s="1095" t="s">
        <v>137</v>
      </c>
      <c r="B59" s="837" t="s">
        <v>138</v>
      </c>
      <c r="C59" s="838">
        <f t="shared" si="1"/>
        <v>208983.32</v>
      </c>
      <c r="D59" s="839">
        <f t="shared" si="2"/>
        <v>139749.07999999999</v>
      </c>
      <c r="E59" s="840">
        <f t="shared" si="3"/>
        <v>70047.989999999991</v>
      </c>
      <c r="F59" s="838">
        <f t="shared" si="4"/>
        <v>67308.479999999996</v>
      </c>
      <c r="G59" s="840">
        <f t="shared" si="5"/>
        <v>2739.51</v>
      </c>
      <c r="H59" s="841">
        <v>205443.76</v>
      </c>
      <c r="I59" s="835">
        <v>0</v>
      </c>
      <c r="J59" s="835">
        <v>139749.07999999999</v>
      </c>
      <c r="K59" s="835">
        <v>63316.42</v>
      </c>
      <c r="L59" s="835">
        <v>2739.55</v>
      </c>
      <c r="M59" s="835">
        <v>411248.81</v>
      </c>
      <c r="N59" s="835">
        <v>3539.56</v>
      </c>
      <c r="O59" s="835">
        <v>0</v>
      </c>
      <c r="P59" s="835">
        <v>0</v>
      </c>
      <c r="Q59" s="835">
        <v>3992.06</v>
      </c>
      <c r="R59" s="835">
        <v>-0.04</v>
      </c>
      <c r="S59" s="835">
        <v>7531.58</v>
      </c>
    </row>
    <row r="60" spans="1:19">
      <c r="A60" s="1095" t="s">
        <v>141</v>
      </c>
      <c r="B60" s="837" t="s">
        <v>142</v>
      </c>
      <c r="C60" s="838">
        <f t="shared" si="1"/>
        <v>225059.77000000002</v>
      </c>
      <c r="D60" s="839">
        <f t="shared" si="2"/>
        <v>97531.88</v>
      </c>
      <c r="E60" s="840">
        <f t="shared" si="3"/>
        <v>137278.10999999999</v>
      </c>
      <c r="F60" s="838">
        <f t="shared" si="4"/>
        <v>135255.99</v>
      </c>
      <c r="G60" s="840">
        <f t="shared" si="5"/>
        <v>2022.1200000000001</v>
      </c>
      <c r="H60" s="841">
        <v>143618.91</v>
      </c>
      <c r="I60" s="835">
        <v>0</v>
      </c>
      <c r="J60" s="835">
        <v>97531.88</v>
      </c>
      <c r="K60" s="835">
        <v>44232.5</v>
      </c>
      <c r="L60" s="835">
        <v>2025.4</v>
      </c>
      <c r="M60" s="835">
        <v>287408.69</v>
      </c>
      <c r="N60" s="835">
        <v>81440.86</v>
      </c>
      <c r="O60" s="835">
        <v>0</v>
      </c>
      <c r="P60" s="835">
        <v>0</v>
      </c>
      <c r="Q60" s="835">
        <v>91023.49</v>
      </c>
      <c r="R60" s="835">
        <v>-3.28</v>
      </c>
      <c r="S60" s="835">
        <v>172461.07</v>
      </c>
    </row>
    <row r="61" spans="1:19">
      <c r="A61" s="1095" t="s">
        <v>147</v>
      </c>
      <c r="B61" s="837" t="s">
        <v>148</v>
      </c>
      <c r="C61" s="838">
        <f t="shared" si="1"/>
        <v>200656.90000000002</v>
      </c>
      <c r="D61" s="839">
        <f t="shared" si="2"/>
        <v>85172.59</v>
      </c>
      <c r="E61" s="840">
        <f t="shared" si="3"/>
        <v>127415.19</v>
      </c>
      <c r="F61" s="838">
        <f t="shared" si="4"/>
        <v>122561.45</v>
      </c>
      <c r="G61" s="840">
        <f t="shared" si="5"/>
        <v>4853.74</v>
      </c>
      <c r="H61" s="841">
        <v>125716.55</v>
      </c>
      <c r="I61" s="835">
        <v>0</v>
      </c>
      <c r="J61" s="835">
        <v>85172.59</v>
      </c>
      <c r="K61" s="835">
        <v>38681.94</v>
      </c>
      <c r="L61" s="835">
        <v>4857.17</v>
      </c>
      <c r="M61" s="835">
        <v>254428.25</v>
      </c>
      <c r="N61" s="835">
        <v>74940.350000000006</v>
      </c>
      <c r="O61" s="835">
        <v>0</v>
      </c>
      <c r="P61" s="835">
        <v>0</v>
      </c>
      <c r="Q61" s="835">
        <v>83879.509999999995</v>
      </c>
      <c r="R61" s="835">
        <v>-3.43</v>
      </c>
      <c r="S61" s="835">
        <v>158816.43</v>
      </c>
    </row>
    <row r="62" spans="1:19">
      <c r="A62" s="1095" t="s">
        <v>149</v>
      </c>
      <c r="B62" s="837" t="s">
        <v>150</v>
      </c>
      <c r="C62" s="838">
        <f t="shared" si="1"/>
        <v>500321.14</v>
      </c>
      <c r="D62" s="839">
        <f t="shared" si="2"/>
        <v>266889.40000000002</v>
      </c>
      <c r="E62" s="840">
        <f t="shared" si="3"/>
        <v>303108.68</v>
      </c>
      <c r="F62" s="838">
        <f t="shared" si="4"/>
        <v>245575.31</v>
      </c>
      <c r="G62" s="840">
        <f t="shared" si="5"/>
        <v>57533.37</v>
      </c>
      <c r="H62" s="841">
        <v>389488.44</v>
      </c>
      <c r="I62" s="835">
        <v>0</v>
      </c>
      <c r="J62" s="835">
        <v>266889.40000000002</v>
      </c>
      <c r="K62" s="835">
        <v>120398.46</v>
      </c>
      <c r="L62" s="835">
        <v>57535.08</v>
      </c>
      <c r="M62" s="835">
        <v>834311.38</v>
      </c>
      <c r="N62" s="835">
        <v>110832.7</v>
      </c>
      <c r="O62" s="835">
        <v>0</v>
      </c>
      <c r="P62" s="835">
        <v>0</v>
      </c>
      <c r="Q62" s="835">
        <v>125176.85</v>
      </c>
      <c r="R62" s="835">
        <v>-1.71</v>
      </c>
      <c r="S62" s="835">
        <v>236007.84</v>
      </c>
    </row>
    <row r="63" spans="1:19">
      <c r="A63" s="1095" t="s">
        <v>151</v>
      </c>
      <c r="B63" s="837" t="s">
        <v>152</v>
      </c>
      <c r="C63" s="838">
        <f t="shared" si="1"/>
        <v>139702.61000000002</v>
      </c>
      <c r="D63" s="839">
        <f t="shared" si="2"/>
        <v>91202.72</v>
      </c>
      <c r="E63" s="840">
        <f t="shared" si="3"/>
        <v>48363.11</v>
      </c>
      <c r="F63" s="838">
        <f t="shared" si="4"/>
        <v>47637.03</v>
      </c>
      <c r="G63" s="840">
        <f t="shared" si="5"/>
        <v>726.08</v>
      </c>
      <c r="H63" s="841">
        <v>134107.64000000001</v>
      </c>
      <c r="I63" s="835">
        <v>0</v>
      </c>
      <c r="J63" s="835">
        <v>91202.72</v>
      </c>
      <c r="K63" s="835">
        <v>41326.800000000003</v>
      </c>
      <c r="L63" s="835">
        <v>726.47</v>
      </c>
      <c r="M63" s="835">
        <v>267363.63</v>
      </c>
      <c r="N63" s="835">
        <v>5594.97</v>
      </c>
      <c r="O63" s="835">
        <v>0</v>
      </c>
      <c r="P63" s="835">
        <v>0</v>
      </c>
      <c r="Q63" s="835">
        <v>6310.23</v>
      </c>
      <c r="R63" s="835">
        <v>-0.39</v>
      </c>
      <c r="S63" s="835">
        <v>11904.81</v>
      </c>
    </row>
    <row r="64" spans="1:19">
      <c r="A64" s="1095" t="s">
        <v>153</v>
      </c>
      <c r="B64" s="837" t="s">
        <v>154</v>
      </c>
      <c r="C64" s="838">
        <f t="shared" si="1"/>
        <v>938776.54</v>
      </c>
      <c r="D64" s="839">
        <f t="shared" si="2"/>
        <v>487284.33</v>
      </c>
      <c r="E64" s="840">
        <f t="shared" si="3"/>
        <v>478218.94999999995</v>
      </c>
      <c r="F64" s="838">
        <f t="shared" si="4"/>
        <v>477372.72</v>
      </c>
      <c r="G64" s="840">
        <f t="shared" si="5"/>
        <v>846.23</v>
      </c>
      <c r="H64" s="841">
        <v>709578</v>
      </c>
      <c r="I64" s="835">
        <v>0</v>
      </c>
      <c r="J64" s="835">
        <v>487284.33</v>
      </c>
      <c r="K64" s="835">
        <v>219540.51</v>
      </c>
      <c r="L64" s="835">
        <v>552</v>
      </c>
      <c r="M64" s="835">
        <v>1416954.84</v>
      </c>
      <c r="N64" s="835">
        <v>229198.54</v>
      </c>
      <c r="O64" s="835">
        <v>0</v>
      </c>
      <c r="P64" s="835">
        <v>0</v>
      </c>
      <c r="Q64" s="835">
        <v>257832.21</v>
      </c>
      <c r="R64" s="835">
        <v>294.23</v>
      </c>
      <c r="S64" s="835">
        <v>487324.98</v>
      </c>
    </row>
    <row r="65" spans="1:19">
      <c r="A65" s="1095" t="s">
        <v>155</v>
      </c>
      <c r="B65" s="837" t="s">
        <v>156</v>
      </c>
      <c r="C65" s="838">
        <f t="shared" si="1"/>
        <v>247367.05</v>
      </c>
      <c r="D65" s="839">
        <f t="shared" si="2"/>
        <v>133513.25</v>
      </c>
      <c r="E65" s="840">
        <f t="shared" si="3"/>
        <v>154969.04</v>
      </c>
      <c r="F65" s="838">
        <f t="shared" si="4"/>
        <v>118875.22</v>
      </c>
      <c r="G65" s="840">
        <f t="shared" si="5"/>
        <v>36093.82</v>
      </c>
      <c r="H65" s="841">
        <v>195432.61</v>
      </c>
      <c r="I65" s="835">
        <v>0</v>
      </c>
      <c r="J65" s="835">
        <v>133513.25</v>
      </c>
      <c r="K65" s="835">
        <v>60336.68</v>
      </c>
      <c r="L65" s="835">
        <v>36096.019999999997</v>
      </c>
      <c r="M65" s="835">
        <v>425378.56</v>
      </c>
      <c r="N65" s="835">
        <v>51934.44</v>
      </c>
      <c r="O65" s="835">
        <v>0</v>
      </c>
      <c r="P65" s="835">
        <v>0</v>
      </c>
      <c r="Q65" s="835">
        <v>58538.54</v>
      </c>
      <c r="R65" s="835">
        <v>-2.2000000000000002</v>
      </c>
      <c r="S65" s="835">
        <v>110470.78</v>
      </c>
    </row>
    <row r="66" spans="1:19">
      <c r="A66" s="1095" t="s">
        <v>157</v>
      </c>
      <c r="B66" s="837" t="s">
        <v>158</v>
      </c>
      <c r="C66" s="838">
        <f t="shared" si="1"/>
        <v>253980.83</v>
      </c>
      <c r="D66" s="839">
        <f t="shared" si="2"/>
        <v>104109.31</v>
      </c>
      <c r="E66" s="840">
        <f t="shared" si="3"/>
        <v>167208.01999999999</v>
      </c>
      <c r="F66" s="838">
        <f t="shared" si="4"/>
        <v>164006.59999999998</v>
      </c>
      <c r="G66" s="840">
        <f t="shared" si="5"/>
        <v>3201.42</v>
      </c>
      <c r="H66" s="841">
        <v>150165.24</v>
      </c>
      <c r="I66" s="835">
        <v>0</v>
      </c>
      <c r="J66" s="835">
        <v>104109.31</v>
      </c>
      <c r="K66" s="835">
        <v>46640.45</v>
      </c>
      <c r="L66" s="835">
        <v>3203.66</v>
      </c>
      <c r="M66" s="835">
        <v>304118.65999999997</v>
      </c>
      <c r="N66" s="835">
        <v>103815.59</v>
      </c>
      <c r="O66" s="835">
        <v>0</v>
      </c>
      <c r="P66" s="835">
        <v>0</v>
      </c>
      <c r="Q66" s="835">
        <v>117366.15</v>
      </c>
      <c r="R66" s="835">
        <v>-2.2400000000000002</v>
      </c>
      <c r="S66" s="835">
        <v>221179.5</v>
      </c>
    </row>
    <row r="67" spans="1:19">
      <c r="A67" s="1095" t="s">
        <v>163</v>
      </c>
      <c r="B67" s="837" t="s">
        <v>164</v>
      </c>
      <c r="C67" s="838">
        <f t="shared" si="1"/>
        <v>496474.92</v>
      </c>
      <c r="D67" s="839">
        <f t="shared" si="2"/>
        <v>331434.92</v>
      </c>
      <c r="E67" s="840">
        <f t="shared" si="3"/>
        <v>155906.19</v>
      </c>
      <c r="F67" s="838">
        <f t="shared" si="4"/>
        <v>155107.45000000001</v>
      </c>
      <c r="G67" s="840">
        <f t="shared" si="5"/>
        <v>798.74</v>
      </c>
      <c r="H67" s="841">
        <v>491746.67</v>
      </c>
      <c r="I67" s="835">
        <v>0</v>
      </c>
      <c r="J67" s="835">
        <v>331434.92</v>
      </c>
      <c r="K67" s="835">
        <v>150996.48000000001</v>
      </c>
      <c r="L67" s="835">
        <v>799.49</v>
      </c>
      <c r="M67" s="835">
        <v>974977.56</v>
      </c>
      <c r="N67" s="835">
        <v>4728.25</v>
      </c>
      <c r="O67" s="835">
        <v>0</v>
      </c>
      <c r="P67" s="835">
        <v>0</v>
      </c>
      <c r="Q67" s="835">
        <v>4110.97</v>
      </c>
      <c r="R67" s="835">
        <v>-0.75</v>
      </c>
      <c r="S67" s="835">
        <v>8838.4699999999993</v>
      </c>
    </row>
    <row r="68" spans="1:19">
      <c r="A68" s="1095" t="s">
        <v>165</v>
      </c>
      <c r="B68" s="837" t="s">
        <v>166</v>
      </c>
      <c r="C68" s="838">
        <f t="shared" si="1"/>
        <v>268167.5</v>
      </c>
      <c r="D68" s="839">
        <f t="shared" si="2"/>
        <v>140067.31</v>
      </c>
      <c r="E68" s="840">
        <f t="shared" si="3"/>
        <v>143332.28</v>
      </c>
      <c r="F68" s="838">
        <f t="shared" si="4"/>
        <v>135645.9</v>
      </c>
      <c r="G68" s="840">
        <f t="shared" si="5"/>
        <v>7686.38</v>
      </c>
      <c r="H68" s="841">
        <v>203967.95</v>
      </c>
      <c r="I68" s="835">
        <v>0</v>
      </c>
      <c r="J68" s="835">
        <v>140067.31</v>
      </c>
      <c r="K68" s="835">
        <v>63106</v>
      </c>
      <c r="L68" s="835">
        <v>758.36</v>
      </c>
      <c r="M68" s="835">
        <v>407899.62</v>
      </c>
      <c r="N68" s="835">
        <v>64199.55</v>
      </c>
      <c r="O68" s="835">
        <v>0</v>
      </c>
      <c r="P68" s="835">
        <v>0</v>
      </c>
      <c r="Q68" s="835">
        <v>72539.899999999994</v>
      </c>
      <c r="R68" s="835">
        <v>6928.02</v>
      </c>
      <c r="S68" s="835">
        <v>143667.47</v>
      </c>
    </row>
    <row r="69" spans="1:19">
      <c r="A69" s="1095" t="s">
        <v>169</v>
      </c>
      <c r="B69" s="837" t="s">
        <v>170</v>
      </c>
      <c r="C69" s="838">
        <f t="shared" ref="C69:C124" si="6">+H69+I69+N69+O69</f>
        <v>325094.27999999997</v>
      </c>
      <c r="D69" s="839">
        <f t="shared" si="2"/>
        <v>168982.66</v>
      </c>
      <c r="E69" s="840">
        <f t="shared" si="3"/>
        <v>161926.6</v>
      </c>
      <c r="F69" s="838">
        <f t="shared" si="4"/>
        <v>165375.07</v>
      </c>
      <c r="G69" s="840">
        <f t="shared" si="4"/>
        <v>-3448.47</v>
      </c>
      <c r="H69" s="841">
        <v>245952.58</v>
      </c>
      <c r="I69" s="835">
        <v>0</v>
      </c>
      <c r="J69" s="835">
        <v>168982.66</v>
      </c>
      <c r="K69" s="835">
        <v>76110.75</v>
      </c>
      <c r="L69" s="835">
        <v>-4196.8999999999996</v>
      </c>
      <c r="M69" s="835">
        <v>486849.09</v>
      </c>
      <c r="N69" s="835">
        <v>79141.7</v>
      </c>
      <c r="O69" s="835">
        <v>0</v>
      </c>
      <c r="P69" s="835">
        <v>0</v>
      </c>
      <c r="Q69" s="835">
        <v>89264.320000000007</v>
      </c>
      <c r="R69" s="835">
        <v>748.43</v>
      </c>
      <c r="S69" s="835">
        <v>169154.45</v>
      </c>
    </row>
    <row r="70" spans="1:19">
      <c r="A70" s="1095" t="s">
        <v>171</v>
      </c>
      <c r="B70" s="837" t="s">
        <v>172</v>
      </c>
      <c r="C70" s="838">
        <f t="shared" si="6"/>
        <v>376676.55</v>
      </c>
      <c r="D70" s="839">
        <f t="shared" ref="D70:D124" si="7">J70+P70</f>
        <v>194918.32</v>
      </c>
      <c r="E70" s="840">
        <f t="shared" ref="E70:E124" si="8">+F70+G70</f>
        <v>314912.07</v>
      </c>
      <c r="F70" s="838">
        <f t="shared" ref="F70:G124" si="9">+K70+Q70</f>
        <v>187422.05</v>
      </c>
      <c r="G70" s="840">
        <f t="shared" si="9"/>
        <v>127490.02</v>
      </c>
      <c r="H70" s="841">
        <v>288222.53999999998</v>
      </c>
      <c r="I70" s="835">
        <v>0</v>
      </c>
      <c r="J70" s="835">
        <v>194918.32</v>
      </c>
      <c r="K70" s="835">
        <v>88622.04</v>
      </c>
      <c r="L70" s="835">
        <v>105130.72</v>
      </c>
      <c r="M70" s="835">
        <v>676893.62</v>
      </c>
      <c r="N70" s="835">
        <v>88454.01</v>
      </c>
      <c r="O70" s="835">
        <v>0</v>
      </c>
      <c r="P70" s="835">
        <v>0</v>
      </c>
      <c r="Q70" s="835">
        <v>98800.01</v>
      </c>
      <c r="R70" s="835">
        <v>22359.3</v>
      </c>
      <c r="S70" s="835">
        <v>209613.32</v>
      </c>
    </row>
    <row r="71" spans="1:19">
      <c r="A71" s="1095" t="s">
        <v>173</v>
      </c>
      <c r="B71" s="837" t="s">
        <v>174</v>
      </c>
      <c r="C71" s="838">
        <f t="shared" si="6"/>
        <v>391539.4</v>
      </c>
      <c r="D71" s="839">
        <f t="shared" si="7"/>
        <v>204146</v>
      </c>
      <c r="E71" s="840">
        <f t="shared" si="8"/>
        <v>197885.18999999997</v>
      </c>
      <c r="F71" s="838">
        <f t="shared" si="9"/>
        <v>197173.91999999998</v>
      </c>
      <c r="G71" s="840">
        <f t="shared" si="9"/>
        <v>711.27</v>
      </c>
      <c r="H71" s="841">
        <v>298255.62</v>
      </c>
      <c r="I71" s="835">
        <v>0</v>
      </c>
      <c r="J71" s="835">
        <v>204146</v>
      </c>
      <c r="K71" s="835">
        <v>92155.19</v>
      </c>
      <c r="L71" s="835">
        <v>714.71</v>
      </c>
      <c r="M71" s="835">
        <v>595271.52</v>
      </c>
      <c r="N71" s="835">
        <v>93283.78</v>
      </c>
      <c r="O71" s="835">
        <v>0</v>
      </c>
      <c r="P71" s="835">
        <v>0</v>
      </c>
      <c r="Q71" s="835">
        <v>105018.73</v>
      </c>
      <c r="R71" s="835">
        <v>-3.44</v>
      </c>
      <c r="S71" s="835">
        <v>198299.07</v>
      </c>
    </row>
    <row r="72" spans="1:19">
      <c r="A72" s="1095" t="s">
        <v>175</v>
      </c>
      <c r="B72" s="837" t="s">
        <v>176</v>
      </c>
      <c r="C72" s="838">
        <f t="shared" si="6"/>
        <v>270704.32999999996</v>
      </c>
      <c r="D72" s="839">
        <f t="shared" si="7"/>
        <v>161067.87</v>
      </c>
      <c r="E72" s="840">
        <f t="shared" si="8"/>
        <v>112991.13</v>
      </c>
      <c r="F72" s="838">
        <f t="shared" si="9"/>
        <v>111622.31</v>
      </c>
      <c r="G72" s="840">
        <f t="shared" si="9"/>
        <v>1368.8200000000002</v>
      </c>
      <c r="H72" s="841">
        <v>236371.8</v>
      </c>
      <c r="I72" s="835">
        <v>0</v>
      </c>
      <c r="J72" s="835">
        <v>161067.87</v>
      </c>
      <c r="K72" s="835">
        <v>72900.75</v>
      </c>
      <c r="L72" s="835">
        <v>1368.91</v>
      </c>
      <c r="M72" s="835">
        <v>471709.33</v>
      </c>
      <c r="N72" s="835">
        <v>34332.53</v>
      </c>
      <c r="O72" s="835">
        <v>0</v>
      </c>
      <c r="P72" s="835">
        <v>0</v>
      </c>
      <c r="Q72" s="835">
        <v>38721.56</v>
      </c>
      <c r="R72" s="835">
        <v>-0.09</v>
      </c>
      <c r="S72" s="835">
        <v>73054</v>
      </c>
    </row>
    <row r="73" spans="1:19">
      <c r="A73" s="1095" t="s">
        <v>179</v>
      </c>
      <c r="B73" s="837" t="s">
        <v>180</v>
      </c>
      <c r="C73" s="838">
        <f t="shared" si="6"/>
        <v>893980.65</v>
      </c>
      <c r="D73" s="839">
        <f t="shared" si="7"/>
        <v>527991.67000000004</v>
      </c>
      <c r="E73" s="840">
        <f t="shared" si="8"/>
        <v>443481.44</v>
      </c>
      <c r="F73" s="838">
        <f t="shared" si="9"/>
        <v>367242.12</v>
      </c>
      <c r="G73" s="840">
        <f t="shared" si="9"/>
        <v>76239.319999999992</v>
      </c>
      <c r="H73" s="841">
        <v>780093.39</v>
      </c>
      <c r="I73" s="835">
        <v>0</v>
      </c>
      <c r="J73" s="835">
        <v>527991.67000000004</v>
      </c>
      <c r="K73" s="835">
        <v>239942.27</v>
      </c>
      <c r="L73" s="835">
        <v>76242.929999999993</v>
      </c>
      <c r="M73" s="835">
        <v>1624270.26</v>
      </c>
      <c r="N73" s="835">
        <v>113887.26</v>
      </c>
      <c r="O73" s="835">
        <v>0</v>
      </c>
      <c r="P73" s="835">
        <v>0</v>
      </c>
      <c r="Q73" s="835">
        <v>127299.85</v>
      </c>
      <c r="R73" s="835">
        <v>-3.61</v>
      </c>
      <c r="S73" s="835">
        <v>241183.5</v>
      </c>
    </row>
    <row r="74" spans="1:19">
      <c r="A74" s="1095" t="s">
        <v>183</v>
      </c>
      <c r="B74" s="837" t="s">
        <v>184</v>
      </c>
      <c r="C74" s="838">
        <f t="shared" si="6"/>
        <v>238552.84999999998</v>
      </c>
      <c r="D74" s="839">
        <f t="shared" si="7"/>
        <v>78572.7</v>
      </c>
      <c r="E74" s="840">
        <f t="shared" si="8"/>
        <v>179430.27000000002</v>
      </c>
      <c r="F74" s="838">
        <f t="shared" si="9"/>
        <v>176670.89</v>
      </c>
      <c r="G74" s="840">
        <f t="shared" si="9"/>
        <v>2759.38</v>
      </c>
      <c r="H74" s="841">
        <v>113197.15</v>
      </c>
      <c r="I74" s="835">
        <v>0</v>
      </c>
      <c r="J74" s="835">
        <v>78572.7</v>
      </c>
      <c r="K74" s="835">
        <v>35176.39</v>
      </c>
      <c r="L74" s="835">
        <v>2190.79</v>
      </c>
      <c r="M74" s="835">
        <v>229137.03</v>
      </c>
      <c r="N74" s="835">
        <v>125355.7</v>
      </c>
      <c r="O74" s="835">
        <v>0</v>
      </c>
      <c r="P74" s="835">
        <v>0</v>
      </c>
      <c r="Q74" s="835">
        <v>141494.5</v>
      </c>
      <c r="R74" s="835">
        <v>568.59</v>
      </c>
      <c r="S74" s="835">
        <v>267418.78999999998</v>
      </c>
    </row>
    <row r="75" spans="1:19">
      <c r="A75" s="1095" t="s">
        <v>185</v>
      </c>
      <c r="B75" s="837" t="s">
        <v>186</v>
      </c>
      <c r="C75" s="838">
        <f t="shared" si="6"/>
        <v>525178.57999999996</v>
      </c>
      <c r="D75" s="839">
        <f t="shared" si="7"/>
        <v>285752.89</v>
      </c>
      <c r="E75" s="840">
        <f t="shared" si="8"/>
        <v>267156.38</v>
      </c>
      <c r="F75" s="838">
        <f t="shared" si="9"/>
        <v>250594.15000000002</v>
      </c>
      <c r="G75" s="840">
        <f t="shared" si="9"/>
        <v>16562.23</v>
      </c>
      <c r="H75" s="841">
        <v>417555.92</v>
      </c>
      <c r="I75" s="835">
        <v>0</v>
      </c>
      <c r="J75" s="835">
        <v>285752.89</v>
      </c>
      <c r="K75" s="835">
        <v>129007.63</v>
      </c>
      <c r="L75" s="835">
        <v>16390.349999999999</v>
      </c>
      <c r="M75" s="835">
        <v>848706.79</v>
      </c>
      <c r="N75" s="835">
        <v>107622.66</v>
      </c>
      <c r="O75" s="835">
        <v>0</v>
      </c>
      <c r="P75" s="835">
        <v>0</v>
      </c>
      <c r="Q75" s="835">
        <v>121586.52</v>
      </c>
      <c r="R75" s="835">
        <v>171.88</v>
      </c>
      <c r="S75" s="835">
        <v>229381.06</v>
      </c>
    </row>
    <row r="76" spans="1:19">
      <c r="A76" s="1095" t="s">
        <v>187</v>
      </c>
      <c r="B76" s="837" t="s">
        <v>188</v>
      </c>
      <c r="C76" s="838">
        <f t="shared" si="6"/>
        <v>280584.96000000002</v>
      </c>
      <c r="D76" s="839">
        <f t="shared" si="7"/>
        <v>167544.26</v>
      </c>
      <c r="E76" s="840">
        <f t="shared" si="8"/>
        <v>116750.42000000001</v>
      </c>
      <c r="F76" s="838">
        <f t="shared" si="9"/>
        <v>115165.79000000001</v>
      </c>
      <c r="G76" s="840">
        <f t="shared" si="9"/>
        <v>1584.6299999999999</v>
      </c>
      <c r="H76" s="841">
        <v>245678.14</v>
      </c>
      <c r="I76" s="835">
        <v>0</v>
      </c>
      <c r="J76" s="835">
        <v>167544.26</v>
      </c>
      <c r="K76" s="835">
        <v>75796.639999999999</v>
      </c>
      <c r="L76" s="835">
        <v>1489.02</v>
      </c>
      <c r="M76" s="835">
        <v>490508.06</v>
      </c>
      <c r="N76" s="835">
        <v>34906.82</v>
      </c>
      <c r="O76" s="835">
        <v>0</v>
      </c>
      <c r="P76" s="835">
        <v>0</v>
      </c>
      <c r="Q76" s="835">
        <v>39369.15</v>
      </c>
      <c r="R76" s="835">
        <v>95.61</v>
      </c>
      <c r="S76" s="835">
        <v>74371.58</v>
      </c>
    </row>
    <row r="77" spans="1:19">
      <c r="A77" s="1095" t="s">
        <v>189</v>
      </c>
      <c r="B77" s="837" t="s">
        <v>190</v>
      </c>
      <c r="C77" s="838">
        <f t="shared" si="6"/>
        <v>3857828.9800000004</v>
      </c>
      <c r="D77" s="839">
        <f t="shared" si="7"/>
        <v>1126812.21</v>
      </c>
      <c r="E77" s="840">
        <f t="shared" si="8"/>
        <v>3032429.99</v>
      </c>
      <c r="F77" s="838">
        <f t="shared" si="9"/>
        <v>3027573.5</v>
      </c>
      <c r="G77" s="840">
        <f t="shared" si="9"/>
        <v>4856.49</v>
      </c>
      <c r="H77" s="841">
        <v>1624540.59</v>
      </c>
      <c r="I77" s="835">
        <v>0</v>
      </c>
      <c r="J77" s="835">
        <v>1126812.21</v>
      </c>
      <c r="K77" s="835">
        <v>504685.07</v>
      </c>
      <c r="L77" s="835">
        <v>3096.09</v>
      </c>
      <c r="M77" s="835">
        <v>3259133.96</v>
      </c>
      <c r="N77" s="835">
        <v>2233288.39</v>
      </c>
      <c r="O77" s="835">
        <v>0</v>
      </c>
      <c r="P77" s="835">
        <v>0</v>
      </c>
      <c r="Q77" s="835">
        <v>2522888.4300000002</v>
      </c>
      <c r="R77" s="835">
        <v>1760.4</v>
      </c>
      <c r="S77" s="835">
        <v>4757937.22</v>
      </c>
    </row>
    <row r="78" spans="1:19">
      <c r="A78" s="1095" t="s">
        <v>191</v>
      </c>
      <c r="B78" s="837" t="s">
        <v>192</v>
      </c>
      <c r="C78" s="838">
        <f t="shared" si="6"/>
        <v>756309.27</v>
      </c>
      <c r="D78" s="839">
        <f t="shared" si="7"/>
        <v>464434.81</v>
      </c>
      <c r="E78" s="840">
        <f t="shared" si="8"/>
        <v>301025.76</v>
      </c>
      <c r="F78" s="838">
        <f t="shared" si="9"/>
        <v>288128.05</v>
      </c>
      <c r="G78" s="840">
        <f t="shared" si="9"/>
        <v>12897.71</v>
      </c>
      <c r="H78" s="841">
        <v>686326.59</v>
      </c>
      <c r="I78" s="835">
        <v>0</v>
      </c>
      <c r="J78" s="835">
        <v>464434.81</v>
      </c>
      <c r="K78" s="835">
        <v>211083.69</v>
      </c>
      <c r="L78" s="835">
        <v>12899.16</v>
      </c>
      <c r="M78" s="835">
        <v>1374744.25</v>
      </c>
      <c r="N78" s="835">
        <v>69982.679999999993</v>
      </c>
      <c r="O78" s="835">
        <v>0</v>
      </c>
      <c r="P78" s="835">
        <v>0</v>
      </c>
      <c r="Q78" s="835">
        <v>77044.36</v>
      </c>
      <c r="R78" s="835">
        <v>-1.45</v>
      </c>
      <c r="S78" s="835">
        <v>147025.59</v>
      </c>
    </row>
    <row r="79" spans="1:19">
      <c r="A79" s="1095" t="s">
        <v>195</v>
      </c>
      <c r="B79" s="837" t="s">
        <v>196</v>
      </c>
      <c r="C79" s="838">
        <f t="shared" si="6"/>
        <v>164076.23000000001</v>
      </c>
      <c r="D79" s="839">
        <f t="shared" si="7"/>
        <v>71519.78</v>
      </c>
      <c r="E79" s="840">
        <f t="shared" si="8"/>
        <v>109830.09999999999</v>
      </c>
      <c r="F79" s="838">
        <f t="shared" si="9"/>
        <v>100586.34</v>
      </c>
      <c r="G79" s="840">
        <f t="shared" si="9"/>
        <v>9243.76</v>
      </c>
      <c r="H79" s="841">
        <v>103451.55</v>
      </c>
      <c r="I79" s="835">
        <v>0</v>
      </c>
      <c r="J79" s="835">
        <v>71519.78</v>
      </c>
      <c r="K79" s="835">
        <v>32094.04</v>
      </c>
      <c r="L79" s="835">
        <v>4887.87</v>
      </c>
      <c r="M79" s="835">
        <v>211953.24</v>
      </c>
      <c r="N79" s="835">
        <v>60624.68</v>
      </c>
      <c r="O79" s="835">
        <v>0</v>
      </c>
      <c r="P79" s="835">
        <v>0</v>
      </c>
      <c r="Q79" s="835">
        <v>68492.3</v>
      </c>
      <c r="R79" s="835">
        <v>4355.8900000000003</v>
      </c>
      <c r="S79" s="835">
        <v>133472.87</v>
      </c>
    </row>
    <row r="80" spans="1:19">
      <c r="A80" s="1095" t="s">
        <v>199</v>
      </c>
      <c r="B80" s="837" t="s">
        <v>200</v>
      </c>
      <c r="C80" s="838">
        <f t="shared" si="6"/>
        <v>189824.68</v>
      </c>
      <c r="D80" s="839">
        <f t="shared" si="7"/>
        <v>98179.62</v>
      </c>
      <c r="E80" s="840">
        <f t="shared" si="8"/>
        <v>103846.81999999999</v>
      </c>
      <c r="F80" s="838">
        <f t="shared" si="9"/>
        <v>97418.739999999991</v>
      </c>
      <c r="G80" s="840">
        <f t="shared" si="9"/>
        <v>6428.08</v>
      </c>
      <c r="H80" s="841">
        <v>142694.04999999999</v>
      </c>
      <c r="I80" s="835">
        <v>0</v>
      </c>
      <c r="J80" s="835">
        <v>98179.62</v>
      </c>
      <c r="K80" s="835">
        <v>44182.49</v>
      </c>
      <c r="L80" s="835">
        <v>6427.88</v>
      </c>
      <c r="M80" s="835">
        <v>291484.03999999998</v>
      </c>
      <c r="N80" s="835">
        <v>47130.63</v>
      </c>
      <c r="O80" s="835">
        <v>0</v>
      </c>
      <c r="P80" s="835">
        <v>0</v>
      </c>
      <c r="Q80" s="835">
        <v>53236.25</v>
      </c>
      <c r="R80" s="835">
        <v>0.2</v>
      </c>
      <c r="S80" s="835">
        <v>100367.08</v>
      </c>
    </row>
    <row r="81" spans="1:19">
      <c r="A81" s="1095" t="s">
        <v>203</v>
      </c>
      <c r="B81" s="837" t="s">
        <v>204</v>
      </c>
      <c r="C81" s="838">
        <f t="shared" si="6"/>
        <v>959966.26</v>
      </c>
      <c r="D81" s="839">
        <f t="shared" si="7"/>
        <v>440955.52</v>
      </c>
      <c r="E81" s="840">
        <f t="shared" si="8"/>
        <v>691524.49</v>
      </c>
      <c r="F81" s="838">
        <f t="shared" si="9"/>
        <v>562188.62</v>
      </c>
      <c r="G81" s="840">
        <f t="shared" si="9"/>
        <v>129335.87000000001</v>
      </c>
      <c r="H81" s="841">
        <v>637617.06999999995</v>
      </c>
      <c r="I81" s="835">
        <v>0</v>
      </c>
      <c r="J81" s="835">
        <v>440955.52</v>
      </c>
      <c r="K81" s="835">
        <v>197843.21</v>
      </c>
      <c r="L81" s="835">
        <v>79261.070000000007</v>
      </c>
      <c r="M81" s="835">
        <v>1355676.87</v>
      </c>
      <c r="N81" s="835">
        <v>322349.19</v>
      </c>
      <c r="O81" s="835">
        <v>0</v>
      </c>
      <c r="P81" s="835">
        <v>0</v>
      </c>
      <c r="Q81" s="835">
        <v>364345.41</v>
      </c>
      <c r="R81" s="835">
        <v>50074.8</v>
      </c>
      <c r="S81" s="835">
        <v>736769.4</v>
      </c>
    </row>
    <row r="82" spans="1:19">
      <c r="A82" s="1095" t="s">
        <v>205</v>
      </c>
      <c r="B82" s="837" t="s">
        <v>206</v>
      </c>
      <c r="C82" s="838">
        <f t="shared" si="6"/>
        <v>383004.22</v>
      </c>
      <c r="D82" s="839">
        <f t="shared" si="7"/>
        <v>225632.72</v>
      </c>
      <c r="E82" s="840">
        <f t="shared" si="8"/>
        <v>176180.97</v>
      </c>
      <c r="F82" s="838">
        <f t="shared" si="9"/>
        <v>161788.25</v>
      </c>
      <c r="G82" s="840">
        <f t="shared" si="9"/>
        <v>14392.720000000001</v>
      </c>
      <c r="H82" s="841">
        <v>330049.88</v>
      </c>
      <c r="I82" s="835">
        <v>0</v>
      </c>
      <c r="J82" s="835">
        <v>225632.72</v>
      </c>
      <c r="K82" s="835">
        <v>101928.65</v>
      </c>
      <c r="L82" s="835">
        <v>14393.43</v>
      </c>
      <c r="M82" s="835">
        <v>672004.68</v>
      </c>
      <c r="N82" s="835">
        <v>52954.34</v>
      </c>
      <c r="O82" s="835">
        <v>0</v>
      </c>
      <c r="P82" s="835">
        <v>0</v>
      </c>
      <c r="Q82" s="835">
        <v>59859.6</v>
      </c>
      <c r="R82" s="835">
        <v>-0.71</v>
      </c>
      <c r="S82" s="835">
        <v>112813.23</v>
      </c>
    </row>
    <row r="83" spans="1:19">
      <c r="A83" s="1095" t="s">
        <v>207</v>
      </c>
      <c r="B83" s="837" t="s">
        <v>208</v>
      </c>
      <c r="C83" s="838">
        <f t="shared" si="6"/>
        <v>1130139.04</v>
      </c>
      <c r="D83" s="839">
        <f t="shared" si="7"/>
        <v>503281.52</v>
      </c>
      <c r="E83" s="840">
        <f t="shared" si="8"/>
        <v>673571.63</v>
      </c>
      <c r="F83" s="838">
        <f t="shared" si="9"/>
        <v>673012.58</v>
      </c>
      <c r="G83" s="840">
        <f t="shared" si="9"/>
        <v>559.04999999999995</v>
      </c>
      <c r="H83" s="841">
        <v>732887.3</v>
      </c>
      <c r="I83" s="835">
        <v>0</v>
      </c>
      <c r="J83" s="835">
        <v>503281.52</v>
      </c>
      <c r="K83" s="835">
        <v>226749.67</v>
      </c>
      <c r="L83" s="835">
        <v>169.22</v>
      </c>
      <c r="M83" s="835">
        <v>1463087.71</v>
      </c>
      <c r="N83" s="835">
        <v>397251.74</v>
      </c>
      <c r="O83" s="835">
        <v>0</v>
      </c>
      <c r="P83" s="835">
        <v>0</v>
      </c>
      <c r="Q83" s="835">
        <v>446262.91</v>
      </c>
      <c r="R83" s="835">
        <v>389.83</v>
      </c>
      <c r="S83" s="835">
        <v>843904.48</v>
      </c>
    </row>
    <row r="84" spans="1:19">
      <c r="A84" s="1095" t="s">
        <v>209</v>
      </c>
      <c r="B84" s="837" t="s">
        <v>210</v>
      </c>
      <c r="C84" s="838">
        <f t="shared" si="6"/>
        <v>529601.80000000005</v>
      </c>
      <c r="D84" s="839">
        <f t="shared" si="7"/>
        <v>358664.47</v>
      </c>
      <c r="E84" s="840">
        <f t="shared" si="8"/>
        <v>308221.08999999997</v>
      </c>
      <c r="F84" s="838">
        <f t="shared" si="9"/>
        <v>162934.29</v>
      </c>
      <c r="G84" s="840">
        <f t="shared" si="9"/>
        <v>145286.79999999999</v>
      </c>
      <c r="H84" s="841">
        <v>529601.80000000005</v>
      </c>
      <c r="I84" s="835">
        <v>0</v>
      </c>
      <c r="J84" s="835">
        <v>358664.47</v>
      </c>
      <c r="K84" s="835">
        <v>162934.29</v>
      </c>
      <c r="L84" s="835">
        <v>145286.79999999999</v>
      </c>
      <c r="M84" s="835">
        <v>1196487.3600000001</v>
      </c>
      <c r="N84" s="830"/>
      <c r="O84" s="830"/>
      <c r="P84" s="830"/>
      <c r="Q84" s="830"/>
      <c r="R84" s="830"/>
      <c r="S84" s="830"/>
    </row>
    <row r="85" spans="1:19">
      <c r="A85" s="1095" t="s">
        <v>211</v>
      </c>
      <c r="B85" s="837" t="s">
        <v>212</v>
      </c>
      <c r="C85" s="838">
        <f t="shared" si="6"/>
        <v>516707.17000000004</v>
      </c>
      <c r="D85" s="839">
        <f t="shared" si="7"/>
        <v>318274.44</v>
      </c>
      <c r="E85" s="840">
        <f t="shared" si="8"/>
        <v>206099.78</v>
      </c>
      <c r="F85" s="838">
        <f t="shared" si="9"/>
        <v>199808.83</v>
      </c>
      <c r="G85" s="840">
        <f t="shared" si="9"/>
        <v>6290.95</v>
      </c>
      <c r="H85" s="841">
        <v>467312.71</v>
      </c>
      <c r="I85" s="835">
        <v>0</v>
      </c>
      <c r="J85" s="835">
        <v>318274.44</v>
      </c>
      <c r="K85" s="835">
        <v>144099.82999999999</v>
      </c>
      <c r="L85" s="835">
        <v>6291.88</v>
      </c>
      <c r="M85" s="835">
        <v>935978.86</v>
      </c>
      <c r="N85" s="835">
        <v>49394.46</v>
      </c>
      <c r="O85" s="835">
        <v>0</v>
      </c>
      <c r="P85" s="835">
        <v>0</v>
      </c>
      <c r="Q85" s="835">
        <v>55709</v>
      </c>
      <c r="R85" s="835">
        <v>-0.93</v>
      </c>
      <c r="S85" s="835">
        <v>105102.53</v>
      </c>
    </row>
    <row r="86" spans="1:19">
      <c r="A86" s="1095" t="s">
        <v>213</v>
      </c>
      <c r="B86" s="837" t="s">
        <v>214</v>
      </c>
      <c r="C86" s="838">
        <f t="shared" si="6"/>
        <v>503423.55999999994</v>
      </c>
      <c r="D86" s="839">
        <f t="shared" si="7"/>
        <v>216903.52</v>
      </c>
      <c r="E86" s="840">
        <f t="shared" si="8"/>
        <v>454310.89</v>
      </c>
      <c r="F86" s="838">
        <f t="shared" si="9"/>
        <v>311382.76</v>
      </c>
      <c r="G86" s="840">
        <f t="shared" si="9"/>
        <v>142928.13</v>
      </c>
      <c r="H86" s="841">
        <v>313929.34999999998</v>
      </c>
      <c r="I86" s="835">
        <v>0</v>
      </c>
      <c r="J86" s="835">
        <v>216903.52</v>
      </c>
      <c r="K86" s="835">
        <v>97369.71</v>
      </c>
      <c r="L86" s="835">
        <v>140371.74</v>
      </c>
      <c r="M86" s="835">
        <v>768574.32</v>
      </c>
      <c r="N86" s="835">
        <v>189494.21</v>
      </c>
      <c r="O86" s="835">
        <v>0</v>
      </c>
      <c r="P86" s="835">
        <v>0</v>
      </c>
      <c r="Q86" s="835">
        <v>214013.05</v>
      </c>
      <c r="R86" s="835">
        <v>2556.39</v>
      </c>
      <c r="S86" s="835">
        <v>406063.65</v>
      </c>
    </row>
    <row r="87" spans="1:19">
      <c r="A87" s="1095" t="s">
        <v>215</v>
      </c>
      <c r="B87" s="837" t="s">
        <v>216</v>
      </c>
      <c r="C87" s="838">
        <f t="shared" si="6"/>
        <v>725389.07</v>
      </c>
      <c r="D87" s="839">
        <f t="shared" si="7"/>
        <v>454488.69</v>
      </c>
      <c r="E87" s="840">
        <f t="shared" si="8"/>
        <v>266289.11000000004</v>
      </c>
      <c r="F87" s="838">
        <f t="shared" si="9"/>
        <v>270113.34000000003</v>
      </c>
      <c r="G87" s="840">
        <f t="shared" si="9"/>
        <v>-3824.23</v>
      </c>
      <c r="H87" s="841">
        <v>668541.22</v>
      </c>
      <c r="I87" s="835">
        <v>0</v>
      </c>
      <c r="J87" s="835">
        <v>454488.69</v>
      </c>
      <c r="K87" s="835">
        <v>205998.19</v>
      </c>
      <c r="L87" s="835">
        <v>-3823.44</v>
      </c>
      <c r="M87" s="835">
        <v>1325204.6599999999</v>
      </c>
      <c r="N87" s="835">
        <v>56847.85</v>
      </c>
      <c r="O87" s="835">
        <v>0</v>
      </c>
      <c r="P87" s="835">
        <v>0</v>
      </c>
      <c r="Q87" s="835">
        <v>64115.15</v>
      </c>
      <c r="R87" s="835">
        <v>-0.79</v>
      </c>
      <c r="S87" s="835">
        <v>120962.21</v>
      </c>
    </row>
    <row r="88" spans="1:19">
      <c r="A88" s="1095" t="s">
        <v>217</v>
      </c>
      <c r="B88" s="837" t="s">
        <v>218</v>
      </c>
      <c r="C88" s="838">
        <f t="shared" si="6"/>
        <v>459804.94</v>
      </c>
      <c r="D88" s="839">
        <f t="shared" si="7"/>
        <v>311560.02</v>
      </c>
      <c r="E88" s="840">
        <f t="shared" si="8"/>
        <v>144569.10999999999</v>
      </c>
      <c r="F88" s="838">
        <f t="shared" si="9"/>
        <v>141184.29999999999</v>
      </c>
      <c r="G88" s="840">
        <f t="shared" si="9"/>
        <v>3384.81</v>
      </c>
      <c r="H88" s="841">
        <v>460129.51</v>
      </c>
      <c r="I88" s="835">
        <v>0</v>
      </c>
      <c r="J88" s="835">
        <v>311560.02</v>
      </c>
      <c r="K88" s="835">
        <v>141550.32999999999</v>
      </c>
      <c r="L88" s="835">
        <v>3384.75</v>
      </c>
      <c r="M88" s="835">
        <v>916624.61</v>
      </c>
      <c r="N88" s="835">
        <v>-324.57</v>
      </c>
      <c r="O88" s="835">
        <v>0</v>
      </c>
      <c r="P88" s="835">
        <v>0</v>
      </c>
      <c r="Q88" s="835">
        <v>-366.03</v>
      </c>
      <c r="R88" s="835">
        <v>0.06</v>
      </c>
      <c r="S88" s="835">
        <v>-690.54</v>
      </c>
    </row>
    <row r="89" spans="1:19">
      <c r="A89" s="1095" t="s">
        <v>219</v>
      </c>
      <c r="B89" s="837" t="s">
        <v>220</v>
      </c>
      <c r="C89" s="838">
        <f t="shared" si="6"/>
        <v>1117177.68</v>
      </c>
      <c r="D89" s="839">
        <f t="shared" si="7"/>
        <v>350255.09</v>
      </c>
      <c r="E89" s="840">
        <f t="shared" si="8"/>
        <v>861330.66000000015</v>
      </c>
      <c r="F89" s="838">
        <f t="shared" si="9"/>
        <v>847337.60000000009</v>
      </c>
      <c r="G89" s="840">
        <f t="shared" si="9"/>
        <v>13993.060000000001</v>
      </c>
      <c r="H89" s="841">
        <v>505779.06</v>
      </c>
      <c r="I89" s="835">
        <v>0</v>
      </c>
      <c r="J89" s="835">
        <v>350255.09</v>
      </c>
      <c r="K89" s="835">
        <v>157022.92000000001</v>
      </c>
      <c r="L89" s="835">
        <v>7861</v>
      </c>
      <c r="M89" s="835">
        <v>1020918.07</v>
      </c>
      <c r="N89" s="835">
        <v>611398.62</v>
      </c>
      <c r="O89" s="835">
        <v>0</v>
      </c>
      <c r="P89" s="835">
        <v>0</v>
      </c>
      <c r="Q89" s="835">
        <v>690314.68</v>
      </c>
      <c r="R89" s="835">
        <v>6132.06</v>
      </c>
      <c r="S89" s="835">
        <v>1307845.3600000001</v>
      </c>
    </row>
    <row r="90" spans="1:19">
      <c r="A90" s="1095" t="s">
        <v>221</v>
      </c>
      <c r="B90" s="837" t="s">
        <v>222</v>
      </c>
      <c r="C90" s="838">
        <f t="shared" si="6"/>
        <v>801742.37</v>
      </c>
      <c r="D90" s="839">
        <f t="shared" si="7"/>
        <v>284845.19</v>
      </c>
      <c r="E90" s="840">
        <f t="shared" si="8"/>
        <v>611344.32000000007</v>
      </c>
      <c r="F90" s="838">
        <f t="shared" si="9"/>
        <v>570253.84000000008</v>
      </c>
      <c r="G90" s="840">
        <f t="shared" si="9"/>
        <v>41090.479999999996</v>
      </c>
      <c r="H90" s="841">
        <v>410246</v>
      </c>
      <c r="I90" s="835">
        <v>0</v>
      </c>
      <c r="J90" s="835">
        <v>284845.19</v>
      </c>
      <c r="K90" s="835">
        <v>127501</v>
      </c>
      <c r="L90" s="835">
        <v>41097.269999999997</v>
      </c>
      <c r="M90" s="835">
        <v>863689.46</v>
      </c>
      <c r="N90" s="835">
        <v>391496.37</v>
      </c>
      <c r="O90" s="835">
        <v>0</v>
      </c>
      <c r="P90" s="835">
        <v>0</v>
      </c>
      <c r="Q90" s="835">
        <v>442752.84</v>
      </c>
      <c r="R90" s="835">
        <v>-6.79</v>
      </c>
      <c r="S90" s="835">
        <v>834242.42</v>
      </c>
    </row>
    <row r="91" spans="1:19">
      <c r="A91" s="1095" t="s">
        <v>225</v>
      </c>
      <c r="B91" s="837" t="s">
        <v>226</v>
      </c>
      <c r="C91" s="838">
        <f t="shared" si="6"/>
        <v>224551.72</v>
      </c>
      <c r="D91" s="839">
        <f t="shared" si="7"/>
        <v>148934.15</v>
      </c>
      <c r="E91" s="840">
        <f t="shared" si="8"/>
        <v>161908.44</v>
      </c>
      <c r="F91" s="838">
        <f t="shared" si="9"/>
        <v>73237.03</v>
      </c>
      <c r="G91" s="840">
        <f t="shared" si="9"/>
        <v>88671.41</v>
      </c>
      <c r="H91" s="841">
        <v>219543.58</v>
      </c>
      <c r="I91" s="835">
        <v>0</v>
      </c>
      <c r="J91" s="835">
        <v>148934.15</v>
      </c>
      <c r="K91" s="835">
        <v>67588.66</v>
      </c>
      <c r="L91" s="835">
        <v>88671.5</v>
      </c>
      <c r="M91" s="835">
        <v>524737.89</v>
      </c>
      <c r="N91" s="835">
        <v>5008.1400000000003</v>
      </c>
      <c r="O91" s="835">
        <v>0</v>
      </c>
      <c r="P91" s="835">
        <v>0</v>
      </c>
      <c r="Q91" s="835">
        <v>5648.37</v>
      </c>
      <c r="R91" s="835">
        <v>-0.09</v>
      </c>
      <c r="S91" s="835">
        <v>10656.42</v>
      </c>
    </row>
    <row r="92" spans="1:19">
      <c r="A92" s="1095" t="s">
        <v>227</v>
      </c>
      <c r="B92" s="837" t="s">
        <v>228</v>
      </c>
      <c r="C92" s="838">
        <f t="shared" si="6"/>
        <v>473197.47</v>
      </c>
      <c r="D92" s="839">
        <f t="shared" si="7"/>
        <v>224343.15</v>
      </c>
      <c r="E92" s="840">
        <f t="shared" si="8"/>
        <v>278597.18000000005</v>
      </c>
      <c r="F92" s="838">
        <f t="shared" si="9"/>
        <v>268457.59000000003</v>
      </c>
      <c r="G92" s="840">
        <f t="shared" si="9"/>
        <v>10139.59</v>
      </c>
      <c r="H92" s="841">
        <v>324726.17</v>
      </c>
      <c r="I92" s="835">
        <v>0</v>
      </c>
      <c r="J92" s="835">
        <v>224343.15</v>
      </c>
      <c r="K92" s="835">
        <v>100715.7</v>
      </c>
      <c r="L92" s="835">
        <v>10140.64</v>
      </c>
      <c r="M92" s="835">
        <v>659925.66</v>
      </c>
      <c r="N92" s="835">
        <v>148471.29999999999</v>
      </c>
      <c r="O92" s="835">
        <v>0</v>
      </c>
      <c r="P92" s="835">
        <v>0</v>
      </c>
      <c r="Q92" s="835">
        <v>167741.89000000001</v>
      </c>
      <c r="R92" s="835">
        <v>-1.05</v>
      </c>
      <c r="S92" s="835">
        <v>316212.14</v>
      </c>
    </row>
    <row r="93" spans="1:19">
      <c r="A93" s="1095" t="s">
        <v>229</v>
      </c>
      <c r="B93" s="837" t="s">
        <v>230</v>
      </c>
      <c r="C93" s="838">
        <f t="shared" si="6"/>
        <v>847119.9</v>
      </c>
      <c r="D93" s="839">
        <f t="shared" si="7"/>
        <v>535237.16</v>
      </c>
      <c r="E93" s="840">
        <f t="shared" si="8"/>
        <v>342139.54</v>
      </c>
      <c r="F93" s="838">
        <f t="shared" si="9"/>
        <v>309817.06</v>
      </c>
      <c r="G93" s="840">
        <f t="shared" si="9"/>
        <v>32322.48</v>
      </c>
      <c r="H93" s="841">
        <v>787490.48</v>
      </c>
      <c r="I93" s="835">
        <v>0</v>
      </c>
      <c r="J93" s="835">
        <v>535237.16</v>
      </c>
      <c r="K93" s="835">
        <v>242628.36</v>
      </c>
      <c r="L93" s="835">
        <v>32323.93</v>
      </c>
      <c r="M93" s="835">
        <v>1597679.93</v>
      </c>
      <c r="N93" s="835">
        <v>59629.42</v>
      </c>
      <c r="O93" s="835">
        <v>0</v>
      </c>
      <c r="P93" s="835">
        <v>0</v>
      </c>
      <c r="Q93" s="835">
        <v>67188.7</v>
      </c>
      <c r="R93" s="835">
        <v>-1.45</v>
      </c>
      <c r="S93" s="835">
        <v>126816.67</v>
      </c>
    </row>
    <row r="94" spans="1:19">
      <c r="A94" s="1095" t="s">
        <v>233</v>
      </c>
      <c r="B94" s="837" t="s">
        <v>234</v>
      </c>
      <c r="C94" s="838">
        <f t="shared" si="6"/>
        <v>492716.51</v>
      </c>
      <c r="D94" s="839">
        <f t="shared" si="7"/>
        <v>209863.21</v>
      </c>
      <c r="E94" s="840">
        <f t="shared" si="8"/>
        <v>316223.56</v>
      </c>
      <c r="F94" s="838">
        <f t="shared" si="9"/>
        <v>309575.92</v>
      </c>
      <c r="G94" s="840">
        <f t="shared" si="9"/>
        <v>6647.6399999999994</v>
      </c>
      <c r="H94" s="841">
        <v>301988.15000000002</v>
      </c>
      <c r="I94" s="835">
        <v>0</v>
      </c>
      <c r="J94" s="835">
        <v>209863.21</v>
      </c>
      <c r="K94" s="835">
        <v>93888.4</v>
      </c>
      <c r="L94" s="835">
        <v>3538.4</v>
      </c>
      <c r="M94" s="835">
        <v>609278.16</v>
      </c>
      <c r="N94" s="835">
        <v>190728.36</v>
      </c>
      <c r="O94" s="835">
        <v>0</v>
      </c>
      <c r="P94" s="835">
        <v>0</v>
      </c>
      <c r="Q94" s="835">
        <v>215687.52</v>
      </c>
      <c r="R94" s="835">
        <v>3109.24</v>
      </c>
      <c r="S94" s="835">
        <v>409525.12</v>
      </c>
    </row>
    <row r="95" spans="1:19">
      <c r="A95" s="1095" t="s">
        <v>235</v>
      </c>
      <c r="B95" s="837" t="s">
        <v>236</v>
      </c>
      <c r="C95" s="838">
        <f t="shared" si="6"/>
        <v>727458.80999999994</v>
      </c>
      <c r="D95" s="839">
        <f t="shared" si="7"/>
        <v>391793.1</v>
      </c>
      <c r="E95" s="840">
        <f t="shared" si="8"/>
        <v>359469.38000000006</v>
      </c>
      <c r="F95" s="838">
        <f t="shared" si="9"/>
        <v>346527.92000000004</v>
      </c>
      <c r="G95" s="840">
        <f t="shared" si="9"/>
        <v>12941.460000000001</v>
      </c>
      <c r="H95" s="841">
        <v>576947.72</v>
      </c>
      <c r="I95" s="835">
        <v>0</v>
      </c>
      <c r="J95" s="835">
        <v>391793.1</v>
      </c>
      <c r="K95" s="835">
        <v>177696.51</v>
      </c>
      <c r="L95" s="835">
        <v>12943.62</v>
      </c>
      <c r="M95" s="835">
        <v>1159380.95</v>
      </c>
      <c r="N95" s="835">
        <v>150511.09</v>
      </c>
      <c r="O95" s="835">
        <v>0</v>
      </c>
      <c r="P95" s="835">
        <v>0</v>
      </c>
      <c r="Q95" s="835">
        <v>168831.41</v>
      </c>
      <c r="R95" s="835">
        <v>-2.16</v>
      </c>
      <c r="S95" s="835">
        <v>319340.34000000003</v>
      </c>
    </row>
    <row r="96" spans="1:19">
      <c r="A96" s="1095" t="s">
        <v>237</v>
      </c>
      <c r="B96" s="837" t="s">
        <v>238</v>
      </c>
      <c r="C96" s="838">
        <f t="shared" si="6"/>
        <v>426861.61</v>
      </c>
      <c r="D96" s="839">
        <f t="shared" si="7"/>
        <v>216208.88</v>
      </c>
      <c r="E96" s="840">
        <f t="shared" si="8"/>
        <v>270209.81</v>
      </c>
      <c r="F96" s="838">
        <f t="shared" si="9"/>
        <v>224146.88</v>
      </c>
      <c r="G96" s="840">
        <f t="shared" si="9"/>
        <v>46062.93</v>
      </c>
      <c r="H96" s="841">
        <v>314710.18</v>
      </c>
      <c r="I96" s="835">
        <v>0</v>
      </c>
      <c r="J96" s="835">
        <v>216208.88</v>
      </c>
      <c r="K96" s="835">
        <v>97385.5</v>
      </c>
      <c r="L96" s="835">
        <v>46064.49</v>
      </c>
      <c r="M96" s="835">
        <v>674369.05</v>
      </c>
      <c r="N96" s="835">
        <v>112151.43</v>
      </c>
      <c r="O96" s="835">
        <v>0</v>
      </c>
      <c r="P96" s="835">
        <v>0</v>
      </c>
      <c r="Q96" s="835">
        <v>126761.38</v>
      </c>
      <c r="R96" s="835">
        <v>-1.56</v>
      </c>
      <c r="S96" s="835">
        <v>238911.25</v>
      </c>
    </row>
    <row r="97" spans="1:19">
      <c r="A97" s="1095" t="s">
        <v>243</v>
      </c>
      <c r="B97" s="837" t="s">
        <v>244</v>
      </c>
      <c r="C97" s="838">
        <f t="shared" si="6"/>
        <v>1014861.86</v>
      </c>
      <c r="D97" s="839">
        <f t="shared" si="7"/>
        <v>658339.94999999995</v>
      </c>
      <c r="E97" s="840">
        <f t="shared" si="8"/>
        <v>351741.44999999995</v>
      </c>
      <c r="F97" s="838">
        <f t="shared" si="9"/>
        <v>349208.1</v>
      </c>
      <c r="G97" s="840">
        <f t="shared" si="9"/>
        <v>2533.35</v>
      </c>
      <c r="H97" s="841">
        <v>969895.53</v>
      </c>
      <c r="I97" s="835">
        <v>0</v>
      </c>
      <c r="J97" s="835">
        <v>658339.94999999995</v>
      </c>
      <c r="K97" s="835">
        <v>298668.12</v>
      </c>
      <c r="L97" s="835">
        <v>2533.98</v>
      </c>
      <c r="M97" s="835">
        <v>1929437.58</v>
      </c>
      <c r="N97" s="835">
        <v>44966.33</v>
      </c>
      <c r="O97" s="835">
        <v>0</v>
      </c>
      <c r="P97" s="835">
        <v>0</v>
      </c>
      <c r="Q97" s="835">
        <v>50539.98</v>
      </c>
      <c r="R97" s="835">
        <v>-0.63</v>
      </c>
      <c r="S97" s="835">
        <v>95505.68</v>
      </c>
    </row>
    <row r="98" spans="1:19">
      <c r="A98" s="1095" t="s">
        <v>245</v>
      </c>
      <c r="B98" s="837" t="s">
        <v>246</v>
      </c>
      <c r="C98" s="838">
        <f t="shared" si="6"/>
        <v>579207.72</v>
      </c>
      <c r="D98" s="839">
        <f t="shared" si="7"/>
        <v>313524.3</v>
      </c>
      <c r="E98" s="840">
        <f t="shared" si="8"/>
        <v>277958.49999999994</v>
      </c>
      <c r="F98" s="838">
        <f t="shared" si="9"/>
        <v>274084.45999999996</v>
      </c>
      <c r="G98" s="840">
        <f t="shared" si="9"/>
        <v>3874.04</v>
      </c>
      <c r="H98" s="841">
        <v>461384.26</v>
      </c>
      <c r="I98" s="835">
        <v>0</v>
      </c>
      <c r="J98" s="835">
        <v>313524.3</v>
      </c>
      <c r="K98" s="835">
        <v>142140.53</v>
      </c>
      <c r="L98" s="835">
        <v>3874.95</v>
      </c>
      <c r="M98" s="835">
        <v>920924.04</v>
      </c>
      <c r="N98" s="835">
        <v>117823.46</v>
      </c>
      <c r="O98" s="835">
        <v>0</v>
      </c>
      <c r="P98" s="835">
        <v>0</v>
      </c>
      <c r="Q98" s="835">
        <v>131943.93</v>
      </c>
      <c r="R98" s="835">
        <v>-0.91</v>
      </c>
      <c r="S98" s="835">
        <v>249766.48</v>
      </c>
    </row>
    <row r="99" spans="1:19">
      <c r="A99" s="1095" t="s">
        <v>247</v>
      </c>
      <c r="B99" s="837" t="s">
        <v>389</v>
      </c>
      <c r="C99" s="838">
        <f t="shared" si="6"/>
        <v>788060.36</v>
      </c>
      <c r="D99" s="839">
        <f t="shared" si="7"/>
        <v>359212.77</v>
      </c>
      <c r="E99" s="840">
        <f t="shared" si="8"/>
        <v>467263.16999999993</v>
      </c>
      <c r="F99" s="838">
        <f t="shared" si="9"/>
        <v>465347.06999999995</v>
      </c>
      <c r="G99" s="840">
        <f t="shared" si="9"/>
        <v>1916.1</v>
      </c>
      <c r="H99" s="841">
        <v>518643.66</v>
      </c>
      <c r="I99" s="835">
        <v>0</v>
      </c>
      <c r="J99" s="835">
        <v>359212.77</v>
      </c>
      <c r="K99" s="835">
        <v>161025.66</v>
      </c>
      <c r="L99" s="835">
        <v>866.65</v>
      </c>
      <c r="M99" s="835">
        <v>1039748.74</v>
      </c>
      <c r="N99" s="835">
        <v>269416.7</v>
      </c>
      <c r="O99" s="835">
        <v>0</v>
      </c>
      <c r="P99" s="835">
        <v>0</v>
      </c>
      <c r="Q99" s="835">
        <v>304321.40999999997</v>
      </c>
      <c r="R99" s="835">
        <v>1049.45</v>
      </c>
      <c r="S99" s="835">
        <v>574787.56000000006</v>
      </c>
    </row>
    <row r="100" spans="1:19">
      <c r="A100" s="1095" t="s">
        <v>14</v>
      </c>
      <c r="B100" s="837" t="s">
        <v>15</v>
      </c>
      <c r="C100" s="838">
        <f t="shared" si="6"/>
        <v>2366245.5099999998</v>
      </c>
      <c r="D100" s="839">
        <f t="shared" si="7"/>
        <v>1049569.3400000001</v>
      </c>
      <c r="E100" s="840">
        <f t="shared" si="8"/>
        <v>1430351.69</v>
      </c>
      <c r="F100" s="838">
        <f t="shared" si="9"/>
        <v>1429733.94</v>
      </c>
      <c r="G100" s="840">
        <f t="shared" si="9"/>
        <v>617.75</v>
      </c>
      <c r="H100" s="841">
        <v>1517957.88</v>
      </c>
      <c r="I100" s="835">
        <v>0</v>
      </c>
      <c r="J100" s="835">
        <v>1049569.3400000001</v>
      </c>
      <c r="K100" s="835">
        <v>470964.3</v>
      </c>
      <c r="L100" s="835">
        <v>629.37</v>
      </c>
      <c r="M100" s="835">
        <v>3039120.89</v>
      </c>
      <c r="N100" s="835">
        <v>848287.63</v>
      </c>
      <c r="O100" s="835">
        <v>0</v>
      </c>
      <c r="P100" s="835">
        <v>0</v>
      </c>
      <c r="Q100" s="835">
        <v>958769.64</v>
      </c>
      <c r="R100" s="835">
        <v>-11.62</v>
      </c>
      <c r="S100" s="835">
        <v>1807045.65</v>
      </c>
    </row>
    <row r="101" spans="1:19">
      <c r="A101" s="1095" t="s">
        <v>35</v>
      </c>
      <c r="B101" s="837" t="s">
        <v>36</v>
      </c>
      <c r="C101" s="838">
        <f t="shared" si="6"/>
        <v>555262.07999999996</v>
      </c>
      <c r="D101" s="839">
        <f t="shared" si="7"/>
        <v>367203.47</v>
      </c>
      <c r="E101" s="840">
        <f t="shared" si="8"/>
        <v>182017.44999999998</v>
      </c>
      <c r="F101" s="838">
        <f t="shared" si="9"/>
        <v>182028.37</v>
      </c>
      <c r="G101" s="840">
        <f t="shared" si="9"/>
        <v>-10.92</v>
      </c>
      <c r="H101" s="841">
        <v>541734.14</v>
      </c>
      <c r="I101" s="835">
        <v>0</v>
      </c>
      <c r="J101" s="835">
        <v>367203.47</v>
      </c>
      <c r="K101" s="835">
        <v>166725.84</v>
      </c>
      <c r="L101" s="835">
        <v>-10.45</v>
      </c>
      <c r="M101" s="835">
        <v>1075653</v>
      </c>
      <c r="N101" s="835">
        <v>13527.94</v>
      </c>
      <c r="O101" s="835">
        <v>0</v>
      </c>
      <c r="P101" s="835">
        <v>0</v>
      </c>
      <c r="Q101" s="835">
        <v>15302.53</v>
      </c>
      <c r="R101" s="835">
        <v>-0.47</v>
      </c>
      <c r="S101" s="835">
        <v>28830</v>
      </c>
    </row>
    <row r="102" spans="1:19">
      <c r="A102" s="1095" t="s">
        <v>53</v>
      </c>
      <c r="B102" s="837" t="s">
        <v>54</v>
      </c>
      <c r="C102" s="838">
        <f t="shared" si="6"/>
        <v>1381766.1099999999</v>
      </c>
      <c r="D102" s="839">
        <f t="shared" si="7"/>
        <v>489816.29</v>
      </c>
      <c r="E102" s="840">
        <f t="shared" si="8"/>
        <v>980893.23</v>
      </c>
      <c r="F102" s="838">
        <f t="shared" si="9"/>
        <v>975122</v>
      </c>
      <c r="G102" s="840">
        <f t="shared" si="9"/>
        <v>5771.2300000000005</v>
      </c>
      <c r="H102" s="841">
        <v>707337.46</v>
      </c>
      <c r="I102" s="835">
        <v>0</v>
      </c>
      <c r="J102" s="835">
        <v>489816.29</v>
      </c>
      <c r="K102" s="835">
        <v>219593.24</v>
      </c>
      <c r="L102" s="835">
        <v>5704.09</v>
      </c>
      <c r="M102" s="835">
        <v>1422451.08</v>
      </c>
      <c r="N102" s="835">
        <v>674428.65</v>
      </c>
      <c r="O102" s="835">
        <v>0</v>
      </c>
      <c r="P102" s="835">
        <v>0</v>
      </c>
      <c r="Q102" s="835">
        <v>755528.76</v>
      </c>
      <c r="R102" s="835">
        <v>67.14</v>
      </c>
      <c r="S102" s="835">
        <v>1430024.55</v>
      </c>
    </row>
    <row r="103" spans="1:19">
      <c r="A103" s="1095" t="s">
        <v>55</v>
      </c>
      <c r="B103" s="837" t="s">
        <v>56</v>
      </c>
      <c r="C103" s="838">
        <f t="shared" si="6"/>
        <v>3262265.8200000003</v>
      </c>
      <c r="D103" s="839">
        <f t="shared" si="7"/>
        <v>1415850.33</v>
      </c>
      <c r="E103" s="840">
        <f t="shared" si="8"/>
        <v>2015873.69</v>
      </c>
      <c r="F103" s="838">
        <f t="shared" si="9"/>
        <v>2012672.26</v>
      </c>
      <c r="G103" s="840">
        <f t="shared" si="9"/>
        <v>3201.4300000000003</v>
      </c>
      <c r="H103" s="841">
        <v>2042613.31</v>
      </c>
      <c r="I103" s="835">
        <v>0</v>
      </c>
      <c r="J103" s="835">
        <v>1415850.33</v>
      </c>
      <c r="K103" s="835">
        <v>634390</v>
      </c>
      <c r="L103" s="835">
        <v>3203.65</v>
      </c>
      <c r="M103" s="835">
        <v>4096057.29</v>
      </c>
      <c r="N103" s="835">
        <v>1219652.51</v>
      </c>
      <c r="O103" s="835">
        <v>0</v>
      </c>
      <c r="P103" s="835">
        <v>0</v>
      </c>
      <c r="Q103" s="835">
        <v>1378282.26</v>
      </c>
      <c r="R103" s="835">
        <v>-2.2200000000000002</v>
      </c>
      <c r="S103" s="835">
        <v>2597932.5499999998</v>
      </c>
    </row>
    <row r="104" spans="1:19">
      <c r="A104" s="1095" t="s">
        <v>67</v>
      </c>
      <c r="B104" s="837" t="s">
        <v>68</v>
      </c>
      <c r="C104" s="838">
        <f t="shared" si="6"/>
        <v>1125678.94</v>
      </c>
      <c r="D104" s="839">
        <f t="shared" si="7"/>
        <v>687293.06</v>
      </c>
      <c r="E104" s="840">
        <f t="shared" si="8"/>
        <v>444290.95</v>
      </c>
      <c r="F104" s="838">
        <f t="shared" si="9"/>
        <v>443309.27</v>
      </c>
      <c r="G104" s="840">
        <f t="shared" si="9"/>
        <v>981.68000000000006</v>
      </c>
      <c r="H104" s="841">
        <v>1008404.78</v>
      </c>
      <c r="I104" s="835">
        <v>0</v>
      </c>
      <c r="J104" s="835">
        <v>687293.06</v>
      </c>
      <c r="K104" s="835">
        <v>311043.01</v>
      </c>
      <c r="L104" s="835">
        <v>982.95</v>
      </c>
      <c r="M104" s="835">
        <v>2007723.8</v>
      </c>
      <c r="N104" s="835">
        <v>117274.16</v>
      </c>
      <c r="O104" s="835">
        <v>0</v>
      </c>
      <c r="P104" s="835">
        <v>0</v>
      </c>
      <c r="Q104" s="835">
        <v>132266.26</v>
      </c>
      <c r="R104" s="835">
        <v>-1.27</v>
      </c>
      <c r="S104" s="835">
        <v>249539.15</v>
      </c>
    </row>
    <row r="105" spans="1:19">
      <c r="A105" s="1095" t="s">
        <v>83</v>
      </c>
      <c r="B105" s="837" t="s">
        <v>390</v>
      </c>
      <c r="C105" s="838">
        <f t="shared" si="6"/>
        <v>320487.46999999997</v>
      </c>
      <c r="D105" s="839">
        <f t="shared" si="7"/>
        <v>187317.91</v>
      </c>
      <c r="E105" s="840">
        <f t="shared" si="8"/>
        <v>134769.11000000002</v>
      </c>
      <c r="F105" s="838">
        <f t="shared" si="9"/>
        <v>135707.29</v>
      </c>
      <c r="G105" s="840">
        <f t="shared" si="9"/>
        <v>-938.17999999999984</v>
      </c>
      <c r="H105" s="841">
        <v>275472.3</v>
      </c>
      <c r="I105" s="835">
        <v>0</v>
      </c>
      <c r="J105" s="835">
        <v>187317.91</v>
      </c>
      <c r="K105" s="835">
        <v>84889.16</v>
      </c>
      <c r="L105" s="835">
        <v>-1077.6199999999999</v>
      </c>
      <c r="M105" s="835">
        <v>546601.75</v>
      </c>
      <c r="N105" s="835">
        <v>45015.17</v>
      </c>
      <c r="O105" s="835">
        <v>0</v>
      </c>
      <c r="P105" s="835">
        <v>0</v>
      </c>
      <c r="Q105" s="835">
        <v>50818.13</v>
      </c>
      <c r="R105" s="835">
        <v>139.44</v>
      </c>
      <c r="S105" s="835">
        <v>95972.74</v>
      </c>
    </row>
    <row r="106" spans="1:19">
      <c r="A106" s="1095" t="s">
        <v>89</v>
      </c>
      <c r="B106" s="837" t="s">
        <v>90</v>
      </c>
      <c r="C106" s="838">
        <f t="shared" si="6"/>
        <v>575290.42000000004</v>
      </c>
      <c r="D106" s="839">
        <f t="shared" si="7"/>
        <v>265558.74</v>
      </c>
      <c r="E106" s="840">
        <f t="shared" si="8"/>
        <v>331912.11</v>
      </c>
      <c r="F106" s="838">
        <f t="shared" si="9"/>
        <v>331358.39</v>
      </c>
      <c r="G106" s="840">
        <f t="shared" si="9"/>
        <v>553.72</v>
      </c>
      <c r="H106" s="841">
        <v>386881.53</v>
      </c>
      <c r="I106" s="835">
        <v>0</v>
      </c>
      <c r="J106" s="835">
        <v>265558.74</v>
      </c>
      <c r="K106" s="835">
        <v>119676.63</v>
      </c>
      <c r="L106" s="835">
        <v>359.39</v>
      </c>
      <c r="M106" s="835">
        <v>772476.29</v>
      </c>
      <c r="N106" s="835">
        <v>188408.89</v>
      </c>
      <c r="O106" s="835">
        <v>0</v>
      </c>
      <c r="P106" s="835">
        <v>0</v>
      </c>
      <c r="Q106" s="835">
        <v>211681.76</v>
      </c>
      <c r="R106" s="835">
        <v>194.33</v>
      </c>
      <c r="S106" s="835">
        <v>400284.98</v>
      </c>
    </row>
    <row r="107" spans="1:19">
      <c r="A107" s="1095" t="s">
        <v>91</v>
      </c>
      <c r="B107" s="837" t="s">
        <v>92</v>
      </c>
      <c r="C107" s="838">
        <f t="shared" si="6"/>
        <v>244713.30000000002</v>
      </c>
      <c r="D107" s="839">
        <f t="shared" si="7"/>
        <v>139334.79999999999</v>
      </c>
      <c r="E107" s="840">
        <f t="shared" si="8"/>
        <v>118718.79999999999</v>
      </c>
      <c r="F107" s="838">
        <f t="shared" si="9"/>
        <v>107424.15</v>
      </c>
      <c r="G107" s="840">
        <f t="shared" si="9"/>
        <v>11294.650000000001</v>
      </c>
      <c r="H107" s="841">
        <v>205460.23</v>
      </c>
      <c r="I107" s="835">
        <v>0</v>
      </c>
      <c r="J107" s="835">
        <v>139334.79999999999</v>
      </c>
      <c r="K107" s="835">
        <v>63243.73</v>
      </c>
      <c r="L107" s="835">
        <v>11296.29</v>
      </c>
      <c r="M107" s="835">
        <v>419335.05</v>
      </c>
      <c r="N107" s="835">
        <v>39253.07</v>
      </c>
      <c r="O107" s="835">
        <v>0</v>
      </c>
      <c r="P107" s="835">
        <v>0</v>
      </c>
      <c r="Q107" s="835">
        <v>44180.42</v>
      </c>
      <c r="R107" s="835">
        <v>-1.64</v>
      </c>
      <c r="S107" s="835">
        <v>83431.850000000006</v>
      </c>
    </row>
    <row r="108" spans="1:19">
      <c r="A108" s="1095" t="s">
        <v>107</v>
      </c>
      <c r="B108" s="837" t="s">
        <v>108</v>
      </c>
      <c r="C108" s="838">
        <f t="shared" si="6"/>
        <v>2761405.42</v>
      </c>
      <c r="D108" s="839">
        <f t="shared" si="7"/>
        <v>1480805.63</v>
      </c>
      <c r="E108" s="840">
        <f t="shared" si="8"/>
        <v>1384229.6</v>
      </c>
      <c r="F108" s="838">
        <f t="shared" si="9"/>
        <v>1345559.56</v>
      </c>
      <c r="G108" s="840">
        <f t="shared" si="9"/>
        <v>38670.040000000008</v>
      </c>
      <c r="H108" s="841">
        <v>2160658.5</v>
      </c>
      <c r="I108" s="835">
        <v>0</v>
      </c>
      <c r="J108" s="835">
        <v>1480805.63</v>
      </c>
      <c r="K108" s="835">
        <v>667959.26</v>
      </c>
      <c r="L108" s="835">
        <v>238892.79</v>
      </c>
      <c r="M108" s="835">
        <v>4548316.18</v>
      </c>
      <c r="N108" s="835">
        <v>600746.92000000004</v>
      </c>
      <c r="O108" s="835">
        <v>0</v>
      </c>
      <c r="P108" s="835">
        <v>0</v>
      </c>
      <c r="Q108" s="835">
        <v>677600.3</v>
      </c>
      <c r="R108" s="835">
        <v>-200222.75</v>
      </c>
      <c r="S108" s="835">
        <v>1078124.47</v>
      </c>
    </row>
    <row r="109" spans="1:19">
      <c r="A109" s="1095" t="s">
        <v>117</v>
      </c>
      <c r="B109" s="837" t="s">
        <v>118</v>
      </c>
      <c r="C109" s="838">
        <f t="shared" si="6"/>
        <v>675865.12</v>
      </c>
      <c r="D109" s="839">
        <f t="shared" si="7"/>
        <v>427018.85</v>
      </c>
      <c r="E109" s="840">
        <f t="shared" si="8"/>
        <v>249661.59000000003</v>
      </c>
      <c r="F109" s="838">
        <f t="shared" si="9"/>
        <v>249672.14</v>
      </c>
      <c r="G109" s="840">
        <f t="shared" si="9"/>
        <v>-10.55</v>
      </c>
      <c r="H109" s="841">
        <v>625705.98</v>
      </c>
      <c r="I109" s="835">
        <v>0</v>
      </c>
      <c r="J109" s="835">
        <v>427018.85</v>
      </c>
      <c r="K109" s="835">
        <v>193100.78</v>
      </c>
      <c r="L109" s="835">
        <v>-9.6300000000000008</v>
      </c>
      <c r="M109" s="835">
        <v>1245815.98</v>
      </c>
      <c r="N109" s="835">
        <v>50159.14</v>
      </c>
      <c r="O109" s="835">
        <v>0</v>
      </c>
      <c r="P109" s="835">
        <v>0</v>
      </c>
      <c r="Q109" s="835">
        <v>56571.360000000001</v>
      </c>
      <c r="R109" s="835">
        <v>-0.92</v>
      </c>
      <c r="S109" s="835">
        <v>106729.58</v>
      </c>
    </row>
    <row r="110" spans="1:19">
      <c r="A110" s="1095" t="s">
        <v>139</v>
      </c>
      <c r="B110" s="837" t="s">
        <v>140</v>
      </c>
      <c r="C110" s="838">
        <f t="shared" si="6"/>
        <v>1505209.46</v>
      </c>
      <c r="D110" s="839">
        <f t="shared" si="7"/>
        <v>839712.47</v>
      </c>
      <c r="E110" s="840">
        <f t="shared" si="8"/>
        <v>682996.72000000009</v>
      </c>
      <c r="F110" s="838">
        <f t="shared" si="9"/>
        <v>680097.83000000007</v>
      </c>
      <c r="G110" s="840">
        <f t="shared" si="9"/>
        <v>2898.89</v>
      </c>
      <c r="H110" s="841">
        <v>1237685.27</v>
      </c>
      <c r="I110" s="835">
        <v>0</v>
      </c>
      <c r="J110" s="835">
        <v>839712.47</v>
      </c>
      <c r="K110" s="835">
        <v>381059.12</v>
      </c>
      <c r="L110" s="835">
        <v>2908.72</v>
      </c>
      <c r="M110" s="835">
        <v>2461365.58</v>
      </c>
      <c r="N110" s="835">
        <v>267524.19</v>
      </c>
      <c r="O110" s="835">
        <v>0</v>
      </c>
      <c r="P110" s="835">
        <v>0</v>
      </c>
      <c r="Q110" s="835">
        <v>299038.71000000002</v>
      </c>
      <c r="R110" s="835">
        <v>-9.83</v>
      </c>
      <c r="S110" s="835">
        <v>566553.06999999995</v>
      </c>
    </row>
    <row r="111" spans="1:19">
      <c r="A111" s="1095" t="s">
        <v>143</v>
      </c>
      <c r="B111" s="837" t="s">
        <v>144</v>
      </c>
      <c r="C111" s="838">
        <f t="shared" si="6"/>
        <v>554959.31999999995</v>
      </c>
      <c r="D111" s="839">
        <f t="shared" si="7"/>
        <v>202450.3</v>
      </c>
      <c r="E111" s="840">
        <f t="shared" si="8"/>
        <v>388203.76</v>
      </c>
      <c r="F111" s="838">
        <f t="shared" si="9"/>
        <v>388214.73</v>
      </c>
      <c r="G111" s="840">
        <f t="shared" si="9"/>
        <v>-10.97</v>
      </c>
      <c r="H111" s="841">
        <v>291934.96999999997</v>
      </c>
      <c r="I111" s="835">
        <v>0</v>
      </c>
      <c r="J111" s="835">
        <v>202450.3</v>
      </c>
      <c r="K111" s="835">
        <v>90684.76</v>
      </c>
      <c r="L111" s="835">
        <v>-4.4800000000000004</v>
      </c>
      <c r="M111" s="835">
        <v>585065.55000000005</v>
      </c>
      <c r="N111" s="835">
        <v>263024.34999999998</v>
      </c>
      <c r="O111" s="835">
        <v>0</v>
      </c>
      <c r="P111" s="835">
        <v>0</v>
      </c>
      <c r="Q111" s="835">
        <v>297529.96999999997</v>
      </c>
      <c r="R111" s="835">
        <v>-6.49</v>
      </c>
      <c r="S111" s="835">
        <v>560547.82999999996</v>
      </c>
    </row>
    <row r="112" spans="1:19">
      <c r="A112" s="1095" t="s">
        <v>145</v>
      </c>
      <c r="B112" s="837" t="s">
        <v>146</v>
      </c>
      <c r="C112" s="838">
        <f t="shared" si="6"/>
        <v>163548.61000000002</v>
      </c>
      <c r="D112" s="839">
        <f t="shared" si="7"/>
        <v>97236.66</v>
      </c>
      <c r="E112" s="840">
        <f t="shared" si="8"/>
        <v>67173.009999999995</v>
      </c>
      <c r="F112" s="838">
        <f t="shared" si="9"/>
        <v>67178.649999999994</v>
      </c>
      <c r="G112" s="840">
        <f t="shared" si="9"/>
        <v>-5.64</v>
      </c>
      <c r="H112" s="841">
        <v>143219.38</v>
      </c>
      <c r="I112" s="835">
        <v>0</v>
      </c>
      <c r="J112" s="835">
        <v>97236.66</v>
      </c>
      <c r="K112" s="835">
        <v>44105.52</v>
      </c>
      <c r="L112" s="835">
        <v>-4.55</v>
      </c>
      <c r="M112" s="835">
        <v>284557.01</v>
      </c>
      <c r="N112" s="835">
        <v>20329.23</v>
      </c>
      <c r="O112" s="835">
        <v>0</v>
      </c>
      <c r="P112" s="835">
        <v>0</v>
      </c>
      <c r="Q112" s="835">
        <v>23073.13</v>
      </c>
      <c r="R112" s="835">
        <v>-1.0900000000000001</v>
      </c>
      <c r="S112" s="835">
        <v>43401.27</v>
      </c>
    </row>
    <row r="113" spans="1:19">
      <c r="A113" s="1095" t="s">
        <v>159</v>
      </c>
      <c r="B113" s="837" t="s">
        <v>160</v>
      </c>
      <c r="C113" s="838">
        <f t="shared" si="6"/>
        <v>4409246.46</v>
      </c>
      <c r="D113" s="839">
        <f t="shared" si="7"/>
        <v>2398017.69</v>
      </c>
      <c r="E113" s="840">
        <f t="shared" si="8"/>
        <v>2053685.54</v>
      </c>
      <c r="F113" s="838">
        <f t="shared" si="9"/>
        <v>2053700.34</v>
      </c>
      <c r="G113" s="840">
        <f t="shared" si="9"/>
        <v>-14.8</v>
      </c>
      <c r="H113" s="841">
        <v>3538083.7</v>
      </c>
      <c r="I113" s="835">
        <v>0</v>
      </c>
      <c r="J113" s="835">
        <v>2398017.69</v>
      </c>
      <c r="K113" s="835">
        <v>1088869.03</v>
      </c>
      <c r="L113" s="835">
        <v>-8.42</v>
      </c>
      <c r="M113" s="835">
        <v>7024962</v>
      </c>
      <c r="N113" s="835">
        <v>871162.76</v>
      </c>
      <c r="O113" s="835">
        <v>0</v>
      </c>
      <c r="P113" s="835">
        <v>0</v>
      </c>
      <c r="Q113" s="835">
        <v>964831.31</v>
      </c>
      <c r="R113" s="835">
        <v>-6.38</v>
      </c>
      <c r="S113" s="835">
        <v>1835987.69</v>
      </c>
    </row>
    <row r="114" spans="1:19">
      <c r="A114" s="1095" t="s">
        <v>161</v>
      </c>
      <c r="B114" s="837" t="s">
        <v>162</v>
      </c>
      <c r="C114" s="838">
        <f t="shared" si="6"/>
        <v>7504350.0499999998</v>
      </c>
      <c r="D114" s="839">
        <f t="shared" si="7"/>
        <v>4178279.94</v>
      </c>
      <c r="E114" s="840">
        <f t="shared" si="8"/>
        <v>3580338.8800000004</v>
      </c>
      <c r="F114" s="838">
        <f t="shared" si="9"/>
        <v>3456652.66</v>
      </c>
      <c r="G114" s="840">
        <f t="shared" si="9"/>
        <v>123686.22</v>
      </c>
      <c r="H114" s="841">
        <v>6112132.1799999997</v>
      </c>
      <c r="I114" s="835">
        <v>0</v>
      </c>
      <c r="J114" s="835">
        <v>4178279.94</v>
      </c>
      <c r="K114" s="835">
        <v>1887588.67</v>
      </c>
      <c r="L114" s="835">
        <v>93750.37</v>
      </c>
      <c r="M114" s="835">
        <v>12271751.16</v>
      </c>
      <c r="N114" s="835">
        <v>1392217.87</v>
      </c>
      <c r="O114" s="835">
        <v>0</v>
      </c>
      <c r="P114" s="835">
        <v>0</v>
      </c>
      <c r="Q114" s="835">
        <v>1569063.99</v>
      </c>
      <c r="R114" s="835">
        <v>29935.85</v>
      </c>
      <c r="S114" s="835">
        <v>2991217.71</v>
      </c>
    </row>
    <row r="115" spans="1:19">
      <c r="A115" s="1095" t="s">
        <v>167</v>
      </c>
      <c r="B115" s="837" t="s">
        <v>168</v>
      </c>
      <c r="C115" s="838">
        <f t="shared" si="6"/>
        <v>194876.07</v>
      </c>
      <c r="D115" s="839">
        <f t="shared" si="7"/>
        <v>107608</v>
      </c>
      <c r="E115" s="840">
        <f t="shared" si="8"/>
        <v>90616.28</v>
      </c>
      <c r="F115" s="838">
        <f t="shared" si="9"/>
        <v>90471.89</v>
      </c>
      <c r="G115" s="840">
        <f t="shared" si="9"/>
        <v>144.39000000000001</v>
      </c>
      <c r="H115" s="841">
        <v>157847</v>
      </c>
      <c r="I115" s="835">
        <v>0</v>
      </c>
      <c r="J115" s="835">
        <v>107608</v>
      </c>
      <c r="K115" s="835">
        <v>48690.44</v>
      </c>
      <c r="L115" s="835">
        <v>146.12</v>
      </c>
      <c r="M115" s="835">
        <v>314291.56</v>
      </c>
      <c r="N115" s="835">
        <v>37029.07</v>
      </c>
      <c r="O115" s="835">
        <v>0</v>
      </c>
      <c r="P115" s="835">
        <v>0</v>
      </c>
      <c r="Q115" s="835">
        <v>41781.449999999997</v>
      </c>
      <c r="R115" s="835">
        <v>-1.73</v>
      </c>
      <c r="S115" s="835">
        <v>78808.789999999994</v>
      </c>
    </row>
    <row r="116" spans="1:19">
      <c r="A116" s="1095" t="s">
        <v>177</v>
      </c>
      <c r="B116" s="837" t="s">
        <v>178</v>
      </c>
      <c r="C116" s="838">
        <f t="shared" si="6"/>
        <v>1162489.71</v>
      </c>
      <c r="D116" s="839">
        <f t="shared" si="7"/>
        <v>788325.28</v>
      </c>
      <c r="E116" s="840">
        <f t="shared" si="8"/>
        <v>360170.71</v>
      </c>
      <c r="F116" s="838">
        <f t="shared" si="9"/>
        <v>357839.02</v>
      </c>
      <c r="G116" s="840">
        <f t="shared" si="9"/>
        <v>2331.69</v>
      </c>
      <c r="H116" s="841">
        <v>1162489.71</v>
      </c>
      <c r="I116" s="835">
        <v>0</v>
      </c>
      <c r="J116" s="835">
        <v>788325.28</v>
      </c>
      <c r="K116" s="835">
        <v>357839.02</v>
      </c>
      <c r="L116" s="835">
        <v>2331.69</v>
      </c>
      <c r="M116" s="835">
        <v>2310985.7000000002</v>
      </c>
      <c r="N116" s="830"/>
      <c r="O116" s="830"/>
      <c r="P116" s="830"/>
      <c r="Q116" s="830"/>
      <c r="R116" s="830"/>
      <c r="S116" s="830"/>
    </row>
    <row r="117" spans="1:19">
      <c r="A117" s="1095" t="s">
        <v>181</v>
      </c>
      <c r="B117" s="837" t="s">
        <v>182</v>
      </c>
      <c r="C117" s="838">
        <f t="shared" si="6"/>
        <v>3330460.39</v>
      </c>
      <c r="D117" s="839">
        <f t="shared" si="7"/>
        <v>1864992.36</v>
      </c>
      <c r="E117" s="840">
        <f t="shared" si="8"/>
        <v>1558220.97</v>
      </c>
      <c r="F117" s="838">
        <f t="shared" si="9"/>
        <v>1513387.32</v>
      </c>
      <c r="G117" s="840">
        <f t="shared" si="9"/>
        <v>44833.65</v>
      </c>
      <c r="H117" s="841">
        <v>2737080.14</v>
      </c>
      <c r="I117" s="835">
        <v>0</v>
      </c>
      <c r="J117" s="835">
        <v>1864992.36</v>
      </c>
      <c r="K117" s="835">
        <v>844164.64</v>
      </c>
      <c r="L117" s="835">
        <v>24201.99</v>
      </c>
      <c r="M117" s="835">
        <v>5470439.1299999999</v>
      </c>
      <c r="N117" s="835">
        <v>593380.25</v>
      </c>
      <c r="O117" s="835">
        <v>0</v>
      </c>
      <c r="P117" s="835">
        <v>0</v>
      </c>
      <c r="Q117" s="835">
        <v>669222.68000000005</v>
      </c>
      <c r="R117" s="835">
        <v>20631.66</v>
      </c>
      <c r="S117" s="835">
        <v>1283234.5900000001</v>
      </c>
    </row>
    <row r="118" spans="1:19">
      <c r="A118" s="1095" t="s">
        <v>193</v>
      </c>
      <c r="B118" s="837" t="s">
        <v>194</v>
      </c>
      <c r="C118" s="838">
        <f t="shared" si="6"/>
        <v>200661.1</v>
      </c>
      <c r="D118" s="839">
        <f t="shared" si="7"/>
        <v>106092.92</v>
      </c>
      <c r="E118" s="840">
        <f t="shared" si="8"/>
        <v>109995.44</v>
      </c>
      <c r="F118" s="838">
        <f t="shared" si="9"/>
        <v>99804.7</v>
      </c>
      <c r="G118" s="840">
        <f t="shared" si="9"/>
        <v>10190.74</v>
      </c>
      <c r="H118" s="841">
        <v>154697.54</v>
      </c>
      <c r="I118" s="835">
        <v>0</v>
      </c>
      <c r="J118" s="835">
        <v>106092.92</v>
      </c>
      <c r="K118" s="835">
        <v>47835.839999999997</v>
      </c>
      <c r="L118" s="835">
        <v>10155.280000000001</v>
      </c>
      <c r="M118" s="835">
        <v>318781.58</v>
      </c>
      <c r="N118" s="835">
        <v>45963.56</v>
      </c>
      <c r="O118" s="835">
        <v>0</v>
      </c>
      <c r="P118" s="835">
        <v>0</v>
      </c>
      <c r="Q118" s="835">
        <v>51968.86</v>
      </c>
      <c r="R118" s="835">
        <v>35.46</v>
      </c>
      <c r="S118" s="835">
        <v>97967.88</v>
      </c>
    </row>
    <row r="119" spans="1:19">
      <c r="A119" s="1095" t="s">
        <v>197</v>
      </c>
      <c r="B119" s="837" t="s">
        <v>391</v>
      </c>
      <c r="C119" s="838">
        <f t="shared" si="6"/>
        <v>5576589.4100000001</v>
      </c>
      <c r="D119" s="839">
        <f t="shared" si="7"/>
        <v>3590388.4</v>
      </c>
      <c r="E119" s="840">
        <f t="shared" si="8"/>
        <v>1948440.1500000001</v>
      </c>
      <c r="F119" s="838">
        <f t="shared" si="9"/>
        <v>1948457.29</v>
      </c>
      <c r="G119" s="840">
        <f t="shared" si="9"/>
        <v>-17.14</v>
      </c>
      <c r="H119" s="841">
        <v>5292353.4800000004</v>
      </c>
      <c r="I119" s="835">
        <v>0</v>
      </c>
      <c r="J119" s="835">
        <v>3590388.4</v>
      </c>
      <c r="K119" s="835">
        <v>1629375.77</v>
      </c>
      <c r="L119" s="835">
        <v>-14.42</v>
      </c>
      <c r="M119" s="835">
        <v>10512103.23</v>
      </c>
      <c r="N119" s="835">
        <v>284235.93</v>
      </c>
      <c r="O119" s="835">
        <v>0</v>
      </c>
      <c r="P119" s="835">
        <v>0</v>
      </c>
      <c r="Q119" s="835">
        <v>319081.52</v>
      </c>
      <c r="R119" s="835">
        <v>-2.72</v>
      </c>
      <c r="S119" s="835">
        <v>603314.73</v>
      </c>
    </row>
    <row r="120" spans="1:19">
      <c r="A120" s="1095" t="s">
        <v>201</v>
      </c>
      <c r="B120" s="837" t="s">
        <v>392</v>
      </c>
      <c r="C120" s="838">
        <f t="shared" si="6"/>
        <v>2541149.9699999997</v>
      </c>
      <c r="D120" s="839">
        <f t="shared" si="7"/>
        <v>1377026.6</v>
      </c>
      <c r="E120" s="840">
        <f t="shared" si="8"/>
        <v>1219751.8799999999</v>
      </c>
      <c r="F120" s="838">
        <f t="shared" si="9"/>
        <v>1219570.0299999998</v>
      </c>
      <c r="G120" s="840">
        <f t="shared" si="9"/>
        <v>181.85000000000002</v>
      </c>
      <c r="H120" s="841">
        <v>2010772.69</v>
      </c>
      <c r="I120" s="835">
        <v>0</v>
      </c>
      <c r="J120" s="835">
        <v>1377026.6</v>
      </c>
      <c r="K120" s="835">
        <v>621429.06999999995</v>
      </c>
      <c r="L120" s="835">
        <v>186.33</v>
      </c>
      <c r="M120" s="835">
        <v>4009414.69</v>
      </c>
      <c r="N120" s="835">
        <v>530377.28</v>
      </c>
      <c r="O120" s="835">
        <v>0</v>
      </c>
      <c r="P120" s="835">
        <v>0</v>
      </c>
      <c r="Q120" s="835">
        <v>598140.96</v>
      </c>
      <c r="R120" s="835">
        <v>-4.4800000000000004</v>
      </c>
      <c r="S120" s="835">
        <v>1128513.76</v>
      </c>
    </row>
    <row r="121" spans="1:19">
      <c r="A121" s="1095" t="s">
        <v>223</v>
      </c>
      <c r="B121" s="837" t="s">
        <v>224</v>
      </c>
      <c r="C121" s="838">
        <f t="shared" si="6"/>
        <v>2007037.76</v>
      </c>
      <c r="D121" s="839">
        <f t="shared" si="7"/>
        <v>934048.89</v>
      </c>
      <c r="E121" s="840">
        <f t="shared" si="8"/>
        <v>1153222.5900000001</v>
      </c>
      <c r="F121" s="838">
        <f t="shared" si="9"/>
        <v>1153232.6400000001</v>
      </c>
      <c r="G121" s="840">
        <f t="shared" si="9"/>
        <v>-10.050000000000001</v>
      </c>
      <c r="H121" s="841">
        <v>1358922.23</v>
      </c>
      <c r="I121" s="835">
        <v>0</v>
      </c>
      <c r="J121" s="835">
        <v>934048.89</v>
      </c>
      <c r="K121" s="835">
        <v>420603.01</v>
      </c>
      <c r="L121" s="835">
        <v>-7.13</v>
      </c>
      <c r="M121" s="835">
        <v>2713567</v>
      </c>
      <c r="N121" s="835">
        <v>648115.53</v>
      </c>
      <c r="O121" s="835">
        <v>0</v>
      </c>
      <c r="P121" s="835">
        <v>0</v>
      </c>
      <c r="Q121" s="835">
        <v>732629.63</v>
      </c>
      <c r="R121" s="835">
        <v>-2.92</v>
      </c>
      <c r="S121" s="835">
        <v>1380742.24</v>
      </c>
    </row>
    <row r="122" spans="1:19">
      <c r="A122" s="1095" t="s">
        <v>231</v>
      </c>
      <c r="B122" s="837" t="s">
        <v>232</v>
      </c>
      <c r="C122" s="838">
        <f t="shared" si="6"/>
        <v>4829137.33</v>
      </c>
      <c r="D122" s="839">
        <f t="shared" si="7"/>
        <v>2437151.25</v>
      </c>
      <c r="E122" s="840">
        <f t="shared" si="8"/>
        <v>2545887.6199999996</v>
      </c>
      <c r="F122" s="838">
        <f t="shared" si="9"/>
        <v>2545388.7999999998</v>
      </c>
      <c r="G122" s="840">
        <f t="shared" si="9"/>
        <v>498.82</v>
      </c>
      <c r="H122" s="841">
        <v>3544893.66</v>
      </c>
      <c r="I122" s="835">
        <v>0</v>
      </c>
      <c r="J122" s="835">
        <v>2437151.25</v>
      </c>
      <c r="K122" s="835">
        <v>1097296.79</v>
      </c>
      <c r="L122" s="835">
        <v>251.16</v>
      </c>
      <c r="M122" s="835">
        <v>7079592.8600000003</v>
      </c>
      <c r="N122" s="835">
        <v>1284243.67</v>
      </c>
      <c r="O122" s="835">
        <v>0</v>
      </c>
      <c r="P122" s="835">
        <v>0</v>
      </c>
      <c r="Q122" s="835">
        <v>1448092.01</v>
      </c>
      <c r="R122" s="835">
        <v>247.66</v>
      </c>
      <c r="S122" s="835">
        <v>2732583.34</v>
      </c>
    </row>
    <row r="123" spans="1:19">
      <c r="A123" s="1095" t="s">
        <v>239</v>
      </c>
      <c r="B123" s="837" t="s">
        <v>240</v>
      </c>
      <c r="C123" s="838">
        <f t="shared" si="6"/>
        <v>155474.76</v>
      </c>
      <c r="D123" s="839">
        <f t="shared" si="7"/>
        <v>82390.78</v>
      </c>
      <c r="E123" s="840">
        <f t="shared" si="8"/>
        <v>94719.39</v>
      </c>
      <c r="F123" s="838">
        <f t="shared" si="9"/>
        <v>75636.36</v>
      </c>
      <c r="G123" s="840">
        <f t="shared" si="9"/>
        <v>19083.030000000002</v>
      </c>
      <c r="H123" s="841">
        <v>121244.89</v>
      </c>
      <c r="I123" s="835">
        <v>0</v>
      </c>
      <c r="J123" s="835">
        <v>82390.78</v>
      </c>
      <c r="K123" s="835">
        <v>37352.639999999999</v>
      </c>
      <c r="L123" s="835">
        <v>-3.21</v>
      </c>
      <c r="M123" s="835">
        <v>240985.1</v>
      </c>
      <c r="N123" s="835">
        <v>34229.870000000003</v>
      </c>
      <c r="O123" s="835">
        <v>0</v>
      </c>
      <c r="P123" s="835">
        <v>0</v>
      </c>
      <c r="Q123" s="835">
        <v>38283.72</v>
      </c>
      <c r="R123" s="835">
        <v>19086.240000000002</v>
      </c>
      <c r="S123" s="835">
        <v>91599.83</v>
      </c>
    </row>
    <row r="124" spans="1:19">
      <c r="A124" s="1095" t="s">
        <v>241</v>
      </c>
      <c r="B124" s="837" t="s">
        <v>242</v>
      </c>
      <c r="C124" s="838">
        <f t="shared" si="6"/>
        <v>553713.89999999991</v>
      </c>
      <c r="D124" s="839">
        <f t="shared" si="7"/>
        <v>264510.28000000003</v>
      </c>
      <c r="E124" s="840">
        <f t="shared" si="8"/>
        <v>312959.01</v>
      </c>
      <c r="F124" s="838">
        <f t="shared" si="9"/>
        <v>311198.58</v>
      </c>
      <c r="G124" s="840">
        <f t="shared" si="9"/>
        <v>1760.4299999999998</v>
      </c>
      <c r="H124" s="841">
        <v>383392.6</v>
      </c>
      <c r="I124" s="835">
        <v>0</v>
      </c>
      <c r="J124" s="835">
        <v>264510.28000000003</v>
      </c>
      <c r="K124" s="835">
        <v>118842.98</v>
      </c>
      <c r="L124" s="835">
        <v>1524.85</v>
      </c>
      <c r="M124" s="835">
        <v>768270.71</v>
      </c>
      <c r="N124" s="835">
        <v>170321.3</v>
      </c>
      <c r="O124" s="835">
        <v>0</v>
      </c>
      <c r="P124" s="835">
        <v>0</v>
      </c>
      <c r="Q124" s="835">
        <v>192355.6</v>
      </c>
      <c r="R124" s="835">
        <v>235.58</v>
      </c>
      <c r="S124" s="835">
        <v>362912.48</v>
      </c>
    </row>
    <row r="126" spans="1:19" s="538" customFormat="1">
      <c r="A126" s="538" t="s">
        <v>1026</v>
      </c>
      <c r="B126" s="836"/>
      <c r="C126" s="540"/>
    </row>
    <row r="127" spans="1:19" s="538" customFormat="1"/>
    <row r="128" spans="1:19" s="519" customFormat="1">
      <c r="A128" s="519" t="s">
        <v>250</v>
      </c>
    </row>
    <row r="129" spans="1:2" s="519" customFormat="1"/>
    <row r="130" spans="1:2">
      <c r="A130" s="536" t="s">
        <v>251</v>
      </c>
      <c r="B130" s="407" t="s">
        <v>252</v>
      </c>
    </row>
  </sheetData>
  <hyperlinks>
    <hyperlink ref="B130" r:id="rId1"/>
  </hyperlinks>
  <pageMargins left="0.7" right="0.7" top="0.75" bottom="0.75" header="0.3" footer="0.3"/>
  <pageSetup orientation="portrait" r:id="rId2"/>
</worksheet>
</file>

<file path=xl/worksheets/sheet24.xml><?xml version="1.0" encoding="utf-8"?>
<worksheet xmlns="http://schemas.openxmlformats.org/spreadsheetml/2006/main" xmlns:r="http://schemas.openxmlformats.org/officeDocument/2006/relationships">
  <dimension ref="A1:S129"/>
  <sheetViews>
    <sheetView workbookViewId="0">
      <pane ySplit="4" topLeftCell="A97" activePane="bottomLeft" state="frozen"/>
      <selection pane="bottomLeft" activeCell="B12" sqref="B12"/>
    </sheetView>
  </sheetViews>
  <sheetFormatPr defaultRowHeight="12.75"/>
  <cols>
    <col min="1" max="1" width="9" style="654"/>
    <col min="2" max="2" width="26.125" style="654" customWidth="1"/>
    <col min="3" max="3" width="12.375" style="654" bestFit="1" customWidth="1"/>
    <col min="4" max="4" width="11.375" style="654" bestFit="1" customWidth="1"/>
    <col min="5" max="5" width="12.375" style="654" bestFit="1" customWidth="1"/>
    <col min="6" max="7" width="12.5" style="654" bestFit="1" customWidth="1"/>
    <col min="8" max="8" width="14.5" style="654" bestFit="1" customWidth="1"/>
    <col min="9" max="9" width="10.125" style="654" bestFit="1" customWidth="1"/>
    <col min="10" max="11" width="13.5" style="654" bestFit="1" customWidth="1"/>
    <col min="12" max="12" width="12.375" style="654" bestFit="1" customWidth="1"/>
    <col min="13" max="13" width="15.125" style="654" bestFit="1" customWidth="1"/>
    <col min="14" max="14" width="13.5" style="654" bestFit="1" customWidth="1"/>
    <col min="15" max="15" width="10.125" style="654" bestFit="1" customWidth="1"/>
    <col min="16" max="16" width="8.75" style="654" bestFit="1" customWidth="1"/>
    <col min="17" max="17" width="13.5" style="654" bestFit="1" customWidth="1"/>
    <col min="18" max="18" width="12.375" style="654" bestFit="1" customWidth="1"/>
    <col min="19" max="19" width="13.5" style="654" bestFit="1" customWidth="1"/>
    <col min="20" max="16384" width="9" style="654"/>
  </cols>
  <sheetData>
    <row r="1" spans="1:19" ht="15.75">
      <c r="A1" s="108" t="s">
        <v>1030</v>
      </c>
      <c r="E1" s="831"/>
      <c r="F1" s="831"/>
      <c r="G1" s="831"/>
    </row>
    <row r="2" spans="1:19" ht="15.75">
      <c r="A2" s="108"/>
      <c r="E2" s="831"/>
      <c r="F2" s="831"/>
      <c r="G2" s="831"/>
    </row>
    <row r="3" spans="1:19" ht="25.5">
      <c r="A3" s="1105" t="s">
        <v>372</v>
      </c>
      <c r="B3" s="855" t="s">
        <v>373</v>
      </c>
      <c r="C3" s="869" t="s">
        <v>393</v>
      </c>
      <c r="D3" s="870" t="s">
        <v>394</v>
      </c>
      <c r="E3" s="871" t="s">
        <v>556</v>
      </c>
      <c r="F3" s="866" t="s">
        <v>395</v>
      </c>
      <c r="G3" s="860" t="s">
        <v>595</v>
      </c>
      <c r="H3" s="858" t="s">
        <v>406</v>
      </c>
      <c r="I3" s="848" t="s">
        <v>407</v>
      </c>
      <c r="J3" s="848" t="s">
        <v>408</v>
      </c>
      <c r="K3" s="848" t="s">
        <v>409</v>
      </c>
      <c r="L3" s="848" t="s">
        <v>410</v>
      </c>
      <c r="M3" s="848" t="s">
        <v>411</v>
      </c>
      <c r="N3" s="848" t="s">
        <v>412</v>
      </c>
      <c r="O3" s="848" t="s">
        <v>413</v>
      </c>
      <c r="P3" s="848" t="s">
        <v>414</v>
      </c>
      <c r="Q3" s="848" t="s">
        <v>415</v>
      </c>
      <c r="R3" s="848" t="s">
        <v>416</v>
      </c>
      <c r="S3" s="848" t="s">
        <v>417</v>
      </c>
    </row>
    <row r="4" spans="1:19">
      <c r="A4" s="1106" t="s">
        <v>8</v>
      </c>
      <c r="B4" s="856" t="s">
        <v>9</v>
      </c>
      <c r="C4" s="872">
        <f t="shared" ref="C4:S4" si="0">SUM(C5:C124)</f>
        <v>123867032.09000003</v>
      </c>
      <c r="D4" s="861">
        <f t="shared" si="0"/>
        <v>47266312.329999998</v>
      </c>
      <c r="E4" s="862">
        <f t="shared" si="0"/>
        <v>125442050.48000003</v>
      </c>
      <c r="F4" s="867">
        <f t="shared" si="0"/>
        <v>116384058.60000001</v>
      </c>
      <c r="G4" s="862">
        <f t="shared" si="0"/>
        <v>9057991.8799999952</v>
      </c>
      <c r="H4" s="846">
        <f t="shared" si="0"/>
        <v>113046420.49000002</v>
      </c>
      <c r="I4" s="846">
        <f t="shared" si="0"/>
        <v>0</v>
      </c>
      <c r="J4" s="846">
        <f t="shared" si="0"/>
        <v>47266312.329999998</v>
      </c>
      <c r="K4" s="846">
        <f t="shared" si="0"/>
        <v>29406106.660000015</v>
      </c>
      <c r="L4" s="846">
        <f t="shared" si="0"/>
        <v>7328314.4800000014</v>
      </c>
      <c r="M4" s="846">
        <f t="shared" si="0"/>
        <v>197047153.96000004</v>
      </c>
      <c r="N4" s="846">
        <f t="shared" si="0"/>
        <v>10820611.600000001</v>
      </c>
      <c r="O4" s="846">
        <f t="shared" si="0"/>
        <v>0</v>
      </c>
      <c r="P4" s="846">
        <f t="shared" si="0"/>
        <v>0</v>
      </c>
      <c r="Q4" s="846">
        <f t="shared" si="0"/>
        <v>86977951.940000027</v>
      </c>
      <c r="R4" s="846">
        <f t="shared" si="0"/>
        <v>1729677.4000000001</v>
      </c>
      <c r="S4" s="846">
        <f t="shared" si="0"/>
        <v>99528240.940000027</v>
      </c>
    </row>
    <row r="5" spans="1:19">
      <c r="A5" s="1107" t="s">
        <v>10</v>
      </c>
      <c r="B5" s="857" t="s">
        <v>11</v>
      </c>
      <c r="C5" s="863">
        <f>+H5+I5+N5+O5</f>
        <v>762933.69</v>
      </c>
      <c r="D5" s="864">
        <f>+J5+P5</f>
        <v>315771.40000000002</v>
      </c>
      <c r="E5" s="865">
        <f>+F5+G5</f>
        <v>212177.13</v>
      </c>
      <c r="F5" s="868">
        <f>+K5+Q5</f>
        <v>197864.48</v>
      </c>
      <c r="G5" s="865">
        <f>+L5+R5</f>
        <v>14312.65</v>
      </c>
      <c r="H5" s="859">
        <v>762933.69</v>
      </c>
      <c r="I5" s="843">
        <v>0</v>
      </c>
      <c r="J5" s="843">
        <v>315771.40000000002</v>
      </c>
      <c r="K5" s="843">
        <v>197864.48</v>
      </c>
      <c r="L5" s="843">
        <v>14312.65</v>
      </c>
      <c r="M5" s="843">
        <v>1290882.22</v>
      </c>
      <c r="N5" s="842"/>
      <c r="O5" s="842"/>
      <c r="P5" s="842"/>
      <c r="Q5" s="842"/>
      <c r="R5" s="842"/>
      <c r="S5" s="842"/>
    </row>
    <row r="6" spans="1:19">
      <c r="A6" s="1107" t="s">
        <v>12</v>
      </c>
      <c r="B6" s="857" t="s">
        <v>13</v>
      </c>
      <c r="C6" s="863">
        <f t="shared" ref="C6:C69" si="1">+H6+I6+N6+O6</f>
        <v>1384233.3800000001</v>
      </c>
      <c r="D6" s="864">
        <f t="shared" ref="D6:D69" si="2">+J6+P6</f>
        <v>425201.31</v>
      </c>
      <c r="E6" s="865">
        <f t="shared" ref="E6:E69" si="3">+F6+G6</f>
        <v>3856769.51</v>
      </c>
      <c r="F6" s="868">
        <f t="shared" ref="F6:G69" si="4">+K6+Q6</f>
        <v>3331664.52</v>
      </c>
      <c r="G6" s="865">
        <f t="shared" si="4"/>
        <v>525104.99</v>
      </c>
      <c r="H6" s="859">
        <v>996944.29</v>
      </c>
      <c r="I6" s="843">
        <v>0</v>
      </c>
      <c r="J6" s="843">
        <v>425201.31</v>
      </c>
      <c r="K6" s="843">
        <v>260865.28</v>
      </c>
      <c r="L6" s="843">
        <v>5170.59</v>
      </c>
      <c r="M6" s="843">
        <v>1688181.47</v>
      </c>
      <c r="N6" s="843">
        <v>387289.09</v>
      </c>
      <c r="O6" s="843">
        <v>0</v>
      </c>
      <c r="P6" s="843">
        <v>0</v>
      </c>
      <c r="Q6" s="843">
        <v>3070799.24</v>
      </c>
      <c r="R6" s="843">
        <v>519934.4</v>
      </c>
      <c r="S6" s="843">
        <v>3978022.73</v>
      </c>
    </row>
    <row r="7" spans="1:19">
      <c r="A7" s="1107" t="s">
        <v>16</v>
      </c>
      <c r="B7" s="857" t="s">
        <v>364</v>
      </c>
      <c r="C7" s="863">
        <f t="shared" si="1"/>
        <v>436014.55</v>
      </c>
      <c r="D7" s="864">
        <f t="shared" si="2"/>
        <v>180056.37</v>
      </c>
      <c r="E7" s="865">
        <f t="shared" si="3"/>
        <v>132118.03</v>
      </c>
      <c r="F7" s="868">
        <f t="shared" si="4"/>
        <v>130711.14</v>
      </c>
      <c r="G7" s="865">
        <f t="shared" si="4"/>
        <v>1406.89</v>
      </c>
      <c r="H7" s="859">
        <v>433842.43</v>
      </c>
      <c r="I7" s="843">
        <v>0</v>
      </c>
      <c r="J7" s="843">
        <v>180056.37</v>
      </c>
      <c r="K7" s="843">
        <v>112606.44</v>
      </c>
      <c r="L7" s="843">
        <v>1407.13</v>
      </c>
      <c r="M7" s="843">
        <v>727912.37</v>
      </c>
      <c r="N7" s="843">
        <v>2172.12</v>
      </c>
      <c r="O7" s="843">
        <v>0</v>
      </c>
      <c r="P7" s="843">
        <v>0</v>
      </c>
      <c r="Q7" s="843">
        <v>18104.7</v>
      </c>
      <c r="R7" s="843">
        <v>-0.24</v>
      </c>
      <c r="S7" s="843">
        <v>20276.580000000002</v>
      </c>
    </row>
    <row r="8" spans="1:19">
      <c r="A8" s="1107" t="s">
        <v>18</v>
      </c>
      <c r="B8" s="857" t="s">
        <v>19</v>
      </c>
      <c r="C8" s="863">
        <f t="shared" si="1"/>
        <v>223112.47</v>
      </c>
      <c r="D8" s="864">
        <f t="shared" si="2"/>
        <v>91075.6</v>
      </c>
      <c r="E8" s="865">
        <f t="shared" si="3"/>
        <v>90736.66</v>
      </c>
      <c r="F8" s="868">
        <f t="shared" si="4"/>
        <v>90662.45</v>
      </c>
      <c r="G8" s="865">
        <f t="shared" si="4"/>
        <v>74.210000000000008</v>
      </c>
      <c r="H8" s="859">
        <v>219000.34</v>
      </c>
      <c r="I8" s="843">
        <v>0</v>
      </c>
      <c r="J8" s="843">
        <v>91075.6</v>
      </c>
      <c r="K8" s="843">
        <v>56874.42</v>
      </c>
      <c r="L8" s="843">
        <v>11.01</v>
      </c>
      <c r="M8" s="843">
        <v>366961.37</v>
      </c>
      <c r="N8" s="843">
        <v>4112.13</v>
      </c>
      <c r="O8" s="843">
        <v>0</v>
      </c>
      <c r="P8" s="843">
        <v>0</v>
      </c>
      <c r="Q8" s="843">
        <v>33788.03</v>
      </c>
      <c r="R8" s="843">
        <v>63.2</v>
      </c>
      <c r="S8" s="843">
        <v>37963.360000000001</v>
      </c>
    </row>
    <row r="9" spans="1:19">
      <c r="A9" s="1107" t="s">
        <v>20</v>
      </c>
      <c r="B9" s="857" t="s">
        <v>21</v>
      </c>
      <c r="C9" s="863">
        <f t="shared" si="1"/>
        <v>388968.76</v>
      </c>
      <c r="D9" s="864">
        <f t="shared" si="2"/>
        <v>160905.97</v>
      </c>
      <c r="E9" s="865">
        <f t="shared" si="3"/>
        <v>141816.64000000001</v>
      </c>
      <c r="F9" s="868">
        <f t="shared" si="4"/>
        <v>100859.84</v>
      </c>
      <c r="G9" s="865">
        <f t="shared" si="4"/>
        <v>40956.800000000003</v>
      </c>
      <c r="H9" s="859">
        <v>388968.76</v>
      </c>
      <c r="I9" s="843">
        <v>0</v>
      </c>
      <c r="J9" s="843">
        <v>160905.97</v>
      </c>
      <c r="K9" s="843">
        <v>100859.84</v>
      </c>
      <c r="L9" s="843">
        <v>40956.800000000003</v>
      </c>
      <c r="M9" s="843">
        <v>691691.37</v>
      </c>
      <c r="N9" s="842"/>
      <c r="O9" s="842"/>
      <c r="P9" s="842"/>
      <c r="Q9" s="842"/>
      <c r="R9" s="842"/>
      <c r="S9" s="842"/>
    </row>
    <row r="10" spans="1:19">
      <c r="A10" s="1107" t="s">
        <v>22</v>
      </c>
      <c r="B10" s="857" t="s">
        <v>23</v>
      </c>
      <c r="C10" s="863">
        <f t="shared" si="1"/>
        <v>297878.09000000003</v>
      </c>
      <c r="D10" s="864">
        <f t="shared" si="2"/>
        <v>120930.62</v>
      </c>
      <c r="E10" s="865">
        <f t="shared" si="3"/>
        <v>134275.89000000001</v>
      </c>
      <c r="F10" s="868">
        <f t="shared" si="4"/>
        <v>132487.5</v>
      </c>
      <c r="G10" s="865">
        <f t="shared" si="4"/>
        <v>1788.3899999999999</v>
      </c>
      <c r="H10" s="859">
        <v>291049.19</v>
      </c>
      <c r="I10" s="843">
        <v>0</v>
      </c>
      <c r="J10" s="843">
        <v>120930.62</v>
      </c>
      <c r="K10" s="843">
        <v>75566.600000000006</v>
      </c>
      <c r="L10" s="843">
        <v>1789.09</v>
      </c>
      <c r="M10" s="843">
        <v>489335.5</v>
      </c>
      <c r="N10" s="843">
        <v>6828.9</v>
      </c>
      <c r="O10" s="843">
        <v>0</v>
      </c>
      <c r="P10" s="843">
        <v>0</v>
      </c>
      <c r="Q10" s="843">
        <v>56920.9</v>
      </c>
      <c r="R10" s="843">
        <v>-0.7</v>
      </c>
      <c r="S10" s="843">
        <v>63749.1</v>
      </c>
    </row>
    <row r="11" spans="1:19">
      <c r="A11" s="1107" t="s">
        <v>24</v>
      </c>
      <c r="B11" s="857" t="s">
        <v>25</v>
      </c>
      <c r="C11" s="863">
        <f t="shared" si="1"/>
        <v>3173988.58</v>
      </c>
      <c r="D11" s="864">
        <f t="shared" si="2"/>
        <v>1133189.6499999999</v>
      </c>
      <c r="E11" s="865">
        <f t="shared" si="3"/>
        <v>4580960.42</v>
      </c>
      <c r="F11" s="868">
        <f t="shared" si="4"/>
        <v>4580987.03</v>
      </c>
      <c r="G11" s="865">
        <f t="shared" si="4"/>
        <v>-26.61</v>
      </c>
      <c r="H11" s="859">
        <v>2692384.3</v>
      </c>
      <c r="I11" s="843">
        <v>0</v>
      </c>
      <c r="J11" s="843">
        <v>1133189.6499999999</v>
      </c>
      <c r="K11" s="843">
        <v>701730.01</v>
      </c>
      <c r="L11" s="843">
        <v>-13.96</v>
      </c>
      <c r="M11" s="843">
        <v>4527290</v>
      </c>
      <c r="N11" s="843">
        <v>481604.28</v>
      </c>
      <c r="O11" s="843">
        <v>0</v>
      </c>
      <c r="P11" s="843">
        <v>0</v>
      </c>
      <c r="Q11" s="843">
        <v>3879257.02</v>
      </c>
      <c r="R11" s="843">
        <v>-12.65</v>
      </c>
      <c r="S11" s="843">
        <v>4360848.6500000004</v>
      </c>
    </row>
    <row r="12" spans="1:19">
      <c r="A12" s="1107" t="s">
        <v>26</v>
      </c>
      <c r="B12" s="857" t="s">
        <v>1114</v>
      </c>
      <c r="C12" s="863">
        <f t="shared" si="1"/>
        <v>1855322.0599999998</v>
      </c>
      <c r="D12" s="864">
        <f t="shared" si="2"/>
        <v>758897.61</v>
      </c>
      <c r="E12" s="865">
        <f t="shared" si="3"/>
        <v>1089251.77</v>
      </c>
      <c r="F12" s="868">
        <f t="shared" si="4"/>
        <v>693289.86</v>
      </c>
      <c r="G12" s="865">
        <f t="shared" si="4"/>
        <v>395961.91</v>
      </c>
      <c r="H12" s="859">
        <v>1828923.89</v>
      </c>
      <c r="I12" s="843">
        <v>0</v>
      </c>
      <c r="J12" s="843">
        <v>758897.61</v>
      </c>
      <c r="K12" s="843">
        <v>474685.03</v>
      </c>
      <c r="L12" s="843">
        <v>395911.55</v>
      </c>
      <c r="M12" s="843">
        <v>3458418.08</v>
      </c>
      <c r="N12" s="843">
        <v>26398.17</v>
      </c>
      <c r="O12" s="843">
        <v>0</v>
      </c>
      <c r="P12" s="843">
        <v>0</v>
      </c>
      <c r="Q12" s="843">
        <v>218604.83</v>
      </c>
      <c r="R12" s="843">
        <v>50.36</v>
      </c>
      <c r="S12" s="843">
        <v>245053.36</v>
      </c>
    </row>
    <row r="13" spans="1:19">
      <c r="A13" s="1107" t="s">
        <v>27</v>
      </c>
      <c r="B13" s="857" t="s">
        <v>28</v>
      </c>
      <c r="C13" s="863">
        <f t="shared" si="1"/>
        <v>95728.91</v>
      </c>
      <c r="D13" s="864">
        <f t="shared" si="2"/>
        <v>37382.339999999997</v>
      </c>
      <c r="E13" s="865">
        <f t="shared" si="3"/>
        <v>81215.960000000006</v>
      </c>
      <c r="F13" s="868">
        <f t="shared" si="4"/>
        <v>78680.08</v>
      </c>
      <c r="G13" s="865">
        <f t="shared" si="4"/>
        <v>2535.88</v>
      </c>
      <c r="H13" s="859">
        <v>88981.69</v>
      </c>
      <c r="I13" s="843">
        <v>0</v>
      </c>
      <c r="J13" s="843">
        <v>37382.339999999997</v>
      </c>
      <c r="K13" s="843">
        <v>23176.73</v>
      </c>
      <c r="L13" s="843">
        <v>2537.8200000000002</v>
      </c>
      <c r="M13" s="843">
        <v>152078.57999999999</v>
      </c>
      <c r="N13" s="843">
        <v>6747.22</v>
      </c>
      <c r="O13" s="843">
        <v>0</v>
      </c>
      <c r="P13" s="843">
        <v>0</v>
      </c>
      <c r="Q13" s="843">
        <v>55503.35</v>
      </c>
      <c r="R13" s="843">
        <v>-1.94</v>
      </c>
      <c r="S13" s="843">
        <v>62248.63</v>
      </c>
    </row>
    <row r="14" spans="1:19">
      <c r="A14" s="1107" t="s">
        <v>29</v>
      </c>
      <c r="B14" s="857" t="s">
        <v>386</v>
      </c>
      <c r="C14" s="863">
        <f t="shared" si="1"/>
        <v>792823.46</v>
      </c>
      <c r="D14" s="864">
        <f t="shared" si="2"/>
        <v>271310.23</v>
      </c>
      <c r="E14" s="865">
        <f t="shared" si="3"/>
        <v>1445614.8099999998</v>
      </c>
      <c r="F14" s="868">
        <f t="shared" si="4"/>
        <v>1440450.6199999999</v>
      </c>
      <c r="G14" s="865">
        <f t="shared" si="4"/>
        <v>5164.1900000000005</v>
      </c>
      <c r="H14" s="859">
        <v>636564.02</v>
      </c>
      <c r="I14" s="843">
        <v>0</v>
      </c>
      <c r="J14" s="843">
        <v>271310.23</v>
      </c>
      <c r="K14" s="843">
        <v>166530.74</v>
      </c>
      <c r="L14" s="843">
        <v>3123.26</v>
      </c>
      <c r="M14" s="843">
        <v>1077528.25</v>
      </c>
      <c r="N14" s="843">
        <v>156259.44</v>
      </c>
      <c r="O14" s="843">
        <v>0</v>
      </c>
      <c r="P14" s="843">
        <v>0</v>
      </c>
      <c r="Q14" s="843">
        <v>1273919.8799999999</v>
      </c>
      <c r="R14" s="843">
        <v>2040.93</v>
      </c>
      <c r="S14" s="843">
        <v>1432220.25</v>
      </c>
    </row>
    <row r="15" spans="1:19">
      <c r="A15" s="1107" t="s">
        <v>31</v>
      </c>
      <c r="B15" s="857" t="s">
        <v>32</v>
      </c>
      <c r="C15" s="863">
        <f t="shared" si="1"/>
        <v>148805.40999999997</v>
      </c>
      <c r="D15" s="864">
        <f t="shared" si="2"/>
        <v>59722.28</v>
      </c>
      <c r="E15" s="865">
        <f t="shared" si="3"/>
        <v>72120.240000000005</v>
      </c>
      <c r="F15" s="868">
        <f t="shared" si="4"/>
        <v>71705.41</v>
      </c>
      <c r="G15" s="865">
        <f t="shared" si="4"/>
        <v>414.83000000000004</v>
      </c>
      <c r="H15" s="859">
        <v>144624.04999999999</v>
      </c>
      <c r="I15" s="843">
        <v>0</v>
      </c>
      <c r="J15" s="843">
        <v>59722.28</v>
      </c>
      <c r="K15" s="843">
        <v>37479.1</v>
      </c>
      <c r="L15" s="843">
        <v>415.41</v>
      </c>
      <c r="M15" s="843">
        <v>242240.84</v>
      </c>
      <c r="N15" s="843">
        <v>4181.3599999999997</v>
      </c>
      <c r="O15" s="843">
        <v>0</v>
      </c>
      <c r="P15" s="843">
        <v>0</v>
      </c>
      <c r="Q15" s="843">
        <v>34226.31</v>
      </c>
      <c r="R15" s="843">
        <v>-0.57999999999999996</v>
      </c>
      <c r="S15" s="843">
        <v>38407.089999999997</v>
      </c>
    </row>
    <row r="16" spans="1:19">
      <c r="A16" s="1107" t="s">
        <v>33</v>
      </c>
      <c r="B16" s="857" t="s">
        <v>34</v>
      </c>
      <c r="C16" s="863">
        <f t="shared" si="1"/>
        <v>250706.05000000002</v>
      </c>
      <c r="D16" s="864">
        <f t="shared" si="2"/>
        <v>102004.24</v>
      </c>
      <c r="E16" s="865">
        <f t="shared" si="3"/>
        <v>109400.86</v>
      </c>
      <c r="F16" s="868">
        <f t="shared" si="4"/>
        <v>105063.89</v>
      </c>
      <c r="G16" s="865">
        <f t="shared" si="4"/>
        <v>4336.9699999999993</v>
      </c>
      <c r="H16" s="859">
        <v>245539.51</v>
      </c>
      <c r="I16" s="843">
        <v>0</v>
      </c>
      <c r="J16" s="843">
        <v>102004.24</v>
      </c>
      <c r="K16" s="843">
        <v>63746.6</v>
      </c>
      <c r="L16" s="843">
        <v>4338.1499999999996</v>
      </c>
      <c r="M16" s="843">
        <v>415628.5</v>
      </c>
      <c r="N16" s="843">
        <v>5166.54</v>
      </c>
      <c r="O16" s="843">
        <v>0</v>
      </c>
      <c r="P16" s="843">
        <v>0</v>
      </c>
      <c r="Q16" s="843">
        <v>41317.29</v>
      </c>
      <c r="R16" s="843">
        <v>-1.18</v>
      </c>
      <c r="S16" s="843">
        <v>46482.65</v>
      </c>
    </row>
    <row r="17" spans="1:19">
      <c r="A17" s="1107" t="s">
        <v>37</v>
      </c>
      <c r="B17" s="857" t="s">
        <v>38</v>
      </c>
      <c r="C17" s="863">
        <f t="shared" si="1"/>
        <v>349184.77</v>
      </c>
      <c r="D17" s="864">
        <f t="shared" si="2"/>
        <v>144517.79</v>
      </c>
      <c r="E17" s="865">
        <f t="shared" si="3"/>
        <v>92236.160000000003</v>
      </c>
      <c r="F17" s="868">
        <f t="shared" si="4"/>
        <v>90557.61</v>
      </c>
      <c r="G17" s="865">
        <f t="shared" si="4"/>
        <v>1678.55</v>
      </c>
      <c r="H17" s="859">
        <v>349184.77</v>
      </c>
      <c r="I17" s="843">
        <v>0</v>
      </c>
      <c r="J17" s="843">
        <v>144517.79</v>
      </c>
      <c r="K17" s="843">
        <v>90557.61</v>
      </c>
      <c r="L17" s="843">
        <v>1678.55</v>
      </c>
      <c r="M17" s="843">
        <v>585938.72</v>
      </c>
      <c r="N17" s="842"/>
      <c r="O17" s="842"/>
      <c r="P17" s="842"/>
      <c r="Q17" s="842"/>
      <c r="R17" s="842"/>
      <c r="S17" s="842"/>
    </row>
    <row r="18" spans="1:19">
      <c r="A18" s="1107" t="s">
        <v>39</v>
      </c>
      <c r="B18" s="857" t="s">
        <v>40</v>
      </c>
      <c r="C18" s="863">
        <f t="shared" si="1"/>
        <v>932969.66</v>
      </c>
      <c r="D18" s="864">
        <f t="shared" si="2"/>
        <v>378919.3</v>
      </c>
      <c r="E18" s="865">
        <f t="shared" si="3"/>
        <v>439765.77</v>
      </c>
      <c r="F18" s="868">
        <f t="shared" si="4"/>
        <v>425825.39</v>
      </c>
      <c r="G18" s="865">
        <f t="shared" si="4"/>
        <v>13940.380000000001</v>
      </c>
      <c r="H18" s="859">
        <v>910251.85</v>
      </c>
      <c r="I18" s="843">
        <v>0</v>
      </c>
      <c r="J18" s="843">
        <v>378919.3</v>
      </c>
      <c r="K18" s="843">
        <v>236470.38</v>
      </c>
      <c r="L18" s="843">
        <v>14268.93</v>
      </c>
      <c r="M18" s="843">
        <v>1539910.46</v>
      </c>
      <c r="N18" s="843">
        <v>22717.81</v>
      </c>
      <c r="O18" s="843">
        <v>0</v>
      </c>
      <c r="P18" s="843">
        <v>0</v>
      </c>
      <c r="Q18" s="843">
        <v>189355.01</v>
      </c>
      <c r="R18" s="843">
        <v>-328.55</v>
      </c>
      <c r="S18" s="843">
        <v>211744.27</v>
      </c>
    </row>
    <row r="19" spans="1:19">
      <c r="A19" s="1107" t="s">
        <v>41</v>
      </c>
      <c r="B19" s="857" t="s">
        <v>42</v>
      </c>
      <c r="C19" s="863">
        <f t="shared" si="1"/>
        <v>274601.37</v>
      </c>
      <c r="D19" s="864">
        <f t="shared" si="2"/>
        <v>113410.1</v>
      </c>
      <c r="E19" s="865">
        <f t="shared" si="3"/>
        <v>105337.82999999999</v>
      </c>
      <c r="F19" s="868">
        <f t="shared" si="4"/>
        <v>78253.149999999994</v>
      </c>
      <c r="G19" s="865">
        <f t="shared" si="4"/>
        <v>27084.68</v>
      </c>
      <c r="H19" s="859">
        <v>273732.14</v>
      </c>
      <c r="I19" s="843">
        <v>0</v>
      </c>
      <c r="J19" s="843">
        <v>113410.1</v>
      </c>
      <c r="K19" s="843">
        <v>71009.87</v>
      </c>
      <c r="L19" s="843">
        <v>27085.25</v>
      </c>
      <c r="M19" s="843">
        <v>485237.36</v>
      </c>
      <c r="N19" s="843">
        <v>869.23</v>
      </c>
      <c r="O19" s="843">
        <v>0</v>
      </c>
      <c r="P19" s="843">
        <v>0</v>
      </c>
      <c r="Q19" s="843">
        <v>7243.28</v>
      </c>
      <c r="R19" s="843">
        <v>-0.56999999999999995</v>
      </c>
      <c r="S19" s="843">
        <v>8111.94</v>
      </c>
    </row>
    <row r="20" spans="1:19">
      <c r="A20" s="1107" t="s">
        <v>43</v>
      </c>
      <c r="B20" s="857" t="s">
        <v>44</v>
      </c>
      <c r="C20" s="863">
        <f t="shared" si="1"/>
        <v>1029658.77</v>
      </c>
      <c r="D20" s="864">
        <f t="shared" si="2"/>
        <v>422071.28</v>
      </c>
      <c r="E20" s="865">
        <f t="shared" si="3"/>
        <v>363579.32000000007</v>
      </c>
      <c r="F20" s="868">
        <f t="shared" si="4"/>
        <v>363597.79000000004</v>
      </c>
      <c r="G20" s="865">
        <f t="shared" si="4"/>
        <v>-18.470000000000002</v>
      </c>
      <c r="H20" s="859">
        <v>1017228.26</v>
      </c>
      <c r="I20" s="843">
        <v>0</v>
      </c>
      <c r="J20" s="843">
        <v>422071.28</v>
      </c>
      <c r="K20" s="843">
        <v>264009.59000000003</v>
      </c>
      <c r="L20" s="843">
        <v>-16.12</v>
      </c>
      <c r="M20" s="843">
        <v>1703293.01</v>
      </c>
      <c r="N20" s="843">
        <v>12430.51</v>
      </c>
      <c r="O20" s="843">
        <v>0</v>
      </c>
      <c r="P20" s="843">
        <v>0</v>
      </c>
      <c r="Q20" s="843">
        <v>99588.2</v>
      </c>
      <c r="R20" s="843">
        <v>-2.35</v>
      </c>
      <c r="S20" s="843">
        <v>112016.36</v>
      </c>
    </row>
    <row r="21" spans="1:19">
      <c r="A21" s="1107" t="s">
        <v>45</v>
      </c>
      <c r="B21" s="857" t="s">
        <v>46</v>
      </c>
      <c r="C21" s="863">
        <f t="shared" si="1"/>
        <v>337307.63</v>
      </c>
      <c r="D21" s="864">
        <f t="shared" si="2"/>
        <v>139259.70000000001</v>
      </c>
      <c r="E21" s="865">
        <f t="shared" si="3"/>
        <v>108281.65999999999</v>
      </c>
      <c r="F21" s="868">
        <f t="shared" si="4"/>
        <v>108284.29999999999</v>
      </c>
      <c r="G21" s="865">
        <f t="shared" si="4"/>
        <v>-2.64</v>
      </c>
      <c r="H21" s="859">
        <v>334747.63</v>
      </c>
      <c r="I21" s="843">
        <v>0</v>
      </c>
      <c r="J21" s="843">
        <v>139259.70000000001</v>
      </c>
      <c r="K21" s="843">
        <v>86945.95</v>
      </c>
      <c r="L21" s="843">
        <v>-2.46</v>
      </c>
      <c r="M21" s="843">
        <v>560950.81999999995</v>
      </c>
      <c r="N21" s="843">
        <v>2560</v>
      </c>
      <c r="O21" s="843">
        <v>0</v>
      </c>
      <c r="P21" s="843">
        <v>0</v>
      </c>
      <c r="Q21" s="843">
        <v>21338.35</v>
      </c>
      <c r="R21" s="843">
        <v>-0.18</v>
      </c>
      <c r="S21" s="843">
        <v>23898.17</v>
      </c>
    </row>
    <row r="22" spans="1:19">
      <c r="A22" s="1107" t="s">
        <v>47</v>
      </c>
      <c r="B22" s="857" t="s">
        <v>48</v>
      </c>
      <c r="C22" s="863">
        <f t="shared" si="1"/>
        <v>467147.88</v>
      </c>
      <c r="D22" s="864">
        <f t="shared" si="2"/>
        <v>191647.79</v>
      </c>
      <c r="E22" s="865">
        <f t="shared" si="3"/>
        <v>248534.37</v>
      </c>
      <c r="F22" s="868">
        <f t="shared" si="4"/>
        <v>158699.13</v>
      </c>
      <c r="G22" s="865">
        <f t="shared" si="4"/>
        <v>89835.239999999991</v>
      </c>
      <c r="H22" s="859">
        <v>462503.77</v>
      </c>
      <c r="I22" s="843">
        <v>0</v>
      </c>
      <c r="J22" s="843">
        <v>191647.79</v>
      </c>
      <c r="K22" s="843">
        <v>119988.79</v>
      </c>
      <c r="L22" s="843">
        <v>89835.51</v>
      </c>
      <c r="M22" s="843">
        <v>863975.86</v>
      </c>
      <c r="N22" s="843">
        <v>4644.1099999999997</v>
      </c>
      <c r="O22" s="843">
        <v>0</v>
      </c>
      <c r="P22" s="843">
        <v>0</v>
      </c>
      <c r="Q22" s="843">
        <v>38710.339999999997</v>
      </c>
      <c r="R22" s="843">
        <v>-0.27</v>
      </c>
      <c r="S22" s="843">
        <v>43354.18</v>
      </c>
    </row>
    <row r="23" spans="1:19">
      <c r="A23" s="1107" t="s">
        <v>49</v>
      </c>
      <c r="B23" s="857" t="s">
        <v>279</v>
      </c>
      <c r="C23" s="863">
        <f t="shared" si="1"/>
        <v>157274.76999999999</v>
      </c>
      <c r="D23" s="864">
        <f t="shared" si="2"/>
        <v>64861.77</v>
      </c>
      <c r="E23" s="865">
        <f t="shared" si="3"/>
        <v>44581.74</v>
      </c>
      <c r="F23" s="868">
        <f t="shared" si="4"/>
        <v>44592.43</v>
      </c>
      <c r="G23" s="865">
        <f t="shared" si="4"/>
        <v>-10.69</v>
      </c>
      <c r="H23" s="859">
        <v>156752.46</v>
      </c>
      <c r="I23" s="843">
        <v>0</v>
      </c>
      <c r="J23" s="843">
        <v>64861.77</v>
      </c>
      <c r="K23" s="843">
        <v>40648.65</v>
      </c>
      <c r="L23" s="843">
        <v>-10.6</v>
      </c>
      <c r="M23" s="843">
        <v>262252.28000000003</v>
      </c>
      <c r="N23" s="843">
        <v>522.30999999999995</v>
      </c>
      <c r="O23" s="843">
        <v>0</v>
      </c>
      <c r="P23" s="843">
        <v>0</v>
      </c>
      <c r="Q23" s="843">
        <v>3943.78</v>
      </c>
      <c r="R23" s="843">
        <v>-0.09</v>
      </c>
      <c r="S23" s="843">
        <v>4466</v>
      </c>
    </row>
    <row r="24" spans="1:19">
      <c r="A24" s="1107" t="s">
        <v>51</v>
      </c>
      <c r="B24" s="857" t="s">
        <v>52</v>
      </c>
      <c r="C24" s="863">
        <f t="shared" si="1"/>
        <v>268068.15999999997</v>
      </c>
      <c r="D24" s="864">
        <f t="shared" si="2"/>
        <v>108785.87</v>
      </c>
      <c r="E24" s="865">
        <f t="shared" si="3"/>
        <v>467826.03</v>
      </c>
      <c r="F24" s="868">
        <f t="shared" si="4"/>
        <v>127519.99</v>
      </c>
      <c r="G24" s="865">
        <f t="shared" si="4"/>
        <v>340306.04000000004</v>
      </c>
      <c r="H24" s="859">
        <v>260904.56</v>
      </c>
      <c r="I24" s="843">
        <v>0</v>
      </c>
      <c r="J24" s="843">
        <v>108785.87</v>
      </c>
      <c r="K24" s="843">
        <v>67811.08</v>
      </c>
      <c r="L24" s="843">
        <v>340307.02</v>
      </c>
      <c r="M24" s="843">
        <v>777808.53</v>
      </c>
      <c r="N24" s="843">
        <v>7163.6</v>
      </c>
      <c r="O24" s="843">
        <v>0</v>
      </c>
      <c r="P24" s="843">
        <v>0</v>
      </c>
      <c r="Q24" s="843">
        <v>59708.91</v>
      </c>
      <c r="R24" s="843">
        <v>-0.98</v>
      </c>
      <c r="S24" s="843">
        <v>66871.53</v>
      </c>
    </row>
    <row r="25" spans="1:19">
      <c r="A25" s="1107" t="s">
        <v>57</v>
      </c>
      <c r="B25" s="857" t="s">
        <v>362</v>
      </c>
      <c r="C25" s="863">
        <f t="shared" si="1"/>
        <v>2441270.8800000004</v>
      </c>
      <c r="D25" s="864">
        <f t="shared" si="2"/>
        <v>917507.54</v>
      </c>
      <c r="E25" s="865">
        <f t="shared" si="3"/>
        <v>2565608.16</v>
      </c>
      <c r="F25" s="868">
        <f t="shared" si="4"/>
        <v>2536764.52</v>
      </c>
      <c r="G25" s="865">
        <f t="shared" si="4"/>
        <v>28843.64</v>
      </c>
      <c r="H25" s="859">
        <v>2197619.7400000002</v>
      </c>
      <c r="I25" s="843">
        <v>0</v>
      </c>
      <c r="J25" s="843">
        <v>917507.54</v>
      </c>
      <c r="K25" s="843">
        <v>571410.02</v>
      </c>
      <c r="L25" s="843">
        <v>10472.51</v>
      </c>
      <c r="M25" s="843">
        <v>3697009.81</v>
      </c>
      <c r="N25" s="843">
        <v>243651.14</v>
      </c>
      <c r="O25" s="843">
        <v>0</v>
      </c>
      <c r="P25" s="843">
        <v>0</v>
      </c>
      <c r="Q25" s="843">
        <v>1965354.5</v>
      </c>
      <c r="R25" s="843">
        <v>18371.13</v>
      </c>
      <c r="S25" s="843">
        <v>2227376.77</v>
      </c>
    </row>
    <row r="26" spans="1:19">
      <c r="A26" s="1107" t="s">
        <v>59</v>
      </c>
      <c r="B26" s="857" t="s">
        <v>60</v>
      </c>
      <c r="C26" s="863">
        <f t="shared" si="1"/>
        <v>184256.06</v>
      </c>
      <c r="D26" s="864">
        <f t="shared" si="2"/>
        <v>64604.72</v>
      </c>
      <c r="E26" s="865">
        <f t="shared" si="3"/>
        <v>305100.59999999998</v>
      </c>
      <c r="F26" s="868">
        <f t="shared" si="4"/>
        <v>304438.98</v>
      </c>
      <c r="G26" s="865">
        <f t="shared" si="4"/>
        <v>661.62</v>
      </c>
      <c r="H26" s="859">
        <v>151316.96</v>
      </c>
      <c r="I26" s="843">
        <v>0</v>
      </c>
      <c r="J26" s="843">
        <v>64604.72</v>
      </c>
      <c r="K26" s="843">
        <v>39604.57</v>
      </c>
      <c r="L26" s="843">
        <v>362.82</v>
      </c>
      <c r="M26" s="843">
        <v>255889.07</v>
      </c>
      <c r="N26" s="843">
        <v>32939.1</v>
      </c>
      <c r="O26" s="843">
        <v>0</v>
      </c>
      <c r="P26" s="843">
        <v>0</v>
      </c>
      <c r="Q26" s="843">
        <v>264834.40999999997</v>
      </c>
      <c r="R26" s="843">
        <v>298.8</v>
      </c>
      <c r="S26" s="843">
        <v>298072.31</v>
      </c>
    </row>
    <row r="27" spans="1:19">
      <c r="A27" s="1107" t="s">
        <v>61</v>
      </c>
      <c r="B27" s="857" t="s">
        <v>62</v>
      </c>
      <c r="C27" s="863">
        <f t="shared" si="1"/>
        <v>84104.540000000008</v>
      </c>
      <c r="D27" s="864">
        <f t="shared" si="2"/>
        <v>32454.59</v>
      </c>
      <c r="E27" s="865">
        <f t="shared" si="3"/>
        <v>547029.43000000005</v>
      </c>
      <c r="F27" s="868">
        <f t="shared" si="4"/>
        <v>72708.86</v>
      </c>
      <c r="G27" s="865">
        <f t="shared" si="4"/>
        <v>474320.57</v>
      </c>
      <c r="H27" s="859">
        <v>77548.350000000006</v>
      </c>
      <c r="I27" s="843">
        <v>0</v>
      </c>
      <c r="J27" s="843">
        <v>32454.59</v>
      </c>
      <c r="K27" s="843">
        <v>20175.22</v>
      </c>
      <c r="L27" s="843">
        <v>394235.89</v>
      </c>
      <c r="M27" s="843">
        <v>524414.05000000005</v>
      </c>
      <c r="N27" s="843">
        <v>6556.19</v>
      </c>
      <c r="O27" s="843">
        <v>0</v>
      </c>
      <c r="P27" s="843">
        <v>0</v>
      </c>
      <c r="Q27" s="843">
        <v>52533.64</v>
      </c>
      <c r="R27" s="843">
        <v>80084.679999999993</v>
      </c>
      <c r="S27" s="843">
        <v>139174.51</v>
      </c>
    </row>
    <row r="28" spans="1:19">
      <c r="A28" s="1107" t="s">
        <v>63</v>
      </c>
      <c r="B28" s="857" t="s">
        <v>64</v>
      </c>
      <c r="C28" s="863">
        <f t="shared" si="1"/>
        <v>552550.38</v>
      </c>
      <c r="D28" s="864">
        <f t="shared" si="2"/>
        <v>213021.91</v>
      </c>
      <c r="E28" s="865">
        <f t="shared" si="3"/>
        <v>3851805.86</v>
      </c>
      <c r="F28" s="868">
        <f t="shared" si="4"/>
        <v>505002.25</v>
      </c>
      <c r="G28" s="865">
        <f t="shared" si="4"/>
        <v>3346803.61</v>
      </c>
      <c r="H28" s="859">
        <v>506402.02</v>
      </c>
      <c r="I28" s="843">
        <v>0</v>
      </c>
      <c r="J28" s="843">
        <v>213021.91</v>
      </c>
      <c r="K28" s="843">
        <v>131962.22</v>
      </c>
      <c r="L28" s="843">
        <v>3312118.35</v>
      </c>
      <c r="M28" s="843">
        <v>4163504.5</v>
      </c>
      <c r="N28" s="843">
        <v>46148.36</v>
      </c>
      <c r="O28" s="843">
        <v>0</v>
      </c>
      <c r="P28" s="843">
        <v>0</v>
      </c>
      <c r="Q28" s="843">
        <v>373040.03</v>
      </c>
      <c r="R28" s="843">
        <v>34685.26</v>
      </c>
      <c r="S28" s="843">
        <v>453873.65</v>
      </c>
    </row>
    <row r="29" spans="1:19">
      <c r="A29" s="1107" t="s">
        <v>65</v>
      </c>
      <c r="B29" s="857" t="s">
        <v>66</v>
      </c>
      <c r="C29" s="863">
        <f t="shared" si="1"/>
        <v>197993.17</v>
      </c>
      <c r="D29" s="864">
        <f t="shared" si="2"/>
        <v>80534.490000000005</v>
      </c>
      <c r="E29" s="865">
        <f t="shared" si="3"/>
        <v>99468.78</v>
      </c>
      <c r="F29" s="868">
        <f t="shared" si="4"/>
        <v>90510.399999999994</v>
      </c>
      <c r="G29" s="865">
        <f t="shared" si="4"/>
        <v>8958.380000000001</v>
      </c>
      <c r="H29" s="859">
        <v>193156.32</v>
      </c>
      <c r="I29" s="843">
        <v>0</v>
      </c>
      <c r="J29" s="843">
        <v>80534.490000000005</v>
      </c>
      <c r="K29" s="843">
        <v>50199.43</v>
      </c>
      <c r="L29" s="843">
        <v>5912.6</v>
      </c>
      <c r="M29" s="843">
        <v>329802.84000000003</v>
      </c>
      <c r="N29" s="843">
        <v>4836.8500000000004</v>
      </c>
      <c r="O29" s="843">
        <v>0</v>
      </c>
      <c r="P29" s="843">
        <v>0</v>
      </c>
      <c r="Q29" s="843">
        <v>40310.97</v>
      </c>
      <c r="R29" s="843">
        <v>3045.78</v>
      </c>
      <c r="S29" s="843">
        <v>48193.599999999999</v>
      </c>
    </row>
    <row r="30" spans="1:19">
      <c r="A30" s="1107" t="s">
        <v>69</v>
      </c>
      <c r="B30" s="857" t="s">
        <v>70</v>
      </c>
      <c r="C30" s="863">
        <f t="shared" si="1"/>
        <v>601918.85</v>
      </c>
      <c r="D30" s="864">
        <f t="shared" si="2"/>
        <v>246181.62</v>
      </c>
      <c r="E30" s="865">
        <f t="shared" si="3"/>
        <v>249859.53</v>
      </c>
      <c r="F30" s="868">
        <f t="shared" si="4"/>
        <v>230633.58</v>
      </c>
      <c r="G30" s="865">
        <f t="shared" si="4"/>
        <v>19225.95</v>
      </c>
      <c r="H30" s="859">
        <v>592709.89</v>
      </c>
      <c r="I30" s="843">
        <v>0</v>
      </c>
      <c r="J30" s="843">
        <v>246181.62</v>
      </c>
      <c r="K30" s="843">
        <v>153874.35999999999</v>
      </c>
      <c r="L30" s="843">
        <v>19222.88</v>
      </c>
      <c r="M30" s="843">
        <v>1011988.75</v>
      </c>
      <c r="N30" s="843">
        <v>9208.9599999999991</v>
      </c>
      <c r="O30" s="843">
        <v>0</v>
      </c>
      <c r="P30" s="843">
        <v>0</v>
      </c>
      <c r="Q30" s="843">
        <v>76759.22</v>
      </c>
      <c r="R30" s="843">
        <v>3.07</v>
      </c>
      <c r="S30" s="843">
        <v>85971.25</v>
      </c>
    </row>
    <row r="31" spans="1:19">
      <c r="A31" s="1107" t="s">
        <v>71</v>
      </c>
      <c r="B31" s="857" t="s">
        <v>72</v>
      </c>
      <c r="C31" s="863">
        <f t="shared" si="1"/>
        <v>420657.77</v>
      </c>
      <c r="D31" s="864">
        <f t="shared" si="2"/>
        <v>174002.93</v>
      </c>
      <c r="E31" s="865">
        <f t="shared" si="3"/>
        <v>115965.34999999999</v>
      </c>
      <c r="F31" s="868">
        <f t="shared" si="4"/>
        <v>109076.84</v>
      </c>
      <c r="G31" s="865">
        <f t="shared" si="4"/>
        <v>6888.51</v>
      </c>
      <c r="H31" s="859">
        <v>420657.77</v>
      </c>
      <c r="I31" s="843">
        <v>0</v>
      </c>
      <c r="J31" s="843">
        <v>174002.93</v>
      </c>
      <c r="K31" s="843">
        <v>109076.84</v>
      </c>
      <c r="L31" s="843">
        <v>6888.51</v>
      </c>
      <c r="M31" s="843">
        <v>710626.05</v>
      </c>
      <c r="N31" s="842"/>
      <c r="O31" s="842"/>
      <c r="P31" s="842"/>
      <c r="Q31" s="842"/>
      <c r="R31" s="842"/>
      <c r="S31" s="842"/>
    </row>
    <row r="32" spans="1:19">
      <c r="A32" s="1107" t="s">
        <v>73</v>
      </c>
      <c r="B32" s="857" t="s">
        <v>74</v>
      </c>
      <c r="C32" s="863">
        <f t="shared" si="1"/>
        <v>211288.87</v>
      </c>
      <c r="D32" s="864">
        <f t="shared" si="2"/>
        <v>80210.17</v>
      </c>
      <c r="E32" s="865">
        <f t="shared" si="3"/>
        <v>246910.50999999998</v>
      </c>
      <c r="F32" s="868">
        <f t="shared" si="4"/>
        <v>220070.27</v>
      </c>
      <c r="G32" s="865">
        <f t="shared" si="4"/>
        <v>26840.240000000002</v>
      </c>
      <c r="H32" s="859">
        <v>190240.41</v>
      </c>
      <c r="I32" s="843">
        <v>0</v>
      </c>
      <c r="J32" s="843">
        <v>80210.17</v>
      </c>
      <c r="K32" s="843">
        <v>49606.16</v>
      </c>
      <c r="L32" s="843">
        <v>26745.25</v>
      </c>
      <c r="M32" s="843">
        <v>346801.99</v>
      </c>
      <c r="N32" s="843">
        <v>21048.46</v>
      </c>
      <c r="O32" s="843">
        <v>0</v>
      </c>
      <c r="P32" s="843">
        <v>0</v>
      </c>
      <c r="Q32" s="843">
        <v>170464.11</v>
      </c>
      <c r="R32" s="843">
        <v>94.99</v>
      </c>
      <c r="S32" s="843">
        <v>191607.56</v>
      </c>
    </row>
    <row r="33" spans="1:19">
      <c r="A33" s="1107" t="s">
        <v>75</v>
      </c>
      <c r="B33" s="857" t="s">
        <v>369</v>
      </c>
      <c r="C33" s="863">
        <f t="shared" si="1"/>
        <v>9656497.4800000004</v>
      </c>
      <c r="D33" s="864">
        <f t="shared" si="2"/>
        <v>2765506.88</v>
      </c>
      <c r="E33" s="865">
        <f t="shared" si="3"/>
        <v>27603138.41</v>
      </c>
      <c r="F33" s="868">
        <f t="shared" si="4"/>
        <v>27298744.460000001</v>
      </c>
      <c r="G33" s="865">
        <f t="shared" si="4"/>
        <v>304393.95</v>
      </c>
      <c r="H33" s="859">
        <v>6475817.6600000001</v>
      </c>
      <c r="I33" s="843">
        <v>0</v>
      </c>
      <c r="J33" s="843">
        <v>2765506.88</v>
      </c>
      <c r="K33" s="843">
        <v>1695154.32</v>
      </c>
      <c r="L33" s="843">
        <v>-0.86</v>
      </c>
      <c r="M33" s="843">
        <v>10936478</v>
      </c>
      <c r="N33" s="843">
        <v>3180679.82</v>
      </c>
      <c r="O33" s="843">
        <v>0</v>
      </c>
      <c r="P33" s="843">
        <v>0</v>
      </c>
      <c r="Q33" s="843">
        <v>25603590.140000001</v>
      </c>
      <c r="R33" s="843">
        <v>304394.81</v>
      </c>
      <c r="S33" s="843">
        <v>29088664.77</v>
      </c>
    </row>
    <row r="34" spans="1:19">
      <c r="A34" s="1107" t="s">
        <v>77</v>
      </c>
      <c r="B34" s="857" t="s">
        <v>78</v>
      </c>
      <c r="C34" s="863">
        <f t="shared" si="1"/>
        <v>665397.64</v>
      </c>
      <c r="D34" s="864">
        <f t="shared" si="2"/>
        <v>235281.21</v>
      </c>
      <c r="E34" s="865">
        <f t="shared" si="3"/>
        <v>1502530.3</v>
      </c>
      <c r="F34" s="868">
        <f t="shared" si="4"/>
        <v>1056845.58</v>
      </c>
      <c r="G34" s="865">
        <f t="shared" si="4"/>
        <v>445684.72</v>
      </c>
      <c r="H34" s="859">
        <v>552673.55000000005</v>
      </c>
      <c r="I34" s="843">
        <v>0</v>
      </c>
      <c r="J34" s="843">
        <v>235281.21</v>
      </c>
      <c r="K34" s="843">
        <v>144534.24</v>
      </c>
      <c r="L34" s="843">
        <v>159487.51999999999</v>
      </c>
      <c r="M34" s="843">
        <v>1091976.52</v>
      </c>
      <c r="N34" s="843">
        <v>112724.09</v>
      </c>
      <c r="O34" s="843">
        <v>0</v>
      </c>
      <c r="P34" s="843">
        <v>0</v>
      </c>
      <c r="Q34" s="843">
        <v>912311.34</v>
      </c>
      <c r="R34" s="843">
        <v>286197.2</v>
      </c>
      <c r="S34" s="843">
        <v>1311232.6299999999</v>
      </c>
    </row>
    <row r="35" spans="1:19">
      <c r="A35" s="1107" t="s">
        <v>79</v>
      </c>
      <c r="B35" s="857" t="s">
        <v>80</v>
      </c>
      <c r="C35" s="863">
        <f t="shared" si="1"/>
        <v>173973.38</v>
      </c>
      <c r="D35" s="864">
        <f t="shared" si="2"/>
        <v>70592.179999999993</v>
      </c>
      <c r="E35" s="865">
        <f t="shared" si="3"/>
        <v>75502.02</v>
      </c>
      <c r="F35" s="868">
        <f t="shared" si="4"/>
        <v>75093.31</v>
      </c>
      <c r="G35" s="865">
        <f t="shared" si="4"/>
        <v>408.71000000000004</v>
      </c>
      <c r="H35" s="859">
        <v>170354.13</v>
      </c>
      <c r="I35" s="843">
        <v>0</v>
      </c>
      <c r="J35" s="843">
        <v>70592.179999999993</v>
      </c>
      <c r="K35" s="843">
        <v>44193.91</v>
      </c>
      <c r="L35" s="843">
        <v>409.36</v>
      </c>
      <c r="M35" s="843">
        <v>285549.58</v>
      </c>
      <c r="N35" s="843">
        <v>3619.25</v>
      </c>
      <c r="O35" s="843">
        <v>0</v>
      </c>
      <c r="P35" s="843">
        <v>0</v>
      </c>
      <c r="Q35" s="843">
        <v>30899.4</v>
      </c>
      <c r="R35" s="843">
        <v>-0.65</v>
      </c>
      <c r="S35" s="843">
        <v>34518</v>
      </c>
    </row>
    <row r="36" spans="1:19">
      <c r="A36" s="1107" t="s">
        <v>81</v>
      </c>
      <c r="B36" s="857" t="s">
        <v>82</v>
      </c>
      <c r="C36" s="863">
        <f t="shared" si="1"/>
        <v>304838.07</v>
      </c>
      <c r="D36" s="864">
        <f t="shared" si="2"/>
        <v>112660.11</v>
      </c>
      <c r="E36" s="865">
        <f t="shared" si="3"/>
        <v>475945.97</v>
      </c>
      <c r="F36" s="868">
        <f t="shared" si="4"/>
        <v>351388.47</v>
      </c>
      <c r="G36" s="865">
        <f t="shared" si="4"/>
        <v>124557.5</v>
      </c>
      <c r="H36" s="859">
        <v>269770.42</v>
      </c>
      <c r="I36" s="843">
        <v>0</v>
      </c>
      <c r="J36" s="843">
        <v>112660.11</v>
      </c>
      <c r="K36" s="843">
        <v>70147.41</v>
      </c>
      <c r="L36" s="843">
        <v>100481.97</v>
      </c>
      <c r="M36" s="843">
        <v>553059.91</v>
      </c>
      <c r="N36" s="843">
        <v>35067.65</v>
      </c>
      <c r="O36" s="843">
        <v>0</v>
      </c>
      <c r="P36" s="843">
        <v>0</v>
      </c>
      <c r="Q36" s="843">
        <v>281241.06</v>
      </c>
      <c r="R36" s="843">
        <v>24075.53</v>
      </c>
      <c r="S36" s="843">
        <v>340384.24</v>
      </c>
    </row>
    <row r="37" spans="1:19">
      <c r="A37" s="1107" t="s">
        <v>85</v>
      </c>
      <c r="B37" s="857" t="s">
        <v>387</v>
      </c>
      <c r="C37" s="863">
        <f t="shared" si="1"/>
        <v>639104.52</v>
      </c>
      <c r="D37" s="864">
        <f t="shared" si="2"/>
        <v>250427.28</v>
      </c>
      <c r="E37" s="865">
        <f t="shared" si="3"/>
        <v>531503.81000000006</v>
      </c>
      <c r="F37" s="868">
        <f t="shared" si="4"/>
        <v>517790.04000000004</v>
      </c>
      <c r="G37" s="865">
        <f t="shared" si="4"/>
        <v>13713.77</v>
      </c>
      <c r="H37" s="859">
        <v>594991.47</v>
      </c>
      <c r="I37" s="843">
        <v>0</v>
      </c>
      <c r="J37" s="843">
        <v>250427.28</v>
      </c>
      <c r="K37" s="843">
        <v>155073.42000000001</v>
      </c>
      <c r="L37" s="843">
        <v>14149.53</v>
      </c>
      <c r="M37" s="843">
        <v>1014641.7</v>
      </c>
      <c r="N37" s="843">
        <v>44113.05</v>
      </c>
      <c r="O37" s="843">
        <v>0</v>
      </c>
      <c r="P37" s="843">
        <v>0</v>
      </c>
      <c r="Q37" s="843">
        <v>362716.62</v>
      </c>
      <c r="R37" s="843">
        <v>-435.76</v>
      </c>
      <c r="S37" s="843">
        <v>406393.91</v>
      </c>
    </row>
    <row r="38" spans="1:19">
      <c r="A38" s="1107" t="s">
        <v>87</v>
      </c>
      <c r="B38" s="857" t="s">
        <v>88</v>
      </c>
      <c r="C38" s="863">
        <f t="shared" si="1"/>
        <v>610811.60000000009</v>
      </c>
      <c r="D38" s="864">
        <f t="shared" si="2"/>
        <v>207999.05</v>
      </c>
      <c r="E38" s="865">
        <f t="shared" si="3"/>
        <v>1133580.17</v>
      </c>
      <c r="F38" s="868">
        <f t="shared" si="4"/>
        <v>1131724.2</v>
      </c>
      <c r="G38" s="865">
        <f t="shared" si="4"/>
        <v>1855.97</v>
      </c>
      <c r="H38" s="859">
        <v>486569.53</v>
      </c>
      <c r="I38" s="843">
        <v>0</v>
      </c>
      <c r="J38" s="843">
        <v>207999.05</v>
      </c>
      <c r="K38" s="843">
        <v>127403.92</v>
      </c>
      <c r="L38" s="843">
        <v>1106.68</v>
      </c>
      <c r="M38" s="843">
        <v>823079.18</v>
      </c>
      <c r="N38" s="843">
        <v>124242.07</v>
      </c>
      <c r="O38" s="843">
        <v>0</v>
      </c>
      <c r="P38" s="843">
        <v>0</v>
      </c>
      <c r="Q38" s="843">
        <v>1004320.28</v>
      </c>
      <c r="R38" s="843">
        <v>749.29</v>
      </c>
      <c r="S38" s="843">
        <v>1129311.6399999999</v>
      </c>
    </row>
    <row r="39" spans="1:19">
      <c r="A39" s="1107" t="s">
        <v>93</v>
      </c>
      <c r="B39" s="857" t="s">
        <v>94</v>
      </c>
      <c r="C39" s="863">
        <f t="shared" si="1"/>
        <v>323529.55</v>
      </c>
      <c r="D39" s="864">
        <f t="shared" si="2"/>
        <v>134023.07</v>
      </c>
      <c r="E39" s="865">
        <f t="shared" si="3"/>
        <v>87242.6</v>
      </c>
      <c r="F39" s="868">
        <f t="shared" si="4"/>
        <v>83927.25</v>
      </c>
      <c r="G39" s="865">
        <f t="shared" si="4"/>
        <v>3315.35</v>
      </c>
      <c r="H39" s="859">
        <v>323529.55</v>
      </c>
      <c r="I39" s="843">
        <v>0</v>
      </c>
      <c r="J39" s="843">
        <v>134023.07</v>
      </c>
      <c r="K39" s="843">
        <v>83927.25</v>
      </c>
      <c r="L39" s="843">
        <v>3315.35</v>
      </c>
      <c r="M39" s="843">
        <v>544795.22</v>
      </c>
      <c r="N39" s="842"/>
      <c r="O39" s="842"/>
      <c r="P39" s="842"/>
      <c r="Q39" s="842"/>
      <c r="R39" s="842"/>
      <c r="S39" s="842"/>
    </row>
    <row r="40" spans="1:19">
      <c r="A40" s="1107" t="s">
        <v>95</v>
      </c>
      <c r="B40" s="857" t="s">
        <v>96</v>
      </c>
      <c r="C40" s="863">
        <f t="shared" si="1"/>
        <v>480319.14</v>
      </c>
      <c r="D40" s="864">
        <f t="shared" si="2"/>
        <v>186736.71</v>
      </c>
      <c r="E40" s="865">
        <f t="shared" si="3"/>
        <v>345100.65</v>
      </c>
      <c r="F40" s="868">
        <f t="shared" si="4"/>
        <v>344433.7</v>
      </c>
      <c r="G40" s="865">
        <f t="shared" si="4"/>
        <v>666.95</v>
      </c>
      <c r="H40" s="859">
        <v>451330.26</v>
      </c>
      <c r="I40" s="843">
        <v>0</v>
      </c>
      <c r="J40" s="843">
        <v>186736.71</v>
      </c>
      <c r="K40" s="843">
        <v>117038.31</v>
      </c>
      <c r="L40" s="843">
        <v>670.98</v>
      </c>
      <c r="M40" s="843">
        <v>755776.26</v>
      </c>
      <c r="N40" s="843">
        <v>28988.880000000001</v>
      </c>
      <c r="O40" s="843">
        <v>0</v>
      </c>
      <c r="P40" s="843">
        <v>0</v>
      </c>
      <c r="Q40" s="843">
        <v>227395.39</v>
      </c>
      <c r="R40" s="843">
        <v>-4.03</v>
      </c>
      <c r="S40" s="843">
        <v>256380.24</v>
      </c>
    </row>
    <row r="41" spans="1:19">
      <c r="A41" s="1107" t="s">
        <v>97</v>
      </c>
      <c r="B41" s="857" t="s">
        <v>98</v>
      </c>
      <c r="C41" s="863">
        <f t="shared" si="1"/>
        <v>253634.94</v>
      </c>
      <c r="D41" s="864">
        <f t="shared" si="2"/>
        <v>91659.06</v>
      </c>
      <c r="E41" s="865">
        <f t="shared" si="3"/>
        <v>365891.91000000003</v>
      </c>
      <c r="F41" s="868">
        <f t="shared" si="4"/>
        <v>362614.76</v>
      </c>
      <c r="G41" s="865">
        <f t="shared" si="4"/>
        <v>3277.15</v>
      </c>
      <c r="H41" s="859">
        <v>215375.18</v>
      </c>
      <c r="I41" s="843">
        <v>0</v>
      </c>
      <c r="J41" s="843">
        <v>91659.06</v>
      </c>
      <c r="K41" s="843">
        <v>56317.15</v>
      </c>
      <c r="L41" s="843">
        <v>3277.37</v>
      </c>
      <c r="M41" s="843">
        <v>366628.76</v>
      </c>
      <c r="N41" s="843">
        <v>38259.760000000002</v>
      </c>
      <c r="O41" s="843">
        <v>0</v>
      </c>
      <c r="P41" s="843">
        <v>0</v>
      </c>
      <c r="Q41" s="843">
        <v>306297.61</v>
      </c>
      <c r="R41" s="843">
        <v>-0.22</v>
      </c>
      <c r="S41" s="843">
        <v>344557.15</v>
      </c>
    </row>
    <row r="42" spans="1:19">
      <c r="A42" s="1107" t="s">
        <v>99</v>
      </c>
      <c r="B42" s="857" t="s">
        <v>100</v>
      </c>
      <c r="C42" s="863">
        <f t="shared" si="1"/>
        <v>323637.05</v>
      </c>
      <c r="D42" s="864">
        <f t="shared" si="2"/>
        <v>134156.60999999999</v>
      </c>
      <c r="E42" s="865">
        <f t="shared" si="3"/>
        <v>95793.260000000009</v>
      </c>
      <c r="F42" s="868">
        <f t="shared" si="4"/>
        <v>83970.07</v>
      </c>
      <c r="G42" s="865">
        <f t="shared" si="4"/>
        <v>11823.19</v>
      </c>
      <c r="H42" s="859">
        <v>323637.05</v>
      </c>
      <c r="I42" s="843">
        <v>0</v>
      </c>
      <c r="J42" s="843">
        <v>134156.60999999999</v>
      </c>
      <c r="K42" s="843">
        <v>83970.07</v>
      </c>
      <c r="L42" s="843">
        <v>11823.19</v>
      </c>
      <c r="M42" s="843">
        <v>553586.92000000004</v>
      </c>
      <c r="N42" s="842"/>
      <c r="O42" s="842"/>
      <c r="P42" s="842"/>
      <c r="Q42" s="842"/>
      <c r="R42" s="842"/>
      <c r="S42" s="842"/>
    </row>
    <row r="43" spans="1:19">
      <c r="A43" s="1107" t="s">
        <v>101</v>
      </c>
      <c r="B43" s="857" t="s">
        <v>102</v>
      </c>
      <c r="C43" s="863">
        <f t="shared" si="1"/>
        <v>211595.7</v>
      </c>
      <c r="D43" s="864">
        <f t="shared" si="2"/>
        <v>80530.11</v>
      </c>
      <c r="E43" s="865">
        <f t="shared" si="3"/>
        <v>221803.6</v>
      </c>
      <c r="F43" s="868">
        <f t="shared" si="4"/>
        <v>221497.27000000002</v>
      </c>
      <c r="G43" s="865">
        <f t="shared" si="4"/>
        <v>306.33000000000004</v>
      </c>
      <c r="H43" s="859">
        <v>190324.23</v>
      </c>
      <c r="I43" s="843">
        <v>0</v>
      </c>
      <c r="J43" s="843">
        <v>80530.11</v>
      </c>
      <c r="K43" s="843">
        <v>49681.39</v>
      </c>
      <c r="L43" s="843">
        <v>169.77</v>
      </c>
      <c r="M43" s="843">
        <v>320705.5</v>
      </c>
      <c r="N43" s="843">
        <v>21271.47</v>
      </c>
      <c r="O43" s="843">
        <v>0</v>
      </c>
      <c r="P43" s="843">
        <v>0</v>
      </c>
      <c r="Q43" s="843">
        <v>171815.88</v>
      </c>
      <c r="R43" s="843">
        <v>136.56</v>
      </c>
      <c r="S43" s="843">
        <v>193223.91</v>
      </c>
    </row>
    <row r="44" spans="1:19">
      <c r="A44" s="1107" t="s">
        <v>103</v>
      </c>
      <c r="B44" s="857" t="s">
        <v>104</v>
      </c>
      <c r="C44" s="863">
        <f t="shared" si="1"/>
        <v>434406.58</v>
      </c>
      <c r="D44" s="864">
        <f t="shared" si="2"/>
        <v>180130.22</v>
      </c>
      <c r="E44" s="865">
        <f t="shared" si="3"/>
        <v>117250.76000000001</v>
      </c>
      <c r="F44" s="868">
        <f t="shared" si="4"/>
        <v>112723.32</v>
      </c>
      <c r="G44" s="865">
        <f t="shared" si="4"/>
        <v>4527.4399999999996</v>
      </c>
      <c r="H44" s="859">
        <v>434406.58</v>
      </c>
      <c r="I44" s="843">
        <v>0</v>
      </c>
      <c r="J44" s="843">
        <v>180130.22</v>
      </c>
      <c r="K44" s="843">
        <v>112723.32</v>
      </c>
      <c r="L44" s="843">
        <v>4527.4399999999996</v>
      </c>
      <c r="M44" s="843">
        <v>731787.56</v>
      </c>
      <c r="N44" s="842"/>
      <c r="O44" s="842"/>
      <c r="P44" s="842"/>
      <c r="Q44" s="842"/>
      <c r="R44" s="842"/>
      <c r="S44" s="842"/>
    </row>
    <row r="45" spans="1:19">
      <c r="A45" s="1107" t="s">
        <v>105</v>
      </c>
      <c r="B45" s="857" t="s">
        <v>388</v>
      </c>
      <c r="C45" s="863">
        <f t="shared" si="1"/>
        <v>822855.74</v>
      </c>
      <c r="D45" s="864">
        <f t="shared" si="2"/>
        <v>337579.88</v>
      </c>
      <c r="E45" s="865">
        <f t="shared" si="3"/>
        <v>364742.68</v>
      </c>
      <c r="F45" s="868">
        <f t="shared" si="4"/>
        <v>285607.36</v>
      </c>
      <c r="G45" s="865">
        <f t="shared" si="4"/>
        <v>79135.319999999992</v>
      </c>
      <c r="H45" s="859">
        <v>813655.55</v>
      </c>
      <c r="I45" s="843">
        <v>0</v>
      </c>
      <c r="J45" s="843">
        <v>337579.88</v>
      </c>
      <c r="K45" s="843">
        <v>211169.98</v>
      </c>
      <c r="L45" s="843">
        <v>79135.98</v>
      </c>
      <c r="M45" s="843">
        <v>1441541.39</v>
      </c>
      <c r="N45" s="843">
        <v>9200.19</v>
      </c>
      <c r="O45" s="843">
        <v>0</v>
      </c>
      <c r="P45" s="843">
        <v>0</v>
      </c>
      <c r="Q45" s="843">
        <v>74437.38</v>
      </c>
      <c r="R45" s="843">
        <v>-0.66</v>
      </c>
      <c r="S45" s="843">
        <v>83636.91</v>
      </c>
    </row>
    <row r="46" spans="1:19">
      <c r="A46" s="1107" t="s">
        <v>109</v>
      </c>
      <c r="B46" s="857" t="s">
        <v>110</v>
      </c>
      <c r="C46" s="863">
        <f t="shared" si="1"/>
        <v>634284.27999999991</v>
      </c>
      <c r="D46" s="864">
        <f t="shared" si="2"/>
        <v>236353.98</v>
      </c>
      <c r="E46" s="865">
        <f t="shared" si="3"/>
        <v>766859.4800000001</v>
      </c>
      <c r="F46" s="868">
        <f t="shared" si="4"/>
        <v>752925.58000000007</v>
      </c>
      <c r="G46" s="865">
        <f t="shared" si="4"/>
        <v>13933.9</v>
      </c>
      <c r="H46" s="859">
        <v>558539.18999999994</v>
      </c>
      <c r="I46" s="843">
        <v>0</v>
      </c>
      <c r="J46" s="843">
        <v>236353.98</v>
      </c>
      <c r="K46" s="843">
        <v>145805.68</v>
      </c>
      <c r="L46" s="843">
        <v>13938.27</v>
      </c>
      <c r="M46" s="843">
        <v>954637.12</v>
      </c>
      <c r="N46" s="843">
        <v>75745.09</v>
      </c>
      <c r="O46" s="843">
        <v>0</v>
      </c>
      <c r="P46" s="843">
        <v>0</v>
      </c>
      <c r="Q46" s="843">
        <v>607119.9</v>
      </c>
      <c r="R46" s="843">
        <v>-4.37</v>
      </c>
      <c r="S46" s="843">
        <v>682860.62</v>
      </c>
    </row>
    <row r="47" spans="1:19">
      <c r="A47" s="1107" t="s">
        <v>111</v>
      </c>
      <c r="B47" s="857" t="s">
        <v>112</v>
      </c>
      <c r="C47" s="863">
        <f t="shared" si="1"/>
        <v>2523836.9099999997</v>
      </c>
      <c r="D47" s="864">
        <f t="shared" si="2"/>
        <v>939999.2</v>
      </c>
      <c r="E47" s="865">
        <f t="shared" si="3"/>
        <v>2714256.49</v>
      </c>
      <c r="F47" s="868">
        <f t="shared" si="4"/>
        <v>2662032.4500000002</v>
      </c>
      <c r="G47" s="865">
        <f t="shared" si="4"/>
        <v>52224.04</v>
      </c>
      <c r="H47" s="859">
        <v>2262683.38</v>
      </c>
      <c r="I47" s="843">
        <v>0</v>
      </c>
      <c r="J47" s="843">
        <v>939999.2</v>
      </c>
      <c r="K47" s="843">
        <v>587468.93999999994</v>
      </c>
      <c r="L47" s="843">
        <v>55769.61</v>
      </c>
      <c r="M47" s="843">
        <v>3845921.13</v>
      </c>
      <c r="N47" s="843">
        <v>261153.53</v>
      </c>
      <c r="O47" s="843">
        <v>0</v>
      </c>
      <c r="P47" s="843">
        <v>0</v>
      </c>
      <c r="Q47" s="843">
        <v>2074563.51</v>
      </c>
      <c r="R47" s="843">
        <v>-3545.57</v>
      </c>
      <c r="S47" s="843">
        <v>2332171.4700000002</v>
      </c>
    </row>
    <row r="48" spans="1:19">
      <c r="A48" s="1107" t="s">
        <v>113</v>
      </c>
      <c r="B48" s="857" t="s">
        <v>367</v>
      </c>
      <c r="C48" s="863">
        <f t="shared" si="1"/>
        <v>1146745.23</v>
      </c>
      <c r="D48" s="864">
        <f t="shared" si="2"/>
        <v>474915.92</v>
      </c>
      <c r="E48" s="865">
        <f t="shared" si="3"/>
        <v>301348.03999999998</v>
      </c>
      <c r="F48" s="868">
        <f t="shared" si="4"/>
        <v>297460.88</v>
      </c>
      <c r="G48" s="865">
        <f t="shared" si="4"/>
        <v>3887.16</v>
      </c>
      <c r="H48" s="859">
        <v>1146745.23</v>
      </c>
      <c r="I48" s="843">
        <v>0</v>
      </c>
      <c r="J48" s="843">
        <v>474915.92</v>
      </c>
      <c r="K48" s="843">
        <v>297460.88</v>
      </c>
      <c r="L48" s="843">
        <v>3887.16</v>
      </c>
      <c r="M48" s="843">
        <v>1923009.19</v>
      </c>
      <c r="N48" s="842"/>
      <c r="O48" s="842"/>
      <c r="P48" s="842"/>
      <c r="Q48" s="842"/>
      <c r="R48" s="842"/>
      <c r="S48" s="842"/>
    </row>
    <row r="49" spans="1:19">
      <c r="A49" s="1107" t="s">
        <v>115</v>
      </c>
      <c r="B49" s="857" t="s">
        <v>116</v>
      </c>
      <c r="C49" s="863">
        <f t="shared" si="1"/>
        <v>24986.25</v>
      </c>
      <c r="D49" s="864">
        <f t="shared" si="2"/>
        <v>10351.49</v>
      </c>
      <c r="E49" s="865">
        <f t="shared" si="3"/>
        <v>6945</v>
      </c>
      <c r="F49" s="868">
        <f t="shared" si="4"/>
        <v>6480.95</v>
      </c>
      <c r="G49" s="865">
        <f t="shared" si="4"/>
        <v>464.05</v>
      </c>
      <c r="H49" s="859">
        <v>24986.25</v>
      </c>
      <c r="I49" s="843">
        <v>0</v>
      </c>
      <c r="J49" s="843">
        <v>10351.49</v>
      </c>
      <c r="K49" s="843">
        <v>6480.95</v>
      </c>
      <c r="L49" s="843">
        <v>464.05</v>
      </c>
      <c r="M49" s="843">
        <v>42282.74</v>
      </c>
      <c r="N49" s="842"/>
      <c r="O49" s="842"/>
      <c r="P49" s="842"/>
      <c r="Q49" s="842"/>
      <c r="R49" s="842"/>
      <c r="S49" s="842"/>
    </row>
    <row r="50" spans="1:19">
      <c r="A50" s="1107" t="s">
        <v>119</v>
      </c>
      <c r="B50" s="857" t="s">
        <v>120</v>
      </c>
      <c r="C50" s="863">
        <f t="shared" si="1"/>
        <v>659519.24000000011</v>
      </c>
      <c r="D50" s="864">
        <f t="shared" si="2"/>
        <v>261384.36</v>
      </c>
      <c r="E50" s="865">
        <f t="shared" si="3"/>
        <v>399934.75</v>
      </c>
      <c r="F50" s="868">
        <f t="shared" si="4"/>
        <v>386412.32</v>
      </c>
      <c r="G50" s="865">
        <f t="shared" si="4"/>
        <v>13522.43</v>
      </c>
      <c r="H50" s="859">
        <v>630812.43000000005</v>
      </c>
      <c r="I50" s="843">
        <v>0</v>
      </c>
      <c r="J50" s="843">
        <v>261384.36</v>
      </c>
      <c r="K50" s="843">
        <v>163654.95000000001</v>
      </c>
      <c r="L50" s="843">
        <v>13526.39</v>
      </c>
      <c r="M50" s="843">
        <v>1069378.1299999999</v>
      </c>
      <c r="N50" s="843">
        <v>28706.81</v>
      </c>
      <c r="O50" s="843">
        <v>0</v>
      </c>
      <c r="P50" s="843">
        <v>0</v>
      </c>
      <c r="Q50" s="843">
        <v>222757.37</v>
      </c>
      <c r="R50" s="843">
        <v>-3.96</v>
      </c>
      <c r="S50" s="843">
        <v>251460.22</v>
      </c>
    </row>
    <row r="51" spans="1:19">
      <c r="A51" s="1107" t="s">
        <v>121</v>
      </c>
      <c r="B51" s="857" t="s">
        <v>122</v>
      </c>
      <c r="C51" s="863">
        <f t="shared" si="1"/>
        <v>691859.64999999991</v>
      </c>
      <c r="D51" s="864">
        <f t="shared" si="2"/>
        <v>250246.01</v>
      </c>
      <c r="E51" s="865">
        <f t="shared" si="3"/>
        <v>1187657.55</v>
      </c>
      <c r="F51" s="868">
        <f t="shared" si="4"/>
        <v>1009155.33</v>
      </c>
      <c r="G51" s="865">
        <f t="shared" si="4"/>
        <v>178502.22</v>
      </c>
      <c r="H51" s="859">
        <v>585184.43999999994</v>
      </c>
      <c r="I51" s="843">
        <v>0</v>
      </c>
      <c r="J51" s="843">
        <v>250246.01</v>
      </c>
      <c r="K51" s="843">
        <v>153242.64000000001</v>
      </c>
      <c r="L51" s="843">
        <v>123776.41</v>
      </c>
      <c r="M51" s="843">
        <v>1112449.5</v>
      </c>
      <c r="N51" s="843">
        <v>106675.21</v>
      </c>
      <c r="O51" s="843">
        <v>0</v>
      </c>
      <c r="P51" s="843">
        <v>0</v>
      </c>
      <c r="Q51" s="843">
        <v>855912.69</v>
      </c>
      <c r="R51" s="843">
        <v>54725.81</v>
      </c>
      <c r="S51" s="843">
        <v>1017313.71</v>
      </c>
    </row>
    <row r="52" spans="1:19">
      <c r="A52" s="1107" t="s">
        <v>123</v>
      </c>
      <c r="B52" s="857" t="s">
        <v>284</v>
      </c>
      <c r="C52" s="863">
        <f t="shared" si="1"/>
        <v>147519.70000000001</v>
      </c>
      <c r="D52" s="864">
        <f t="shared" si="2"/>
        <v>59454.22</v>
      </c>
      <c r="E52" s="865">
        <f t="shared" si="3"/>
        <v>75885.490000000005</v>
      </c>
      <c r="F52" s="868">
        <f t="shared" si="4"/>
        <v>74820.83</v>
      </c>
      <c r="G52" s="865">
        <f t="shared" si="4"/>
        <v>1064.6600000000001</v>
      </c>
      <c r="H52" s="859">
        <v>142997.53</v>
      </c>
      <c r="I52" s="843">
        <v>0</v>
      </c>
      <c r="J52" s="843">
        <v>59454.22</v>
      </c>
      <c r="K52" s="843">
        <v>37133.730000000003</v>
      </c>
      <c r="L52" s="843">
        <v>881.69</v>
      </c>
      <c r="M52" s="843">
        <v>240467.17</v>
      </c>
      <c r="N52" s="843">
        <v>4522.17</v>
      </c>
      <c r="O52" s="843">
        <v>0</v>
      </c>
      <c r="P52" s="843">
        <v>0</v>
      </c>
      <c r="Q52" s="843">
        <v>37687.1</v>
      </c>
      <c r="R52" s="843">
        <v>182.97</v>
      </c>
      <c r="S52" s="843">
        <v>42392.24</v>
      </c>
    </row>
    <row r="53" spans="1:19">
      <c r="A53" s="1107" t="s">
        <v>125</v>
      </c>
      <c r="B53" s="857" t="s">
        <v>126</v>
      </c>
      <c r="C53" s="863">
        <f t="shared" si="1"/>
        <v>221481.39</v>
      </c>
      <c r="D53" s="864">
        <f t="shared" si="2"/>
        <v>81066.12</v>
      </c>
      <c r="E53" s="865">
        <f t="shared" si="3"/>
        <v>351467.89</v>
      </c>
      <c r="F53" s="868">
        <f t="shared" si="4"/>
        <v>270884.93</v>
      </c>
      <c r="G53" s="865">
        <f t="shared" si="4"/>
        <v>80582.959999999992</v>
      </c>
      <c r="H53" s="859">
        <v>194383.13</v>
      </c>
      <c r="I53" s="843">
        <v>0</v>
      </c>
      <c r="J53" s="843">
        <v>81066.12</v>
      </c>
      <c r="K53" s="843">
        <v>50524.57</v>
      </c>
      <c r="L53" s="843">
        <v>62344.639999999999</v>
      </c>
      <c r="M53" s="843">
        <v>388318.46</v>
      </c>
      <c r="N53" s="843">
        <v>27098.26</v>
      </c>
      <c r="O53" s="843">
        <v>0</v>
      </c>
      <c r="P53" s="843">
        <v>0</v>
      </c>
      <c r="Q53" s="843">
        <v>220360.36</v>
      </c>
      <c r="R53" s="843">
        <v>18238.32</v>
      </c>
      <c r="S53" s="843">
        <v>265696.94</v>
      </c>
    </row>
    <row r="54" spans="1:19">
      <c r="A54" s="1107" t="s">
        <v>127</v>
      </c>
      <c r="B54" s="857" t="s">
        <v>128</v>
      </c>
      <c r="C54" s="863">
        <f t="shared" si="1"/>
        <v>154093.88</v>
      </c>
      <c r="D54" s="864">
        <f t="shared" si="2"/>
        <v>60536.66</v>
      </c>
      <c r="E54" s="865">
        <f t="shared" si="3"/>
        <v>128006.26000000001</v>
      </c>
      <c r="F54" s="868">
        <f t="shared" si="4"/>
        <v>109128.6</v>
      </c>
      <c r="G54" s="865">
        <f t="shared" si="4"/>
        <v>18877.66</v>
      </c>
      <c r="H54" s="859">
        <v>145133.43</v>
      </c>
      <c r="I54" s="843">
        <v>0</v>
      </c>
      <c r="J54" s="843">
        <v>60536.66</v>
      </c>
      <c r="K54" s="843">
        <v>37723.47</v>
      </c>
      <c r="L54" s="843">
        <v>17457.78</v>
      </c>
      <c r="M54" s="843">
        <v>260851.34</v>
      </c>
      <c r="N54" s="843">
        <v>8960.4500000000007</v>
      </c>
      <c r="O54" s="843">
        <v>0</v>
      </c>
      <c r="P54" s="843">
        <v>0</v>
      </c>
      <c r="Q54" s="843">
        <v>71405.13</v>
      </c>
      <c r="R54" s="843">
        <v>1419.88</v>
      </c>
      <c r="S54" s="843">
        <v>81785.460000000006</v>
      </c>
    </row>
    <row r="55" spans="1:19">
      <c r="A55" s="1107" t="s">
        <v>129</v>
      </c>
      <c r="B55" s="857" t="s">
        <v>130</v>
      </c>
      <c r="C55" s="863">
        <f t="shared" si="1"/>
        <v>220521.09</v>
      </c>
      <c r="D55" s="864">
        <f t="shared" si="2"/>
        <v>91127.07</v>
      </c>
      <c r="E55" s="865">
        <f t="shared" si="3"/>
        <v>100533.91</v>
      </c>
      <c r="F55" s="868">
        <f t="shared" si="4"/>
        <v>57162.87</v>
      </c>
      <c r="G55" s="865">
        <f t="shared" si="4"/>
        <v>43371.040000000001</v>
      </c>
      <c r="H55" s="859">
        <v>220521.09</v>
      </c>
      <c r="I55" s="843">
        <v>0</v>
      </c>
      <c r="J55" s="843">
        <v>91127.07</v>
      </c>
      <c r="K55" s="843">
        <v>57162.87</v>
      </c>
      <c r="L55" s="843">
        <v>43371.040000000001</v>
      </c>
      <c r="M55" s="843">
        <v>412182.07</v>
      </c>
      <c r="N55" s="842"/>
      <c r="O55" s="842"/>
      <c r="P55" s="842"/>
      <c r="Q55" s="842"/>
      <c r="R55" s="842"/>
      <c r="S55" s="842"/>
    </row>
    <row r="56" spans="1:19">
      <c r="A56" s="1107" t="s">
        <v>131</v>
      </c>
      <c r="B56" s="857" t="s">
        <v>132</v>
      </c>
      <c r="C56" s="863">
        <f t="shared" si="1"/>
        <v>840380.19</v>
      </c>
      <c r="D56" s="864">
        <f t="shared" si="2"/>
        <v>348440</v>
      </c>
      <c r="E56" s="865">
        <f t="shared" si="3"/>
        <v>221074.77</v>
      </c>
      <c r="F56" s="868">
        <f t="shared" si="4"/>
        <v>218063.53</v>
      </c>
      <c r="G56" s="865">
        <f t="shared" si="4"/>
        <v>3011.24</v>
      </c>
      <c r="H56" s="859">
        <v>840380.19</v>
      </c>
      <c r="I56" s="843">
        <v>0</v>
      </c>
      <c r="J56" s="843">
        <v>348440</v>
      </c>
      <c r="K56" s="843">
        <v>218063.53</v>
      </c>
      <c r="L56" s="843">
        <v>3011.24</v>
      </c>
      <c r="M56" s="843">
        <v>1409894.96</v>
      </c>
      <c r="N56" s="842"/>
      <c r="O56" s="842"/>
      <c r="P56" s="842"/>
      <c r="Q56" s="842"/>
      <c r="R56" s="842"/>
      <c r="S56" s="842"/>
    </row>
    <row r="57" spans="1:19">
      <c r="A57" s="1107" t="s">
        <v>133</v>
      </c>
      <c r="B57" s="857" t="s">
        <v>134</v>
      </c>
      <c r="C57" s="863">
        <f t="shared" si="1"/>
        <v>1518001.4</v>
      </c>
      <c r="D57" s="864">
        <f t="shared" si="2"/>
        <v>407429.25</v>
      </c>
      <c r="E57" s="865">
        <f t="shared" si="3"/>
        <v>4895723.3099999996</v>
      </c>
      <c r="F57" s="868">
        <f t="shared" si="4"/>
        <v>4690791.46</v>
      </c>
      <c r="G57" s="865">
        <f t="shared" si="4"/>
        <v>204931.85</v>
      </c>
      <c r="H57" s="859">
        <v>955280.02</v>
      </c>
      <c r="I57" s="843">
        <v>0</v>
      </c>
      <c r="J57" s="843">
        <v>407429.25</v>
      </c>
      <c r="K57" s="843">
        <v>249962.57</v>
      </c>
      <c r="L57" s="843">
        <v>55669.81</v>
      </c>
      <c r="M57" s="843">
        <v>1668341.65</v>
      </c>
      <c r="N57" s="843">
        <v>562721.38</v>
      </c>
      <c r="O57" s="843">
        <v>0</v>
      </c>
      <c r="P57" s="843">
        <v>0</v>
      </c>
      <c r="Q57" s="843">
        <v>4440828.8899999997</v>
      </c>
      <c r="R57" s="843">
        <v>149262.04</v>
      </c>
      <c r="S57" s="843">
        <v>5152812.3099999996</v>
      </c>
    </row>
    <row r="58" spans="1:19">
      <c r="A58" s="1107" t="s">
        <v>135</v>
      </c>
      <c r="B58" s="857" t="s">
        <v>136</v>
      </c>
      <c r="C58" s="863">
        <f t="shared" si="1"/>
        <v>467707.86</v>
      </c>
      <c r="D58" s="864">
        <f t="shared" si="2"/>
        <v>168288.87</v>
      </c>
      <c r="E58" s="865">
        <f t="shared" si="3"/>
        <v>693191.5199999999</v>
      </c>
      <c r="F58" s="868">
        <f t="shared" si="4"/>
        <v>679363.33</v>
      </c>
      <c r="G58" s="865">
        <f t="shared" si="4"/>
        <v>13828.19</v>
      </c>
      <c r="H58" s="859">
        <v>395869.7</v>
      </c>
      <c r="I58" s="843">
        <v>0</v>
      </c>
      <c r="J58" s="843">
        <v>168288.87</v>
      </c>
      <c r="K58" s="843">
        <v>103482.01</v>
      </c>
      <c r="L58" s="843">
        <v>11791.03</v>
      </c>
      <c r="M58" s="843">
        <v>679431.61</v>
      </c>
      <c r="N58" s="843">
        <v>71838.16</v>
      </c>
      <c r="O58" s="843">
        <v>0</v>
      </c>
      <c r="P58" s="843">
        <v>0</v>
      </c>
      <c r="Q58" s="843">
        <v>575881.31999999995</v>
      </c>
      <c r="R58" s="843">
        <v>2037.16</v>
      </c>
      <c r="S58" s="843">
        <v>649756.64</v>
      </c>
    </row>
    <row r="59" spans="1:19">
      <c r="A59" s="1107" t="s">
        <v>137</v>
      </c>
      <c r="B59" s="857" t="s">
        <v>138</v>
      </c>
      <c r="C59" s="863">
        <f t="shared" si="1"/>
        <v>156404.22</v>
      </c>
      <c r="D59" s="864">
        <f t="shared" si="2"/>
        <v>64790.45</v>
      </c>
      <c r="E59" s="865">
        <f t="shared" si="3"/>
        <v>42576.700000000004</v>
      </c>
      <c r="F59" s="868">
        <f t="shared" si="4"/>
        <v>40569.160000000003</v>
      </c>
      <c r="G59" s="865">
        <f t="shared" si="4"/>
        <v>2007.54</v>
      </c>
      <c r="H59" s="859">
        <v>156404.22</v>
      </c>
      <c r="I59" s="843">
        <v>0</v>
      </c>
      <c r="J59" s="843">
        <v>64790.45</v>
      </c>
      <c r="K59" s="843">
        <v>40569.160000000003</v>
      </c>
      <c r="L59" s="843">
        <v>2007.54</v>
      </c>
      <c r="M59" s="843">
        <v>263771.37</v>
      </c>
      <c r="N59" s="842"/>
      <c r="O59" s="842"/>
      <c r="P59" s="842"/>
      <c r="Q59" s="842"/>
      <c r="R59" s="842"/>
      <c r="S59" s="842"/>
    </row>
    <row r="60" spans="1:19">
      <c r="A60" s="1107" t="s">
        <v>141</v>
      </c>
      <c r="B60" s="857" t="s">
        <v>142</v>
      </c>
      <c r="C60" s="863">
        <f t="shared" si="1"/>
        <v>205657.43</v>
      </c>
      <c r="D60" s="864">
        <f t="shared" si="2"/>
        <v>77706.78</v>
      </c>
      <c r="E60" s="865">
        <f t="shared" si="3"/>
        <v>189602.16</v>
      </c>
      <c r="F60" s="868">
        <f t="shared" si="4"/>
        <v>186093.99</v>
      </c>
      <c r="G60" s="865">
        <f t="shared" si="4"/>
        <v>3508.17</v>
      </c>
      <c r="H60" s="859">
        <v>188241.61</v>
      </c>
      <c r="I60" s="843">
        <v>0</v>
      </c>
      <c r="J60" s="843">
        <v>77706.78</v>
      </c>
      <c r="K60" s="843">
        <v>48780.09</v>
      </c>
      <c r="L60" s="843">
        <v>3511.63</v>
      </c>
      <c r="M60" s="843">
        <v>318240.11</v>
      </c>
      <c r="N60" s="843">
        <v>17415.82</v>
      </c>
      <c r="O60" s="843">
        <v>0</v>
      </c>
      <c r="P60" s="843">
        <v>0</v>
      </c>
      <c r="Q60" s="843">
        <v>137313.9</v>
      </c>
      <c r="R60" s="843">
        <v>-3.46</v>
      </c>
      <c r="S60" s="843">
        <v>154726.26</v>
      </c>
    </row>
    <row r="61" spans="1:19">
      <c r="A61" s="1107" t="s">
        <v>147</v>
      </c>
      <c r="B61" s="857" t="s">
        <v>148</v>
      </c>
      <c r="C61" s="863">
        <f t="shared" si="1"/>
        <v>147416.75</v>
      </c>
      <c r="D61" s="864">
        <f t="shared" si="2"/>
        <v>57162.84</v>
      </c>
      <c r="E61" s="865">
        <f t="shared" si="3"/>
        <v>113742.73000000001</v>
      </c>
      <c r="F61" s="868">
        <f t="shared" si="4"/>
        <v>110811.85</v>
      </c>
      <c r="G61" s="865">
        <f t="shared" si="4"/>
        <v>2930.88</v>
      </c>
      <c r="H61" s="859">
        <v>137991.74</v>
      </c>
      <c r="I61" s="843">
        <v>0</v>
      </c>
      <c r="J61" s="843">
        <v>57162.84</v>
      </c>
      <c r="K61" s="843">
        <v>35794.47</v>
      </c>
      <c r="L61" s="843">
        <v>2934.46</v>
      </c>
      <c r="M61" s="843">
        <v>233883.51</v>
      </c>
      <c r="N61" s="843">
        <v>9425.01</v>
      </c>
      <c r="O61" s="843">
        <v>0</v>
      </c>
      <c r="P61" s="843">
        <v>0</v>
      </c>
      <c r="Q61" s="843">
        <v>75017.38</v>
      </c>
      <c r="R61" s="843">
        <v>-3.58</v>
      </c>
      <c r="S61" s="843">
        <v>84438.81</v>
      </c>
    </row>
    <row r="62" spans="1:19">
      <c r="A62" s="1107" t="s">
        <v>149</v>
      </c>
      <c r="B62" s="857" t="s">
        <v>150</v>
      </c>
      <c r="C62" s="863">
        <f t="shared" si="1"/>
        <v>454565.63</v>
      </c>
      <c r="D62" s="864">
        <f t="shared" si="2"/>
        <v>187274.51</v>
      </c>
      <c r="E62" s="865">
        <f t="shared" si="3"/>
        <v>230651.55</v>
      </c>
      <c r="F62" s="868">
        <f t="shared" si="4"/>
        <v>139134.72</v>
      </c>
      <c r="G62" s="865">
        <f t="shared" si="4"/>
        <v>91516.83</v>
      </c>
      <c r="H62" s="859">
        <v>451939.67</v>
      </c>
      <c r="I62" s="843">
        <v>0</v>
      </c>
      <c r="J62" s="843">
        <v>187274.51</v>
      </c>
      <c r="K62" s="843">
        <v>117248.84</v>
      </c>
      <c r="L62" s="843">
        <v>91517.59</v>
      </c>
      <c r="M62" s="843">
        <v>847980.61</v>
      </c>
      <c r="N62" s="843">
        <v>2625.96</v>
      </c>
      <c r="O62" s="843">
        <v>0</v>
      </c>
      <c r="P62" s="843">
        <v>0</v>
      </c>
      <c r="Q62" s="843">
        <v>21885.88</v>
      </c>
      <c r="R62" s="843">
        <v>-0.76</v>
      </c>
      <c r="S62" s="843">
        <v>24511.08</v>
      </c>
    </row>
    <row r="63" spans="1:19">
      <c r="A63" s="1107" t="s">
        <v>151</v>
      </c>
      <c r="B63" s="857" t="s">
        <v>152</v>
      </c>
      <c r="C63" s="863">
        <f t="shared" si="1"/>
        <v>196139.72</v>
      </c>
      <c r="D63" s="864">
        <f t="shared" si="2"/>
        <v>80907.62</v>
      </c>
      <c r="E63" s="865">
        <f t="shared" si="3"/>
        <v>72084.91</v>
      </c>
      <c r="F63" s="868">
        <f t="shared" si="4"/>
        <v>58399.9</v>
      </c>
      <c r="G63" s="865">
        <f t="shared" si="4"/>
        <v>13685.01</v>
      </c>
      <c r="H63" s="859">
        <v>195209.19</v>
      </c>
      <c r="I63" s="843">
        <v>0</v>
      </c>
      <c r="J63" s="843">
        <v>80907.62</v>
      </c>
      <c r="K63" s="843">
        <v>50645.19</v>
      </c>
      <c r="L63" s="843">
        <v>13685.44</v>
      </c>
      <c r="M63" s="843">
        <v>340447.44</v>
      </c>
      <c r="N63" s="843">
        <v>930.53</v>
      </c>
      <c r="O63" s="843">
        <v>0</v>
      </c>
      <c r="P63" s="843">
        <v>0</v>
      </c>
      <c r="Q63" s="843">
        <v>7754.71</v>
      </c>
      <c r="R63" s="843">
        <v>-0.43</v>
      </c>
      <c r="S63" s="843">
        <v>8684.81</v>
      </c>
    </row>
    <row r="64" spans="1:19">
      <c r="A64" s="1107" t="s">
        <v>153</v>
      </c>
      <c r="B64" s="857" t="s">
        <v>154</v>
      </c>
      <c r="C64" s="863">
        <f t="shared" si="1"/>
        <v>944708.47</v>
      </c>
      <c r="D64" s="864">
        <f t="shared" si="2"/>
        <v>390816.98</v>
      </c>
      <c r="E64" s="865">
        <f t="shared" si="3"/>
        <v>264335.39</v>
      </c>
      <c r="F64" s="868">
        <f t="shared" si="4"/>
        <v>264122.13</v>
      </c>
      <c r="G64" s="865">
        <f t="shared" si="4"/>
        <v>213.26000000000002</v>
      </c>
      <c r="H64" s="859">
        <v>942359.61</v>
      </c>
      <c r="I64" s="843">
        <v>0</v>
      </c>
      <c r="J64" s="843">
        <v>390816.98</v>
      </c>
      <c r="K64" s="843">
        <v>244543.2</v>
      </c>
      <c r="L64" s="843">
        <v>213.33</v>
      </c>
      <c r="M64" s="843">
        <v>1577933.12</v>
      </c>
      <c r="N64" s="843">
        <v>2348.86</v>
      </c>
      <c r="O64" s="843">
        <v>0</v>
      </c>
      <c r="P64" s="843">
        <v>0</v>
      </c>
      <c r="Q64" s="843">
        <v>19578.93</v>
      </c>
      <c r="R64" s="843">
        <v>-7.0000000000000007E-2</v>
      </c>
      <c r="S64" s="843">
        <v>21927.72</v>
      </c>
    </row>
    <row r="65" spans="1:19">
      <c r="A65" s="1107" t="s">
        <v>155</v>
      </c>
      <c r="B65" s="857" t="s">
        <v>156</v>
      </c>
      <c r="C65" s="863">
        <f t="shared" si="1"/>
        <v>183448.81</v>
      </c>
      <c r="D65" s="864">
        <f t="shared" si="2"/>
        <v>75031.839999999997</v>
      </c>
      <c r="E65" s="865">
        <f t="shared" si="3"/>
        <v>91335.13</v>
      </c>
      <c r="F65" s="868">
        <f t="shared" si="4"/>
        <v>68897.91</v>
      </c>
      <c r="G65" s="865">
        <f t="shared" si="4"/>
        <v>22437.219999999998</v>
      </c>
      <c r="H65" s="859">
        <v>180791.1</v>
      </c>
      <c r="I65" s="843">
        <v>0</v>
      </c>
      <c r="J65" s="843">
        <v>75031.839999999997</v>
      </c>
      <c r="K65" s="843">
        <v>46922.1</v>
      </c>
      <c r="L65" s="843">
        <v>22438.03</v>
      </c>
      <c r="M65" s="843">
        <v>325183.07</v>
      </c>
      <c r="N65" s="843">
        <v>2657.71</v>
      </c>
      <c r="O65" s="843">
        <v>0</v>
      </c>
      <c r="P65" s="843">
        <v>0</v>
      </c>
      <c r="Q65" s="843">
        <v>21975.81</v>
      </c>
      <c r="R65" s="843">
        <v>-0.81</v>
      </c>
      <c r="S65" s="843">
        <v>24632.71</v>
      </c>
    </row>
    <row r="66" spans="1:19">
      <c r="A66" s="1107" t="s">
        <v>157</v>
      </c>
      <c r="B66" s="857" t="s">
        <v>158</v>
      </c>
      <c r="C66" s="863">
        <f t="shared" si="1"/>
        <v>149295.88</v>
      </c>
      <c r="D66" s="864">
        <f t="shared" si="2"/>
        <v>61785.79</v>
      </c>
      <c r="E66" s="865">
        <f t="shared" si="3"/>
        <v>47492.070000000007</v>
      </c>
      <c r="F66" s="868">
        <f t="shared" si="4"/>
        <v>46112.950000000004</v>
      </c>
      <c r="G66" s="865">
        <f t="shared" si="4"/>
        <v>1379.1200000000001</v>
      </c>
      <c r="H66" s="859">
        <v>148388.17000000001</v>
      </c>
      <c r="I66" s="843">
        <v>0</v>
      </c>
      <c r="J66" s="843">
        <v>61785.79</v>
      </c>
      <c r="K66" s="843">
        <v>38549.94</v>
      </c>
      <c r="L66" s="843">
        <v>1379.88</v>
      </c>
      <c r="M66" s="843">
        <v>250103.78</v>
      </c>
      <c r="N66" s="843">
        <v>907.71</v>
      </c>
      <c r="O66" s="843">
        <v>0</v>
      </c>
      <c r="P66" s="843">
        <v>0</v>
      </c>
      <c r="Q66" s="843">
        <v>7563.01</v>
      </c>
      <c r="R66" s="843">
        <v>-0.76</v>
      </c>
      <c r="S66" s="843">
        <v>8469.9599999999991</v>
      </c>
    </row>
    <row r="67" spans="1:19">
      <c r="A67" s="1107" t="s">
        <v>163</v>
      </c>
      <c r="B67" s="857" t="s">
        <v>164</v>
      </c>
      <c r="C67" s="863">
        <f t="shared" si="1"/>
        <v>481523.12</v>
      </c>
      <c r="D67" s="864">
        <f t="shared" si="2"/>
        <v>195839.46</v>
      </c>
      <c r="E67" s="865">
        <f t="shared" si="3"/>
        <v>148190.76999999999</v>
      </c>
      <c r="F67" s="868">
        <f t="shared" si="4"/>
        <v>147406.78</v>
      </c>
      <c r="G67" s="865">
        <f t="shared" si="4"/>
        <v>783.99</v>
      </c>
      <c r="H67" s="859">
        <v>477367.06</v>
      </c>
      <c r="I67" s="843">
        <v>0</v>
      </c>
      <c r="J67" s="843">
        <v>195839.46</v>
      </c>
      <c r="K67" s="843">
        <v>123485.1</v>
      </c>
      <c r="L67" s="843">
        <v>784.8</v>
      </c>
      <c r="M67" s="843">
        <v>797476.42</v>
      </c>
      <c r="N67" s="843">
        <v>4156.0600000000004</v>
      </c>
      <c r="O67" s="843">
        <v>0</v>
      </c>
      <c r="P67" s="843">
        <v>0</v>
      </c>
      <c r="Q67" s="843">
        <v>23921.68</v>
      </c>
      <c r="R67" s="843">
        <v>-0.81</v>
      </c>
      <c r="S67" s="843">
        <v>28076.93</v>
      </c>
    </row>
    <row r="68" spans="1:19">
      <c r="A68" s="1107" t="s">
        <v>165</v>
      </c>
      <c r="B68" s="857" t="s">
        <v>166</v>
      </c>
      <c r="C68" s="863">
        <f t="shared" si="1"/>
        <v>181855.4</v>
      </c>
      <c r="D68" s="864">
        <f t="shared" si="2"/>
        <v>66644.42</v>
      </c>
      <c r="E68" s="865">
        <f t="shared" si="3"/>
        <v>184161.12</v>
      </c>
      <c r="F68" s="868">
        <f t="shared" si="4"/>
        <v>226149.62</v>
      </c>
      <c r="G68" s="865">
        <f t="shared" si="4"/>
        <v>-41988.5</v>
      </c>
      <c r="H68" s="859">
        <v>158625.26999999999</v>
      </c>
      <c r="I68" s="843">
        <v>0</v>
      </c>
      <c r="J68" s="843">
        <v>66644.42</v>
      </c>
      <c r="K68" s="843">
        <v>41319.4</v>
      </c>
      <c r="L68" s="843">
        <v>102</v>
      </c>
      <c r="M68" s="843">
        <v>266691.09000000003</v>
      </c>
      <c r="N68" s="843">
        <v>23230.13</v>
      </c>
      <c r="O68" s="843">
        <v>0</v>
      </c>
      <c r="P68" s="843">
        <v>0</v>
      </c>
      <c r="Q68" s="843">
        <v>184830.22</v>
      </c>
      <c r="R68" s="843">
        <v>-42090.5</v>
      </c>
      <c r="S68" s="843">
        <v>165969.85</v>
      </c>
    </row>
    <row r="69" spans="1:19">
      <c r="A69" s="1107" t="s">
        <v>169</v>
      </c>
      <c r="B69" s="857" t="s">
        <v>170</v>
      </c>
      <c r="C69" s="863">
        <f t="shared" si="1"/>
        <v>224909.11000000002</v>
      </c>
      <c r="D69" s="864">
        <f t="shared" si="2"/>
        <v>92713.12</v>
      </c>
      <c r="E69" s="865">
        <f t="shared" si="3"/>
        <v>75373.37000000001</v>
      </c>
      <c r="F69" s="868">
        <f t="shared" si="4"/>
        <v>73342.13</v>
      </c>
      <c r="G69" s="865">
        <f t="shared" si="4"/>
        <v>2031.24</v>
      </c>
      <c r="H69" s="859">
        <v>223058.45</v>
      </c>
      <c r="I69" s="843">
        <v>0</v>
      </c>
      <c r="J69" s="843">
        <v>92713.12</v>
      </c>
      <c r="K69" s="843">
        <v>57920.13</v>
      </c>
      <c r="L69" s="843">
        <v>1716.03</v>
      </c>
      <c r="M69" s="843">
        <v>375407.73</v>
      </c>
      <c r="N69" s="843">
        <v>1850.66</v>
      </c>
      <c r="O69" s="843">
        <v>0</v>
      </c>
      <c r="P69" s="843">
        <v>0</v>
      </c>
      <c r="Q69" s="843">
        <v>15422</v>
      </c>
      <c r="R69" s="843">
        <v>315.20999999999998</v>
      </c>
      <c r="S69" s="843">
        <v>17587.87</v>
      </c>
    </row>
    <row r="70" spans="1:19">
      <c r="A70" s="1107" t="s">
        <v>171</v>
      </c>
      <c r="B70" s="857" t="s">
        <v>172</v>
      </c>
      <c r="C70" s="863">
        <f t="shared" ref="C70:C124" si="5">+H70+I70+N70+O70</f>
        <v>294485.85000000003</v>
      </c>
      <c r="D70" s="864">
        <f t="shared" ref="D70:D124" si="6">+J70+P70</f>
        <v>119831.39</v>
      </c>
      <c r="E70" s="865">
        <f t="shared" ref="E70:E124" si="7">+F70+G70</f>
        <v>291799.23</v>
      </c>
      <c r="F70" s="868">
        <f t="shared" ref="F70:G124" si="8">+K70+Q70</f>
        <v>125357.6</v>
      </c>
      <c r="G70" s="865">
        <f t="shared" si="8"/>
        <v>166441.63</v>
      </c>
      <c r="H70" s="859">
        <v>288482.52</v>
      </c>
      <c r="I70" s="843">
        <v>0</v>
      </c>
      <c r="J70" s="843">
        <v>119831.39</v>
      </c>
      <c r="K70" s="843">
        <v>74895.86</v>
      </c>
      <c r="L70" s="843">
        <v>161050.20000000001</v>
      </c>
      <c r="M70" s="843">
        <v>644259.97</v>
      </c>
      <c r="N70" s="843">
        <v>6003.33</v>
      </c>
      <c r="O70" s="843">
        <v>0</v>
      </c>
      <c r="P70" s="843">
        <v>0</v>
      </c>
      <c r="Q70" s="843">
        <v>50461.74</v>
      </c>
      <c r="R70" s="843">
        <v>5391.43</v>
      </c>
      <c r="S70" s="843">
        <v>61856.5</v>
      </c>
    </row>
    <row r="71" spans="1:19">
      <c r="A71" s="1107" t="s">
        <v>173</v>
      </c>
      <c r="B71" s="857" t="s">
        <v>174</v>
      </c>
      <c r="C71" s="863">
        <f t="shared" si="5"/>
        <v>344153.9</v>
      </c>
      <c r="D71" s="864">
        <f t="shared" si="6"/>
        <v>138100.26</v>
      </c>
      <c r="E71" s="865">
        <f t="shared" si="7"/>
        <v>191297.04</v>
      </c>
      <c r="F71" s="868">
        <f t="shared" si="8"/>
        <v>189719.69</v>
      </c>
      <c r="G71" s="865">
        <f t="shared" si="8"/>
        <v>1577.35</v>
      </c>
      <c r="H71" s="859">
        <v>331487.38</v>
      </c>
      <c r="I71" s="843">
        <v>0</v>
      </c>
      <c r="J71" s="843">
        <v>138100.26</v>
      </c>
      <c r="K71" s="843">
        <v>86135.2</v>
      </c>
      <c r="L71" s="843">
        <v>1581.03</v>
      </c>
      <c r="M71" s="843">
        <v>557303.87</v>
      </c>
      <c r="N71" s="843">
        <v>12666.52</v>
      </c>
      <c r="O71" s="843">
        <v>0</v>
      </c>
      <c r="P71" s="843">
        <v>0</v>
      </c>
      <c r="Q71" s="843">
        <v>103584.49</v>
      </c>
      <c r="R71" s="843">
        <v>-3.68</v>
      </c>
      <c r="S71" s="843">
        <v>116247.33</v>
      </c>
    </row>
    <row r="72" spans="1:19">
      <c r="A72" s="1107" t="s">
        <v>175</v>
      </c>
      <c r="B72" s="857" t="s">
        <v>176</v>
      </c>
      <c r="C72" s="863">
        <f t="shared" si="5"/>
        <v>327458.03999999998</v>
      </c>
      <c r="D72" s="864">
        <f t="shared" si="6"/>
        <v>135398.85</v>
      </c>
      <c r="E72" s="865">
        <f t="shared" si="7"/>
        <v>85953.79</v>
      </c>
      <c r="F72" s="868">
        <f t="shared" si="8"/>
        <v>84899</v>
      </c>
      <c r="G72" s="865">
        <f t="shared" si="8"/>
        <v>1054.79</v>
      </c>
      <c r="H72" s="859">
        <v>327458.03999999998</v>
      </c>
      <c r="I72" s="843">
        <v>0</v>
      </c>
      <c r="J72" s="843">
        <v>135398.85</v>
      </c>
      <c r="K72" s="843">
        <v>84899</v>
      </c>
      <c r="L72" s="843">
        <v>1054.79</v>
      </c>
      <c r="M72" s="843">
        <v>548810.68000000005</v>
      </c>
      <c r="N72" s="842"/>
      <c r="O72" s="842"/>
      <c r="P72" s="842"/>
      <c r="Q72" s="842"/>
      <c r="R72" s="842"/>
      <c r="S72" s="842"/>
    </row>
    <row r="73" spans="1:19">
      <c r="A73" s="1107" t="s">
        <v>179</v>
      </c>
      <c r="B73" s="857" t="s">
        <v>180</v>
      </c>
      <c r="C73" s="863">
        <f t="shared" si="5"/>
        <v>903103.62</v>
      </c>
      <c r="D73" s="864">
        <f t="shared" si="6"/>
        <v>371419.22</v>
      </c>
      <c r="E73" s="865">
        <f t="shared" si="7"/>
        <v>340719.41</v>
      </c>
      <c r="F73" s="868">
        <f t="shared" si="8"/>
        <v>255635.94999999998</v>
      </c>
      <c r="G73" s="865">
        <f t="shared" si="8"/>
        <v>85083.459999999992</v>
      </c>
      <c r="H73" s="859">
        <v>900241.57</v>
      </c>
      <c r="I73" s="843">
        <v>0</v>
      </c>
      <c r="J73" s="843">
        <v>371419.22</v>
      </c>
      <c r="K73" s="843">
        <v>233260.11</v>
      </c>
      <c r="L73" s="843">
        <v>85086.01</v>
      </c>
      <c r="M73" s="843">
        <v>1590006.91</v>
      </c>
      <c r="N73" s="843">
        <v>2862.05</v>
      </c>
      <c r="O73" s="843">
        <v>0</v>
      </c>
      <c r="P73" s="843">
        <v>0</v>
      </c>
      <c r="Q73" s="843">
        <v>22375.84</v>
      </c>
      <c r="R73" s="843">
        <v>-2.5499999999999998</v>
      </c>
      <c r="S73" s="843">
        <v>25235.34</v>
      </c>
    </row>
    <row r="74" spans="1:19">
      <c r="A74" s="1107" t="s">
        <v>183</v>
      </c>
      <c r="B74" s="857" t="s">
        <v>184</v>
      </c>
      <c r="C74" s="863">
        <f t="shared" si="5"/>
        <v>194184.9</v>
      </c>
      <c r="D74" s="864">
        <f t="shared" si="6"/>
        <v>71769.119999999995</v>
      </c>
      <c r="E74" s="865">
        <f t="shared" si="7"/>
        <v>311568.17000000004</v>
      </c>
      <c r="F74" s="868">
        <f t="shared" si="8"/>
        <v>233752.57</v>
      </c>
      <c r="G74" s="865">
        <f t="shared" si="8"/>
        <v>77815.600000000006</v>
      </c>
      <c r="H74" s="859">
        <v>170156.99</v>
      </c>
      <c r="I74" s="843">
        <v>0</v>
      </c>
      <c r="J74" s="843">
        <v>71769.119999999995</v>
      </c>
      <c r="K74" s="843">
        <v>44375.89</v>
      </c>
      <c r="L74" s="843">
        <v>26323.81</v>
      </c>
      <c r="M74" s="843">
        <v>312625.81</v>
      </c>
      <c r="N74" s="843">
        <v>24027.91</v>
      </c>
      <c r="O74" s="843">
        <v>0</v>
      </c>
      <c r="P74" s="843">
        <v>0</v>
      </c>
      <c r="Q74" s="843">
        <v>189376.68</v>
      </c>
      <c r="R74" s="843">
        <v>51491.79</v>
      </c>
      <c r="S74" s="843">
        <v>264896.38</v>
      </c>
    </row>
    <row r="75" spans="1:19">
      <c r="A75" s="1107" t="s">
        <v>185</v>
      </c>
      <c r="B75" s="857" t="s">
        <v>186</v>
      </c>
      <c r="C75" s="863">
        <f t="shared" si="5"/>
        <v>342318.3</v>
      </c>
      <c r="D75" s="864">
        <f t="shared" si="6"/>
        <v>135063.75</v>
      </c>
      <c r="E75" s="865">
        <f t="shared" si="7"/>
        <v>260072.29</v>
      </c>
      <c r="F75" s="868">
        <f t="shared" si="8"/>
        <v>244602.31</v>
      </c>
      <c r="G75" s="865">
        <f t="shared" si="8"/>
        <v>15469.980000000001</v>
      </c>
      <c r="H75" s="859">
        <v>322647.8</v>
      </c>
      <c r="I75" s="843">
        <v>0</v>
      </c>
      <c r="J75" s="843">
        <v>135063.75</v>
      </c>
      <c r="K75" s="843">
        <v>83955.8</v>
      </c>
      <c r="L75" s="843">
        <v>15020.29</v>
      </c>
      <c r="M75" s="843">
        <v>556687.64</v>
      </c>
      <c r="N75" s="843">
        <v>19670.5</v>
      </c>
      <c r="O75" s="843">
        <v>0</v>
      </c>
      <c r="P75" s="843">
        <v>0</v>
      </c>
      <c r="Q75" s="843">
        <v>160646.51</v>
      </c>
      <c r="R75" s="843">
        <v>449.69</v>
      </c>
      <c r="S75" s="843">
        <v>180766.7</v>
      </c>
    </row>
    <row r="76" spans="1:19">
      <c r="A76" s="1107" t="s">
        <v>187</v>
      </c>
      <c r="B76" s="857" t="s">
        <v>188</v>
      </c>
      <c r="C76" s="863">
        <f t="shared" si="5"/>
        <v>337052.81999999995</v>
      </c>
      <c r="D76" s="864">
        <f t="shared" si="6"/>
        <v>124831.91</v>
      </c>
      <c r="E76" s="865">
        <f t="shared" si="7"/>
        <v>465402.41</v>
      </c>
      <c r="F76" s="868">
        <f t="shared" si="8"/>
        <v>420224.11</v>
      </c>
      <c r="G76" s="865">
        <f t="shared" si="8"/>
        <v>45178.3</v>
      </c>
      <c r="H76" s="859">
        <v>294528.65999999997</v>
      </c>
      <c r="I76" s="843">
        <v>0</v>
      </c>
      <c r="J76" s="843">
        <v>124831.91</v>
      </c>
      <c r="K76" s="843">
        <v>76922.41</v>
      </c>
      <c r="L76" s="843">
        <v>16854.009999999998</v>
      </c>
      <c r="M76" s="843">
        <v>513136.99</v>
      </c>
      <c r="N76" s="843">
        <v>42524.160000000003</v>
      </c>
      <c r="O76" s="843">
        <v>0</v>
      </c>
      <c r="P76" s="843">
        <v>0</v>
      </c>
      <c r="Q76" s="843">
        <v>343301.7</v>
      </c>
      <c r="R76" s="843">
        <v>28324.29</v>
      </c>
      <c r="S76" s="843">
        <v>414150.15</v>
      </c>
    </row>
    <row r="77" spans="1:19">
      <c r="A77" s="1107" t="s">
        <v>189</v>
      </c>
      <c r="B77" s="857" t="s">
        <v>190</v>
      </c>
      <c r="C77" s="863">
        <f t="shared" si="5"/>
        <v>3478155.37</v>
      </c>
      <c r="D77" s="864">
        <f t="shared" si="6"/>
        <v>1236131.07</v>
      </c>
      <c r="E77" s="865">
        <f t="shared" si="7"/>
        <v>5322518.0999999996</v>
      </c>
      <c r="F77" s="868">
        <f t="shared" si="8"/>
        <v>5318613.68</v>
      </c>
      <c r="G77" s="865">
        <f t="shared" si="8"/>
        <v>3904.42</v>
      </c>
      <c r="H77" s="859">
        <v>2906901.88</v>
      </c>
      <c r="I77" s="843">
        <v>0</v>
      </c>
      <c r="J77" s="843">
        <v>1236131.07</v>
      </c>
      <c r="K77" s="843">
        <v>759962.79</v>
      </c>
      <c r="L77" s="843">
        <v>2489.2600000000002</v>
      </c>
      <c r="M77" s="843">
        <v>4905485</v>
      </c>
      <c r="N77" s="843">
        <v>571253.49</v>
      </c>
      <c r="O77" s="843">
        <v>0</v>
      </c>
      <c r="P77" s="843">
        <v>0</v>
      </c>
      <c r="Q77" s="843">
        <v>4558650.8899999997</v>
      </c>
      <c r="R77" s="843">
        <v>1415.16</v>
      </c>
      <c r="S77" s="843">
        <v>5131319.54</v>
      </c>
    </row>
    <row r="78" spans="1:19">
      <c r="A78" s="1107" t="s">
        <v>191</v>
      </c>
      <c r="B78" s="857" t="s">
        <v>192</v>
      </c>
      <c r="C78" s="863">
        <f t="shared" si="5"/>
        <v>817660.33000000007</v>
      </c>
      <c r="D78" s="864">
        <f t="shared" si="6"/>
        <v>330238.02</v>
      </c>
      <c r="E78" s="865">
        <f t="shared" si="7"/>
        <v>366371.58999999997</v>
      </c>
      <c r="F78" s="868">
        <f t="shared" si="8"/>
        <v>330956.62</v>
      </c>
      <c r="G78" s="865">
        <f t="shared" si="8"/>
        <v>35414.97</v>
      </c>
      <c r="H78" s="859">
        <v>800494.31</v>
      </c>
      <c r="I78" s="843">
        <v>0</v>
      </c>
      <c r="J78" s="843">
        <v>330238.02</v>
      </c>
      <c r="K78" s="843">
        <v>207407.78</v>
      </c>
      <c r="L78" s="843">
        <v>35416.39</v>
      </c>
      <c r="M78" s="843">
        <v>1373556.5</v>
      </c>
      <c r="N78" s="843">
        <v>17166.02</v>
      </c>
      <c r="O78" s="843">
        <v>0</v>
      </c>
      <c r="P78" s="843">
        <v>0</v>
      </c>
      <c r="Q78" s="843">
        <v>123548.84</v>
      </c>
      <c r="R78" s="843">
        <v>-1.42</v>
      </c>
      <c r="S78" s="843">
        <v>140713.44</v>
      </c>
    </row>
    <row r="79" spans="1:19">
      <c r="A79" s="1107" t="s">
        <v>195</v>
      </c>
      <c r="B79" s="857" t="s">
        <v>196</v>
      </c>
      <c r="C79" s="863">
        <f t="shared" si="5"/>
        <v>134527.19999999998</v>
      </c>
      <c r="D79" s="864">
        <f t="shared" si="6"/>
        <v>49870.96</v>
      </c>
      <c r="E79" s="865">
        <f t="shared" si="7"/>
        <v>171265.04</v>
      </c>
      <c r="F79" s="868">
        <f t="shared" si="8"/>
        <v>163036.81</v>
      </c>
      <c r="G79" s="865">
        <f t="shared" si="8"/>
        <v>8228.23</v>
      </c>
      <c r="H79" s="859">
        <v>117967.18</v>
      </c>
      <c r="I79" s="843">
        <v>0</v>
      </c>
      <c r="J79" s="843">
        <v>49870.96</v>
      </c>
      <c r="K79" s="843">
        <v>30784.66</v>
      </c>
      <c r="L79" s="843">
        <v>4272.8999999999996</v>
      </c>
      <c r="M79" s="843">
        <v>202895.7</v>
      </c>
      <c r="N79" s="843">
        <v>16560.02</v>
      </c>
      <c r="O79" s="843">
        <v>0</v>
      </c>
      <c r="P79" s="843">
        <v>0</v>
      </c>
      <c r="Q79" s="843">
        <v>132252.15</v>
      </c>
      <c r="R79" s="843">
        <v>3955.33</v>
      </c>
      <c r="S79" s="843">
        <v>152767.5</v>
      </c>
    </row>
    <row r="80" spans="1:19">
      <c r="A80" s="1107" t="s">
        <v>199</v>
      </c>
      <c r="B80" s="857" t="s">
        <v>200</v>
      </c>
      <c r="C80" s="863">
        <f t="shared" si="5"/>
        <v>135904.5</v>
      </c>
      <c r="D80" s="864">
        <f t="shared" si="6"/>
        <v>53019.34</v>
      </c>
      <c r="E80" s="865">
        <f t="shared" si="7"/>
        <v>138323.80000000002</v>
      </c>
      <c r="F80" s="868">
        <f t="shared" si="8"/>
        <v>110587.45000000001</v>
      </c>
      <c r="G80" s="865">
        <f t="shared" si="8"/>
        <v>27736.35</v>
      </c>
      <c r="H80" s="859">
        <v>126385.86</v>
      </c>
      <c r="I80" s="843">
        <v>0</v>
      </c>
      <c r="J80" s="843">
        <v>53019.34</v>
      </c>
      <c r="K80" s="843">
        <v>32905.230000000003</v>
      </c>
      <c r="L80" s="843">
        <v>16737</v>
      </c>
      <c r="M80" s="843">
        <v>229047.43</v>
      </c>
      <c r="N80" s="843">
        <v>9518.64</v>
      </c>
      <c r="O80" s="843">
        <v>0</v>
      </c>
      <c r="P80" s="843">
        <v>0</v>
      </c>
      <c r="Q80" s="843">
        <v>77682.22</v>
      </c>
      <c r="R80" s="843">
        <v>10999.35</v>
      </c>
      <c r="S80" s="843">
        <v>98200.21</v>
      </c>
    </row>
    <row r="81" spans="1:19">
      <c r="A81" s="1107" t="s">
        <v>203</v>
      </c>
      <c r="B81" s="857" t="s">
        <v>204</v>
      </c>
      <c r="C81" s="863">
        <f t="shared" si="5"/>
        <v>1259601.6000000001</v>
      </c>
      <c r="D81" s="864">
        <f t="shared" si="6"/>
        <v>483935.41</v>
      </c>
      <c r="E81" s="865">
        <f t="shared" si="7"/>
        <v>1315148.73</v>
      </c>
      <c r="F81" s="868">
        <f t="shared" si="8"/>
        <v>1208851.46</v>
      </c>
      <c r="G81" s="865">
        <f t="shared" si="8"/>
        <v>106297.27</v>
      </c>
      <c r="H81" s="859">
        <v>1148824.0900000001</v>
      </c>
      <c r="I81" s="843">
        <v>0</v>
      </c>
      <c r="J81" s="843">
        <v>483935.41</v>
      </c>
      <c r="K81" s="843">
        <v>299498.63</v>
      </c>
      <c r="L81" s="843">
        <v>106224.21</v>
      </c>
      <c r="M81" s="843">
        <v>2038482.34</v>
      </c>
      <c r="N81" s="843">
        <v>110777.51</v>
      </c>
      <c r="O81" s="843">
        <v>0</v>
      </c>
      <c r="P81" s="843">
        <v>0</v>
      </c>
      <c r="Q81" s="843">
        <v>909352.83</v>
      </c>
      <c r="R81" s="843">
        <v>73.06</v>
      </c>
      <c r="S81" s="843">
        <v>1020203.4</v>
      </c>
    </row>
    <row r="82" spans="1:19">
      <c r="A82" s="1107" t="s">
        <v>205</v>
      </c>
      <c r="B82" s="857" t="s">
        <v>206</v>
      </c>
      <c r="C82" s="863">
        <f t="shared" si="5"/>
        <v>399251.35</v>
      </c>
      <c r="D82" s="864">
        <f t="shared" si="6"/>
        <v>165445.6</v>
      </c>
      <c r="E82" s="865">
        <f t="shared" si="7"/>
        <v>153040.60999999999</v>
      </c>
      <c r="F82" s="868">
        <f t="shared" si="8"/>
        <v>103580</v>
      </c>
      <c r="G82" s="865">
        <f t="shared" si="8"/>
        <v>49460.61</v>
      </c>
      <c r="H82" s="859">
        <v>399251.35</v>
      </c>
      <c r="I82" s="843">
        <v>0</v>
      </c>
      <c r="J82" s="843">
        <v>165445.6</v>
      </c>
      <c r="K82" s="843">
        <v>103580</v>
      </c>
      <c r="L82" s="843">
        <v>49460.61</v>
      </c>
      <c r="M82" s="843">
        <v>717737.56</v>
      </c>
      <c r="N82" s="842"/>
      <c r="O82" s="842"/>
      <c r="P82" s="842"/>
      <c r="Q82" s="842"/>
      <c r="R82" s="842"/>
      <c r="S82" s="842"/>
    </row>
    <row r="83" spans="1:19">
      <c r="A83" s="1107" t="s">
        <v>207</v>
      </c>
      <c r="B83" s="857" t="s">
        <v>208</v>
      </c>
      <c r="C83" s="863">
        <f t="shared" si="5"/>
        <v>1403844.6099999999</v>
      </c>
      <c r="D83" s="864">
        <f t="shared" si="6"/>
        <v>547903.39</v>
      </c>
      <c r="E83" s="865">
        <f t="shared" si="7"/>
        <v>1159625.3</v>
      </c>
      <c r="F83" s="868">
        <f t="shared" si="8"/>
        <v>1156156.44</v>
      </c>
      <c r="G83" s="865">
        <f t="shared" si="8"/>
        <v>3468.86</v>
      </c>
      <c r="H83" s="859">
        <v>1303910.6599999999</v>
      </c>
      <c r="I83" s="843">
        <v>0</v>
      </c>
      <c r="J83" s="843">
        <v>547903.39</v>
      </c>
      <c r="K83" s="843">
        <v>339677.94</v>
      </c>
      <c r="L83" s="843">
        <v>2146.92</v>
      </c>
      <c r="M83" s="843">
        <v>2193638.91</v>
      </c>
      <c r="N83" s="843">
        <v>99933.95</v>
      </c>
      <c r="O83" s="843">
        <v>0</v>
      </c>
      <c r="P83" s="843">
        <v>0</v>
      </c>
      <c r="Q83" s="843">
        <v>816478.5</v>
      </c>
      <c r="R83" s="843">
        <v>1321.94</v>
      </c>
      <c r="S83" s="843">
        <v>917734.39</v>
      </c>
    </row>
    <row r="84" spans="1:19">
      <c r="A84" s="1107" t="s">
        <v>209</v>
      </c>
      <c r="B84" s="857" t="s">
        <v>210</v>
      </c>
      <c r="C84" s="863">
        <f t="shared" si="5"/>
        <v>727995.26</v>
      </c>
      <c r="D84" s="864">
        <f t="shared" si="6"/>
        <v>300797.87</v>
      </c>
      <c r="E84" s="865">
        <f t="shared" si="7"/>
        <v>334665.38</v>
      </c>
      <c r="F84" s="868">
        <f t="shared" si="8"/>
        <v>188708.52</v>
      </c>
      <c r="G84" s="865">
        <f t="shared" si="8"/>
        <v>145956.85999999999</v>
      </c>
      <c r="H84" s="859">
        <v>727995.26</v>
      </c>
      <c r="I84" s="843">
        <v>0</v>
      </c>
      <c r="J84" s="843">
        <v>300797.87</v>
      </c>
      <c r="K84" s="843">
        <v>188708.52</v>
      </c>
      <c r="L84" s="843">
        <v>145956.85999999999</v>
      </c>
      <c r="M84" s="843">
        <v>1363458.51</v>
      </c>
      <c r="N84" s="842"/>
      <c r="O84" s="842"/>
      <c r="P84" s="842"/>
      <c r="Q84" s="842"/>
      <c r="R84" s="842"/>
      <c r="S84" s="842"/>
    </row>
    <row r="85" spans="1:19">
      <c r="A85" s="1107" t="s">
        <v>211</v>
      </c>
      <c r="B85" s="857" t="s">
        <v>212</v>
      </c>
      <c r="C85" s="863">
        <f t="shared" si="5"/>
        <v>515487.98</v>
      </c>
      <c r="D85" s="864">
        <f t="shared" si="6"/>
        <v>213153.37</v>
      </c>
      <c r="E85" s="865">
        <f t="shared" si="7"/>
        <v>139149.67000000001</v>
      </c>
      <c r="F85" s="868">
        <f t="shared" si="8"/>
        <v>133652.75</v>
      </c>
      <c r="G85" s="865">
        <f t="shared" si="8"/>
        <v>5496.92</v>
      </c>
      <c r="H85" s="859">
        <v>515487.98</v>
      </c>
      <c r="I85" s="843">
        <v>0</v>
      </c>
      <c r="J85" s="843">
        <v>213153.37</v>
      </c>
      <c r="K85" s="843">
        <v>133652.75</v>
      </c>
      <c r="L85" s="843">
        <v>5496.92</v>
      </c>
      <c r="M85" s="843">
        <v>867791.02</v>
      </c>
      <c r="N85" s="842"/>
      <c r="O85" s="842"/>
      <c r="P85" s="842"/>
      <c r="Q85" s="842"/>
      <c r="R85" s="842"/>
      <c r="S85" s="842"/>
    </row>
    <row r="86" spans="1:19">
      <c r="A86" s="1107" t="s">
        <v>213</v>
      </c>
      <c r="B86" s="857" t="s">
        <v>214</v>
      </c>
      <c r="C86" s="863">
        <f t="shared" si="5"/>
        <v>421344.27</v>
      </c>
      <c r="D86" s="864">
        <f t="shared" si="6"/>
        <v>161415.42000000001</v>
      </c>
      <c r="E86" s="865">
        <f t="shared" si="7"/>
        <v>891937.96</v>
      </c>
      <c r="F86" s="868">
        <f t="shared" si="8"/>
        <v>409659.08</v>
      </c>
      <c r="G86" s="865">
        <f t="shared" si="8"/>
        <v>482278.88</v>
      </c>
      <c r="H86" s="859">
        <v>383677.94</v>
      </c>
      <c r="I86" s="843">
        <v>0</v>
      </c>
      <c r="J86" s="843">
        <v>161415.42000000001</v>
      </c>
      <c r="K86" s="843">
        <v>99984.49</v>
      </c>
      <c r="L86" s="843">
        <v>478466.03</v>
      </c>
      <c r="M86" s="843">
        <v>1123543.8799999999</v>
      </c>
      <c r="N86" s="843">
        <v>37666.33</v>
      </c>
      <c r="O86" s="843">
        <v>0</v>
      </c>
      <c r="P86" s="843">
        <v>0</v>
      </c>
      <c r="Q86" s="843">
        <v>309674.59000000003</v>
      </c>
      <c r="R86" s="843">
        <v>3812.85</v>
      </c>
      <c r="S86" s="843">
        <v>351153.77</v>
      </c>
    </row>
    <row r="87" spans="1:19">
      <c r="A87" s="1107" t="s">
        <v>215</v>
      </c>
      <c r="B87" s="857" t="s">
        <v>216</v>
      </c>
      <c r="C87" s="863">
        <f t="shared" si="5"/>
        <v>880790.82</v>
      </c>
      <c r="D87" s="864">
        <f t="shared" si="6"/>
        <v>364286.71</v>
      </c>
      <c r="E87" s="865">
        <f t="shared" si="7"/>
        <v>297658.06</v>
      </c>
      <c r="F87" s="868">
        <f t="shared" si="8"/>
        <v>228383.96</v>
      </c>
      <c r="G87" s="865">
        <f t="shared" si="8"/>
        <v>69274.100000000006</v>
      </c>
      <c r="H87" s="859">
        <v>880790.82</v>
      </c>
      <c r="I87" s="843">
        <v>0</v>
      </c>
      <c r="J87" s="843">
        <v>364286.71</v>
      </c>
      <c r="K87" s="843">
        <v>228383.96</v>
      </c>
      <c r="L87" s="843">
        <v>69274.100000000006</v>
      </c>
      <c r="M87" s="843">
        <v>1542735.59</v>
      </c>
      <c r="N87" s="842"/>
      <c r="O87" s="842"/>
      <c r="P87" s="842"/>
      <c r="Q87" s="842"/>
      <c r="R87" s="842"/>
      <c r="S87" s="842"/>
    </row>
    <row r="88" spans="1:19">
      <c r="A88" s="1107" t="s">
        <v>217</v>
      </c>
      <c r="B88" s="857" t="s">
        <v>218</v>
      </c>
      <c r="C88" s="863">
        <f t="shared" si="5"/>
        <v>411555.12</v>
      </c>
      <c r="D88" s="864">
        <f t="shared" si="6"/>
        <v>170064.16</v>
      </c>
      <c r="E88" s="865">
        <f t="shared" si="7"/>
        <v>109708.82999999999</v>
      </c>
      <c r="F88" s="868">
        <f t="shared" si="8"/>
        <v>106683.68</v>
      </c>
      <c r="G88" s="865">
        <f t="shared" si="8"/>
        <v>3025.15</v>
      </c>
      <c r="H88" s="859">
        <v>411555.12</v>
      </c>
      <c r="I88" s="843">
        <v>0</v>
      </c>
      <c r="J88" s="843">
        <v>170064.16</v>
      </c>
      <c r="K88" s="843">
        <v>106683.68</v>
      </c>
      <c r="L88" s="843">
        <v>3025.15</v>
      </c>
      <c r="M88" s="843">
        <v>691328.11</v>
      </c>
      <c r="N88" s="842"/>
      <c r="O88" s="842"/>
      <c r="P88" s="842"/>
      <c r="Q88" s="842"/>
      <c r="R88" s="842"/>
      <c r="S88" s="842"/>
    </row>
    <row r="89" spans="1:19">
      <c r="A89" s="1107" t="s">
        <v>219</v>
      </c>
      <c r="B89" s="857" t="s">
        <v>220</v>
      </c>
      <c r="C89" s="863">
        <f t="shared" si="5"/>
        <v>947186.63</v>
      </c>
      <c r="D89" s="864">
        <f t="shared" si="6"/>
        <v>318562.84999999998</v>
      </c>
      <c r="E89" s="865">
        <f t="shared" si="7"/>
        <v>1817207.1500000001</v>
      </c>
      <c r="F89" s="868">
        <f t="shared" si="8"/>
        <v>1798340.56</v>
      </c>
      <c r="G89" s="865">
        <f t="shared" si="8"/>
        <v>18866.59</v>
      </c>
      <c r="H89" s="859">
        <v>747051.98</v>
      </c>
      <c r="I89" s="843">
        <v>0</v>
      </c>
      <c r="J89" s="843">
        <v>318562.84999999998</v>
      </c>
      <c r="K89" s="843">
        <v>195465.94</v>
      </c>
      <c r="L89" s="843">
        <v>10925.5</v>
      </c>
      <c r="M89" s="843">
        <v>1272006.27</v>
      </c>
      <c r="N89" s="843">
        <v>200134.65</v>
      </c>
      <c r="O89" s="843">
        <v>0</v>
      </c>
      <c r="P89" s="843">
        <v>0</v>
      </c>
      <c r="Q89" s="843">
        <v>1602874.62</v>
      </c>
      <c r="R89" s="843">
        <v>7941.09</v>
      </c>
      <c r="S89" s="843">
        <v>1810950.36</v>
      </c>
    </row>
    <row r="90" spans="1:19">
      <c r="A90" s="1107" t="s">
        <v>221</v>
      </c>
      <c r="B90" s="857" t="s">
        <v>222</v>
      </c>
      <c r="C90" s="863">
        <f t="shared" si="5"/>
        <v>924451.95</v>
      </c>
      <c r="D90" s="864">
        <f t="shared" si="6"/>
        <v>355425.44</v>
      </c>
      <c r="E90" s="865">
        <f t="shared" si="7"/>
        <v>891595.17</v>
      </c>
      <c r="F90" s="868">
        <f t="shared" si="8"/>
        <v>884437.88</v>
      </c>
      <c r="G90" s="865">
        <f t="shared" si="8"/>
        <v>7157.29</v>
      </c>
      <c r="H90" s="859">
        <v>842943.35</v>
      </c>
      <c r="I90" s="843">
        <v>0</v>
      </c>
      <c r="J90" s="843">
        <v>355425.44</v>
      </c>
      <c r="K90" s="843">
        <v>219817.41</v>
      </c>
      <c r="L90" s="843">
        <v>7164.58</v>
      </c>
      <c r="M90" s="843">
        <v>1425350.78</v>
      </c>
      <c r="N90" s="843">
        <v>81508.600000000006</v>
      </c>
      <c r="O90" s="843">
        <v>0</v>
      </c>
      <c r="P90" s="843">
        <v>0</v>
      </c>
      <c r="Q90" s="843">
        <v>664620.47</v>
      </c>
      <c r="R90" s="843">
        <v>-7.29</v>
      </c>
      <c r="S90" s="843">
        <v>746121.78</v>
      </c>
    </row>
    <row r="91" spans="1:19">
      <c r="A91" s="1107" t="s">
        <v>225</v>
      </c>
      <c r="B91" s="857" t="s">
        <v>226</v>
      </c>
      <c r="C91" s="863">
        <f t="shared" si="5"/>
        <v>303604.27999999997</v>
      </c>
      <c r="D91" s="864">
        <f t="shared" si="6"/>
        <v>119820.93</v>
      </c>
      <c r="E91" s="865">
        <f t="shared" si="7"/>
        <v>379285.41</v>
      </c>
      <c r="F91" s="868">
        <f t="shared" si="8"/>
        <v>231051.61</v>
      </c>
      <c r="G91" s="865">
        <f t="shared" si="8"/>
        <v>148233.79999999999</v>
      </c>
      <c r="H91" s="859">
        <v>284788.3</v>
      </c>
      <c r="I91" s="843">
        <v>0</v>
      </c>
      <c r="J91" s="843">
        <v>119820.93</v>
      </c>
      <c r="K91" s="843">
        <v>74216.5</v>
      </c>
      <c r="L91" s="843">
        <v>145039.85999999999</v>
      </c>
      <c r="M91" s="843">
        <v>623865.59</v>
      </c>
      <c r="N91" s="843">
        <v>18815.98</v>
      </c>
      <c r="O91" s="843">
        <v>0</v>
      </c>
      <c r="P91" s="843">
        <v>0</v>
      </c>
      <c r="Q91" s="843">
        <v>156835.10999999999</v>
      </c>
      <c r="R91" s="843">
        <v>3193.94</v>
      </c>
      <c r="S91" s="843">
        <v>178845.03</v>
      </c>
    </row>
    <row r="92" spans="1:19">
      <c r="A92" s="1107" t="s">
        <v>227</v>
      </c>
      <c r="B92" s="857" t="s">
        <v>228</v>
      </c>
      <c r="C92" s="863">
        <f t="shared" si="5"/>
        <v>367217.76999999996</v>
      </c>
      <c r="D92" s="864">
        <f t="shared" si="6"/>
        <v>151348</v>
      </c>
      <c r="E92" s="865">
        <f t="shared" si="7"/>
        <v>130437.95999999999</v>
      </c>
      <c r="F92" s="868">
        <f t="shared" si="8"/>
        <v>123135.87</v>
      </c>
      <c r="G92" s="865">
        <f t="shared" si="8"/>
        <v>7302.0899999999992</v>
      </c>
      <c r="H92" s="859">
        <v>363780.8</v>
      </c>
      <c r="I92" s="843">
        <v>0</v>
      </c>
      <c r="J92" s="843">
        <v>151348</v>
      </c>
      <c r="K92" s="843">
        <v>94487.08</v>
      </c>
      <c r="L92" s="843">
        <v>7302.15</v>
      </c>
      <c r="M92" s="843">
        <v>616918.03</v>
      </c>
      <c r="N92" s="843">
        <v>3436.97</v>
      </c>
      <c r="O92" s="843">
        <v>0</v>
      </c>
      <c r="P92" s="843">
        <v>0</v>
      </c>
      <c r="Q92" s="843">
        <v>28648.79</v>
      </c>
      <c r="R92" s="843">
        <v>-0.06</v>
      </c>
      <c r="S92" s="843">
        <v>32085.7</v>
      </c>
    </row>
    <row r="93" spans="1:19">
      <c r="A93" s="1107" t="s">
        <v>229</v>
      </c>
      <c r="B93" s="857" t="s">
        <v>230</v>
      </c>
      <c r="C93" s="863">
        <f t="shared" si="5"/>
        <v>1141050.1399999999</v>
      </c>
      <c r="D93" s="864">
        <f t="shared" si="6"/>
        <v>468933.74</v>
      </c>
      <c r="E93" s="865">
        <f t="shared" si="7"/>
        <v>393864.57999999996</v>
      </c>
      <c r="F93" s="868">
        <f t="shared" si="8"/>
        <v>360265.72</v>
      </c>
      <c r="G93" s="865">
        <f t="shared" si="8"/>
        <v>33598.86</v>
      </c>
      <c r="H93" s="859">
        <v>1132650.1599999999</v>
      </c>
      <c r="I93" s="843">
        <v>0</v>
      </c>
      <c r="J93" s="843">
        <v>468933.74</v>
      </c>
      <c r="K93" s="843">
        <v>293778.21999999997</v>
      </c>
      <c r="L93" s="843">
        <v>33600</v>
      </c>
      <c r="M93" s="843">
        <v>1928962.12</v>
      </c>
      <c r="N93" s="843">
        <v>8399.98</v>
      </c>
      <c r="O93" s="843">
        <v>0</v>
      </c>
      <c r="P93" s="843">
        <v>0</v>
      </c>
      <c r="Q93" s="843">
        <v>66487.5</v>
      </c>
      <c r="R93" s="843">
        <v>-1.1399999999999999</v>
      </c>
      <c r="S93" s="843">
        <v>74886.34</v>
      </c>
    </row>
    <row r="94" spans="1:19">
      <c r="A94" s="1107" t="s">
        <v>233</v>
      </c>
      <c r="B94" s="857" t="s">
        <v>234</v>
      </c>
      <c r="C94" s="863">
        <f t="shared" si="5"/>
        <v>546290.84</v>
      </c>
      <c r="D94" s="864">
        <f t="shared" si="6"/>
        <v>214659.11</v>
      </c>
      <c r="E94" s="865">
        <f t="shared" si="7"/>
        <v>437596.6</v>
      </c>
      <c r="F94" s="868">
        <f t="shared" si="8"/>
        <v>433535.81999999995</v>
      </c>
      <c r="G94" s="865">
        <f t="shared" si="8"/>
        <v>4060.7799999999997</v>
      </c>
      <c r="H94" s="859">
        <v>509666.97</v>
      </c>
      <c r="I94" s="843">
        <v>0</v>
      </c>
      <c r="J94" s="843">
        <v>214659.11</v>
      </c>
      <c r="K94" s="843">
        <v>132861.71</v>
      </c>
      <c r="L94" s="843">
        <v>3226.97</v>
      </c>
      <c r="M94" s="843">
        <v>860414.76</v>
      </c>
      <c r="N94" s="843">
        <v>36623.870000000003</v>
      </c>
      <c r="O94" s="843">
        <v>0</v>
      </c>
      <c r="P94" s="843">
        <v>0</v>
      </c>
      <c r="Q94" s="843">
        <v>300674.11</v>
      </c>
      <c r="R94" s="843">
        <v>833.81</v>
      </c>
      <c r="S94" s="843">
        <v>338131.79</v>
      </c>
    </row>
    <row r="95" spans="1:19">
      <c r="A95" s="1107" t="s">
        <v>235</v>
      </c>
      <c r="B95" s="857" t="s">
        <v>236</v>
      </c>
      <c r="C95" s="863">
        <f t="shared" si="5"/>
        <v>847833.36</v>
      </c>
      <c r="D95" s="864">
        <f t="shared" si="6"/>
        <v>350433.01</v>
      </c>
      <c r="E95" s="865">
        <f t="shared" si="7"/>
        <v>230652.06000000003</v>
      </c>
      <c r="F95" s="868">
        <f t="shared" si="8"/>
        <v>219796.14</v>
      </c>
      <c r="G95" s="865">
        <f t="shared" si="8"/>
        <v>10855.92</v>
      </c>
      <c r="H95" s="859">
        <v>847833.36</v>
      </c>
      <c r="I95" s="843">
        <v>0</v>
      </c>
      <c r="J95" s="843">
        <v>350433.01</v>
      </c>
      <c r="K95" s="843">
        <v>219796.14</v>
      </c>
      <c r="L95" s="843">
        <v>10855.92</v>
      </c>
      <c r="M95" s="843">
        <v>1428918.43</v>
      </c>
      <c r="N95" s="842"/>
      <c r="O95" s="842"/>
      <c r="P95" s="842"/>
      <c r="Q95" s="842"/>
      <c r="R95" s="842"/>
      <c r="S95" s="842"/>
    </row>
    <row r="96" spans="1:19">
      <c r="A96" s="1107" t="s">
        <v>237</v>
      </c>
      <c r="B96" s="857" t="s">
        <v>238</v>
      </c>
      <c r="C96" s="863">
        <f t="shared" si="5"/>
        <v>334282.44</v>
      </c>
      <c r="D96" s="864">
        <f t="shared" si="6"/>
        <v>133713.82999999999</v>
      </c>
      <c r="E96" s="865">
        <f t="shared" si="7"/>
        <v>249320.19</v>
      </c>
      <c r="F96" s="868">
        <f t="shared" si="8"/>
        <v>178544.82</v>
      </c>
      <c r="G96" s="865">
        <f t="shared" si="8"/>
        <v>70775.37000000001</v>
      </c>
      <c r="H96" s="859">
        <v>322218.28999999998</v>
      </c>
      <c r="I96" s="843">
        <v>0</v>
      </c>
      <c r="J96" s="843">
        <v>133713.82999999999</v>
      </c>
      <c r="K96" s="843">
        <v>83629.14</v>
      </c>
      <c r="L96" s="843">
        <v>70776.27</v>
      </c>
      <c r="M96" s="843">
        <v>610337.53</v>
      </c>
      <c r="N96" s="843">
        <v>12064.15</v>
      </c>
      <c r="O96" s="843">
        <v>0</v>
      </c>
      <c r="P96" s="843">
        <v>0</v>
      </c>
      <c r="Q96" s="843">
        <v>94915.68</v>
      </c>
      <c r="R96" s="843">
        <v>-0.9</v>
      </c>
      <c r="S96" s="843">
        <v>106978.93</v>
      </c>
    </row>
    <row r="97" spans="1:19">
      <c r="A97" s="1107" t="s">
        <v>243</v>
      </c>
      <c r="B97" s="857" t="s">
        <v>244</v>
      </c>
      <c r="C97" s="863">
        <f t="shared" si="5"/>
        <v>1388475.11</v>
      </c>
      <c r="D97" s="864">
        <f t="shared" si="6"/>
        <v>572066.72</v>
      </c>
      <c r="E97" s="865">
        <f t="shared" si="7"/>
        <v>407924.68000000005</v>
      </c>
      <c r="F97" s="868">
        <f t="shared" si="8"/>
        <v>405523.23000000004</v>
      </c>
      <c r="G97" s="865">
        <f t="shared" si="8"/>
        <v>2401.4499999999998</v>
      </c>
      <c r="H97" s="859">
        <v>1382958.26</v>
      </c>
      <c r="I97" s="843">
        <v>0</v>
      </c>
      <c r="J97" s="843">
        <v>572066.72</v>
      </c>
      <c r="K97" s="843">
        <v>358609.9</v>
      </c>
      <c r="L97" s="843">
        <v>2402.25</v>
      </c>
      <c r="M97" s="843">
        <v>2316037.13</v>
      </c>
      <c r="N97" s="843">
        <v>5516.85</v>
      </c>
      <c r="O97" s="843">
        <v>0</v>
      </c>
      <c r="P97" s="843">
        <v>0</v>
      </c>
      <c r="Q97" s="843">
        <v>46913.33</v>
      </c>
      <c r="R97" s="843">
        <v>-0.8</v>
      </c>
      <c r="S97" s="843">
        <v>52429.38</v>
      </c>
    </row>
    <row r="98" spans="1:19">
      <c r="A98" s="1107" t="s">
        <v>245</v>
      </c>
      <c r="B98" s="857" t="s">
        <v>246</v>
      </c>
      <c r="C98" s="863">
        <f t="shared" si="5"/>
        <v>581837.86</v>
      </c>
      <c r="D98" s="864">
        <f t="shared" si="6"/>
        <v>237407.97</v>
      </c>
      <c r="E98" s="865">
        <f t="shared" si="7"/>
        <v>221911.19999999998</v>
      </c>
      <c r="F98" s="868">
        <f t="shared" si="8"/>
        <v>205653.66999999998</v>
      </c>
      <c r="G98" s="865">
        <f t="shared" si="8"/>
        <v>16257.53</v>
      </c>
      <c r="H98" s="859">
        <v>574168.52</v>
      </c>
      <c r="I98" s="843">
        <v>0</v>
      </c>
      <c r="J98" s="843">
        <v>237407.97</v>
      </c>
      <c r="K98" s="843">
        <v>148865.71</v>
      </c>
      <c r="L98" s="843">
        <v>16258.01</v>
      </c>
      <c r="M98" s="843">
        <v>976700.21</v>
      </c>
      <c r="N98" s="843">
        <v>7669.34</v>
      </c>
      <c r="O98" s="843">
        <v>0</v>
      </c>
      <c r="P98" s="843">
        <v>0</v>
      </c>
      <c r="Q98" s="843">
        <v>56787.96</v>
      </c>
      <c r="R98" s="843">
        <v>-0.48</v>
      </c>
      <c r="S98" s="843">
        <v>64456.82</v>
      </c>
    </row>
    <row r="99" spans="1:19">
      <c r="A99" s="1107" t="s">
        <v>247</v>
      </c>
      <c r="B99" s="857" t="s">
        <v>389</v>
      </c>
      <c r="C99" s="863">
        <f t="shared" si="5"/>
        <v>813667.35</v>
      </c>
      <c r="D99" s="864">
        <f t="shared" si="6"/>
        <v>301615.65000000002</v>
      </c>
      <c r="E99" s="865">
        <f t="shared" si="7"/>
        <v>1013571.59</v>
      </c>
      <c r="F99" s="868">
        <f t="shared" si="8"/>
        <v>1005940.89</v>
      </c>
      <c r="G99" s="865">
        <f t="shared" si="8"/>
        <v>7630.7000000000007</v>
      </c>
      <c r="H99" s="859">
        <v>711357.7</v>
      </c>
      <c r="I99" s="843">
        <v>0</v>
      </c>
      <c r="J99" s="843">
        <v>301615.65000000002</v>
      </c>
      <c r="K99" s="843">
        <v>185809.65</v>
      </c>
      <c r="L99" s="843">
        <v>4224.55</v>
      </c>
      <c r="M99" s="843">
        <v>1203007.55</v>
      </c>
      <c r="N99" s="843">
        <v>102309.65</v>
      </c>
      <c r="O99" s="843">
        <v>0</v>
      </c>
      <c r="P99" s="843">
        <v>0</v>
      </c>
      <c r="Q99" s="843">
        <v>820131.24</v>
      </c>
      <c r="R99" s="843">
        <v>3406.15</v>
      </c>
      <c r="S99" s="843">
        <v>925847.04000000004</v>
      </c>
    </row>
    <row r="100" spans="1:19">
      <c r="A100" s="1107" t="s">
        <v>14</v>
      </c>
      <c r="B100" s="857" t="s">
        <v>15</v>
      </c>
      <c r="C100" s="863">
        <f t="shared" si="5"/>
        <v>3145119.6399999997</v>
      </c>
      <c r="D100" s="864">
        <f t="shared" si="6"/>
        <v>1082892.57</v>
      </c>
      <c r="E100" s="865">
        <f t="shared" si="7"/>
        <v>5857108.0399999991</v>
      </c>
      <c r="F100" s="868">
        <f t="shared" si="8"/>
        <v>5499407.9499999993</v>
      </c>
      <c r="G100" s="865">
        <f t="shared" si="8"/>
        <v>357700.08999999997</v>
      </c>
      <c r="H100" s="859">
        <v>2548579.5299999998</v>
      </c>
      <c r="I100" s="843">
        <v>0</v>
      </c>
      <c r="J100" s="843">
        <v>1082892.57</v>
      </c>
      <c r="K100" s="843">
        <v>666124.18999999994</v>
      </c>
      <c r="L100" s="843">
        <v>307774.74</v>
      </c>
      <c r="M100" s="843">
        <v>4605371.03</v>
      </c>
      <c r="N100" s="843">
        <v>596540.11</v>
      </c>
      <c r="O100" s="843">
        <v>0</v>
      </c>
      <c r="P100" s="843">
        <v>0</v>
      </c>
      <c r="Q100" s="843">
        <v>4833283.76</v>
      </c>
      <c r="R100" s="843">
        <v>49925.35</v>
      </c>
      <c r="S100" s="843">
        <v>5479749.2199999997</v>
      </c>
    </row>
    <row r="101" spans="1:19">
      <c r="A101" s="1107" t="s">
        <v>35</v>
      </c>
      <c r="B101" s="857" t="s">
        <v>36</v>
      </c>
      <c r="C101" s="863">
        <f t="shared" si="5"/>
        <v>600639.88</v>
      </c>
      <c r="D101" s="864">
        <f t="shared" si="6"/>
        <v>248124.44</v>
      </c>
      <c r="E101" s="865">
        <f t="shared" si="7"/>
        <v>155666.68</v>
      </c>
      <c r="F101" s="868">
        <f t="shared" si="8"/>
        <v>155685.81</v>
      </c>
      <c r="G101" s="865">
        <f t="shared" si="8"/>
        <v>-19.13</v>
      </c>
      <c r="H101" s="859">
        <v>600639.88</v>
      </c>
      <c r="I101" s="843">
        <v>0</v>
      </c>
      <c r="J101" s="843">
        <v>248124.44</v>
      </c>
      <c r="K101" s="843">
        <v>155685.81</v>
      </c>
      <c r="L101" s="843">
        <v>-19.13</v>
      </c>
      <c r="M101" s="843">
        <v>1004431</v>
      </c>
      <c r="N101" s="842"/>
      <c r="O101" s="842"/>
      <c r="P101" s="842"/>
      <c r="Q101" s="842"/>
      <c r="R101" s="842"/>
      <c r="S101" s="842"/>
    </row>
    <row r="102" spans="1:19">
      <c r="A102" s="1107" t="s">
        <v>53</v>
      </c>
      <c r="B102" s="857" t="s">
        <v>54</v>
      </c>
      <c r="C102" s="863">
        <f t="shared" si="5"/>
        <v>1726496.6800000002</v>
      </c>
      <c r="D102" s="864">
        <f t="shared" si="6"/>
        <v>657791.43999999994</v>
      </c>
      <c r="E102" s="865">
        <f t="shared" si="7"/>
        <v>1579235.97</v>
      </c>
      <c r="F102" s="868">
        <f t="shared" si="8"/>
        <v>1569071.5</v>
      </c>
      <c r="G102" s="865">
        <f t="shared" si="8"/>
        <v>10164.470000000001</v>
      </c>
      <c r="H102" s="859">
        <v>1577401.83</v>
      </c>
      <c r="I102" s="843">
        <v>0</v>
      </c>
      <c r="J102" s="843">
        <v>657791.43999999994</v>
      </c>
      <c r="K102" s="843">
        <v>410001.14</v>
      </c>
      <c r="L102" s="843">
        <v>10176.61</v>
      </c>
      <c r="M102" s="843">
        <v>2655371.02</v>
      </c>
      <c r="N102" s="843">
        <v>149094.85</v>
      </c>
      <c r="O102" s="843">
        <v>0</v>
      </c>
      <c r="P102" s="843">
        <v>0</v>
      </c>
      <c r="Q102" s="843">
        <v>1159070.3600000001</v>
      </c>
      <c r="R102" s="843">
        <v>-12.14</v>
      </c>
      <c r="S102" s="843">
        <v>1308153.07</v>
      </c>
    </row>
    <row r="103" spans="1:19">
      <c r="A103" s="1107" t="s">
        <v>55</v>
      </c>
      <c r="B103" s="857" t="s">
        <v>56</v>
      </c>
      <c r="C103" s="863">
        <f t="shared" si="5"/>
        <v>2876745.52</v>
      </c>
      <c r="D103" s="864">
        <f t="shared" si="6"/>
        <v>1107947.32</v>
      </c>
      <c r="E103" s="865">
        <f t="shared" si="7"/>
        <v>2659964.7400000002</v>
      </c>
      <c r="F103" s="868">
        <f t="shared" si="8"/>
        <v>2656871.35</v>
      </c>
      <c r="G103" s="865">
        <f t="shared" si="8"/>
        <v>3093.39</v>
      </c>
      <c r="H103" s="859">
        <v>2635250.25</v>
      </c>
      <c r="I103" s="843">
        <v>0</v>
      </c>
      <c r="J103" s="843">
        <v>1107947.32</v>
      </c>
      <c r="K103" s="843">
        <v>686618.07</v>
      </c>
      <c r="L103" s="843">
        <v>3098.44</v>
      </c>
      <c r="M103" s="843">
        <v>4432914.08</v>
      </c>
      <c r="N103" s="843">
        <v>241495.27</v>
      </c>
      <c r="O103" s="843">
        <v>0</v>
      </c>
      <c r="P103" s="843">
        <v>0</v>
      </c>
      <c r="Q103" s="843">
        <v>1970253.28</v>
      </c>
      <c r="R103" s="843">
        <v>-5.05</v>
      </c>
      <c r="S103" s="843">
        <v>2211743.5</v>
      </c>
    </row>
    <row r="104" spans="1:19">
      <c r="A104" s="1107" t="s">
        <v>67</v>
      </c>
      <c r="B104" s="857" t="s">
        <v>68</v>
      </c>
      <c r="C104" s="863">
        <f t="shared" si="5"/>
        <v>1397766.36</v>
      </c>
      <c r="D104" s="864">
        <f t="shared" si="6"/>
        <v>579404.18999999994</v>
      </c>
      <c r="E104" s="865">
        <f t="shared" si="7"/>
        <v>367615.87</v>
      </c>
      <c r="F104" s="868">
        <f t="shared" si="8"/>
        <v>362673.91999999998</v>
      </c>
      <c r="G104" s="865">
        <f t="shared" si="8"/>
        <v>4941.95</v>
      </c>
      <c r="H104" s="859">
        <v>1397766.36</v>
      </c>
      <c r="I104" s="843">
        <v>0</v>
      </c>
      <c r="J104" s="843">
        <v>579404.18999999994</v>
      </c>
      <c r="K104" s="843">
        <v>362673.91999999998</v>
      </c>
      <c r="L104" s="843">
        <v>4941.95</v>
      </c>
      <c r="M104" s="843">
        <v>2344786.42</v>
      </c>
      <c r="N104" s="842"/>
      <c r="O104" s="842"/>
      <c r="P104" s="842"/>
      <c r="Q104" s="842"/>
      <c r="R104" s="842"/>
      <c r="S104" s="842"/>
    </row>
    <row r="105" spans="1:19">
      <c r="A105" s="1107" t="s">
        <v>83</v>
      </c>
      <c r="B105" s="857" t="s">
        <v>390</v>
      </c>
      <c r="C105" s="863">
        <f t="shared" si="5"/>
        <v>250624.19</v>
      </c>
      <c r="D105" s="864">
        <f t="shared" si="6"/>
        <v>97924.14</v>
      </c>
      <c r="E105" s="865">
        <f t="shared" si="7"/>
        <v>210677.59</v>
      </c>
      <c r="F105" s="868">
        <f t="shared" si="8"/>
        <v>209387.74</v>
      </c>
      <c r="G105" s="865">
        <f t="shared" si="8"/>
        <v>1289.8499999999999</v>
      </c>
      <c r="H105" s="859">
        <v>232452.33</v>
      </c>
      <c r="I105" s="843">
        <v>0</v>
      </c>
      <c r="J105" s="843">
        <v>97924.14</v>
      </c>
      <c r="K105" s="843">
        <v>60599.37</v>
      </c>
      <c r="L105" s="843">
        <v>1187.05</v>
      </c>
      <c r="M105" s="843">
        <v>392162.89</v>
      </c>
      <c r="N105" s="843">
        <v>18171.86</v>
      </c>
      <c r="O105" s="843">
        <v>0</v>
      </c>
      <c r="P105" s="843">
        <v>0</v>
      </c>
      <c r="Q105" s="843">
        <v>148788.37</v>
      </c>
      <c r="R105" s="843">
        <v>102.8</v>
      </c>
      <c r="S105" s="843">
        <v>167063.03</v>
      </c>
    </row>
    <row r="106" spans="1:19">
      <c r="A106" s="1107" t="s">
        <v>89</v>
      </c>
      <c r="B106" s="857" t="s">
        <v>90</v>
      </c>
      <c r="C106" s="863">
        <f t="shared" si="5"/>
        <v>574733.59</v>
      </c>
      <c r="D106" s="864">
        <f t="shared" si="6"/>
        <v>224319.66</v>
      </c>
      <c r="E106" s="865">
        <f t="shared" si="7"/>
        <v>488529.74</v>
      </c>
      <c r="F106" s="868">
        <f t="shared" si="8"/>
        <v>486803.6</v>
      </c>
      <c r="G106" s="865">
        <f t="shared" si="8"/>
        <v>1726.1399999999999</v>
      </c>
      <c r="H106" s="859">
        <v>532362.96</v>
      </c>
      <c r="I106" s="843">
        <v>0</v>
      </c>
      <c r="J106" s="843">
        <v>224319.66</v>
      </c>
      <c r="K106" s="843">
        <v>138797.56</v>
      </c>
      <c r="L106" s="843">
        <v>1461.84</v>
      </c>
      <c r="M106" s="843">
        <v>896942.02</v>
      </c>
      <c r="N106" s="843">
        <v>42370.63</v>
      </c>
      <c r="O106" s="843">
        <v>0</v>
      </c>
      <c r="P106" s="843">
        <v>0</v>
      </c>
      <c r="Q106" s="843">
        <v>348006.04</v>
      </c>
      <c r="R106" s="843">
        <v>264.3</v>
      </c>
      <c r="S106" s="843">
        <v>390640.97</v>
      </c>
    </row>
    <row r="107" spans="1:19">
      <c r="A107" s="1107" t="s">
        <v>91</v>
      </c>
      <c r="B107" s="857" t="s">
        <v>92</v>
      </c>
      <c r="C107" s="863">
        <f t="shared" si="5"/>
        <v>199187.69</v>
      </c>
      <c r="D107" s="864">
        <f t="shared" si="6"/>
        <v>82059.850000000006</v>
      </c>
      <c r="E107" s="865">
        <f t="shared" si="7"/>
        <v>58891.93</v>
      </c>
      <c r="F107" s="868">
        <f t="shared" si="8"/>
        <v>51585.94</v>
      </c>
      <c r="G107" s="865">
        <f t="shared" si="8"/>
        <v>7305.99</v>
      </c>
      <c r="H107" s="859">
        <v>199187.69</v>
      </c>
      <c r="I107" s="843">
        <v>0</v>
      </c>
      <c r="J107" s="843">
        <v>82059.850000000006</v>
      </c>
      <c r="K107" s="843">
        <v>51585.94</v>
      </c>
      <c r="L107" s="843">
        <v>7305.99</v>
      </c>
      <c r="M107" s="843">
        <v>340139.47</v>
      </c>
      <c r="N107" s="842"/>
      <c r="O107" s="842"/>
      <c r="P107" s="842"/>
      <c r="Q107" s="842"/>
      <c r="R107" s="842"/>
      <c r="S107" s="842"/>
    </row>
    <row r="108" spans="1:19">
      <c r="A108" s="1107" t="s">
        <v>107</v>
      </c>
      <c r="B108" s="857" t="s">
        <v>108</v>
      </c>
      <c r="C108" s="863">
        <f t="shared" si="5"/>
        <v>3036497.2199999997</v>
      </c>
      <c r="D108" s="864">
        <f t="shared" si="6"/>
        <v>1254361.6399999999</v>
      </c>
      <c r="E108" s="865">
        <f t="shared" si="7"/>
        <v>832777.42</v>
      </c>
      <c r="F108" s="868">
        <f t="shared" si="8"/>
        <v>810589.95000000007</v>
      </c>
      <c r="G108" s="865">
        <f t="shared" si="8"/>
        <v>22187.47</v>
      </c>
      <c r="H108" s="859">
        <v>3033496.44</v>
      </c>
      <c r="I108" s="843">
        <v>0</v>
      </c>
      <c r="J108" s="843">
        <v>1254361.6399999999</v>
      </c>
      <c r="K108" s="843">
        <v>786525.89</v>
      </c>
      <c r="L108" s="843">
        <v>18658.55</v>
      </c>
      <c r="M108" s="843">
        <v>5093042.5199999996</v>
      </c>
      <c r="N108" s="843">
        <v>3000.78</v>
      </c>
      <c r="O108" s="843">
        <v>0</v>
      </c>
      <c r="P108" s="843">
        <v>0</v>
      </c>
      <c r="Q108" s="843">
        <v>24064.06</v>
      </c>
      <c r="R108" s="843">
        <v>3528.92</v>
      </c>
      <c r="S108" s="843">
        <v>30593.759999999998</v>
      </c>
    </row>
    <row r="109" spans="1:19">
      <c r="A109" s="1107" t="s">
        <v>117</v>
      </c>
      <c r="B109" s="857" t="s">
        <v>118</v>
      </c>
      <c r="C109" s="863">
        <f t="shared" si="5"/>
        <v>593129.78</v>
      </c>
      <c r="D109" s="864">
        <f t="shared" si="6"/>
        <v>246468.32</v>
      </c>
      <c r="E109" s="865">
        <f t="shared" si="7"/>
        <v>153987.13</v>
      </c>
      <c r="F109" s="868">
        <f t="shared" si="8"/>
        <v>154004.28</v>
      </c>
      <c r="G109" s="865">
        <f t="shared" si="8"/>
        <v>-17.149999999999999</v>
      </c>
      <c r="H109" s="859">
        <v>593129.78</v>
      </c>
      <c r="I109" s="843">
        <v>0</v>
      </c>
      <c r="J109" s="843">
        <v>246468.32</v>
      </c>
      <c r="K109" s="843">
        <v>154004.28</v>
      </c>
      <c r="L109" s="843">
        <v>-17.149999999999999</v>
      </c>
      <c r="M109" s="843">
        <v>993585.23</v>
      </c>
      <c r="N109" s="842"/>
      <c r="O109" s="842"/>
      <c r="P109" s="842"/>
      <c r="Q109" s="842"/>
      <c r="R109" s="842"/>
      <c r="S109" s="842"/>
    </row>
    <row r="110" spans="1:19">
      <c r="A110" s="1107" t="s">
        <v>139</v>
      </c>
      <c r="B110" s="857" t="s">
        <v>140</v>
      </c>
      <c r="C110" s="863">
        <f t="shared" si="5"/>
        <v>2011746.15</v>
      </c>
      <c r="D110" s="864">
        <f t="shared" si="6"/>
        <v>817542.15</v>
      </c>
      <c r="E110" s="865">
        <f t="shared" si="7"/>
        <v>788177.13</v>
      </c>
      <c r="F110" s="868">
        <f t="shared" si="8"/>
        <v>784532.14</v>
      </c>
      <c r="G110" s="865">
        <f t="shared" si="8"/>
        <v>3644.99</v>
      </c>
      <c r="H110" s="859">
        <v>1976634.26</v>
      </c>
      <c r="I110" s="843">
        <v>0</v>
      </c>
      <c r="J110" s="843">
        <v>817542.15</v>
      </c>
      <c r="K110" s="843">
        <v>512538.01</v>
      </c>
      <c r="L110" s="843">
        <v>3650.58</v>
      </c>
      <c r="M110" s="843">
        <v>3310365</v>
      </c>
      <c r="N110" s="843">
        <v>35111.89</v>
      </c>
      <c r="O110" s="843">
        <v>0</v>
      </c>
      <c r="P110" s="843">
        <v>0</v>
      </c>
      <c r="Q110" s="843">
        <v>271994.13</v>
      </c>
      <c r="R110" s="843">
        <v>-5.59</v>
      </c>
      <c r="S110" s="843">
        <v>307100.43</v>
      </c>
    </row>
    <row r="111" spans="1:19">
      <c r="A111" s="1107" t="s">
        <v>143</v>
      </c>
      <c r="B111" s="857" t="s">
        <v>144</v>
      </c>
      <c r="C111" s="863">
        <f t="shared" si="5"/>
        <v>445522.14</v>
      </c>
      <c r="D111" s="864">
        <f t="shared" si="6"/>
        <v>164940.95000000001</v>
      </c>
      <c r="E111" s="865">
        <f t="shared" si="7"/>
        <v>589684.45000000007</v>
      </c>
      <c r="F111" s="868">
        <f t="shared" si="8"/>
        <v>547656.79</v>
      </c>
      <c r="G111" s="865">
        <f t="shared" si="8"/>
        <v>42027.66</v>
      </c>
      <c r="H111" s="859">
        <v>390441.31</v>
      </c>
      <c r="I111" s="843">
        <v>0</v>
      </c>
      <c r="J111" s="843">
        <v>164940.95000000001</v>
      </c>
      <c r="K111" s="843">
        <v>101872.77</v>
      </c>
      <c r="L111" s="843">
        <v>-8.59</v>
      </c>
      <c r="M111" s="843">
        <v>657246.43999999994</v>
      </c>
      <c r="N111" s="843">
        <v>55080.83</v>
      </c>
      <c r="O111" s="843">
        <v>0</v>
      </c>
      <c r="P111" s="843">
        <v>0</v>
      </c>
      <c r="Q111" s="843">
        <v>445784.02</v>
      </c>
      <c r="R111" s="843">
        <v>42036.25</v>
      </c>
      <c r="S111" s="843">
        <v>542901.1</v>
      </c>
    </row>
    <row r="112" spans="1:19">
      <c r="A112" s="1107" t="s">
        <v>145</v>
      </c>
      <c r="B112" s="857" t="s">
        <v>146</v>
      </c>
      <c r="C112" s="863">
        <f t="shared" si="5"/>
        <v>200976.48</v>
      </c>
      <c r="D112" s="864">
        <f t="shared" si="6"/>
        <v>71179.55</v>
      </c>
      <c r="E112" s="865">
        <f t="shared" si="7"/>
        <v>317158.18</v>
      </c>
      <c r="F112" s="868">
        <f t="shared" si="8"/>
        <v>317165.51</v>
      </c>
      <c r="G112" s="865">
        <f t="shared" si="8"/>
        <v>-7.33</v>
      </c>
      <c r="H112" s="859">
        <v>166990.85</v>
      </c>
      <c r="I112" s="843">
        <v>0</v>
      </c>
      <c r="J112" s="843">
        <v>71179.55</v>
      </c>
      <c r="K112" s="843">
        <v>43686.03</v>
      </c>
      <c r="L112" s="843">
        <v>-5.44</v>
      </c>
      <c r="M112" s="843">
        <v>281850.99</v>
      </c>
      <c r="N112" s="843">
        <v>33985.629999999997</v>
      </c>
      <c r="O112" s="843">
        <v>0</v>
      </c>
      <c r="P112" s="843">
        <v>0</v>
      </c>
      <c r="Q112" s="843">
        <v>273479.48</v>
      </c>
      <c r="R112" s="843">
        <v>-1.89</v>
      </c>
      <c r="S112" s="843">
        <v>307463.21999999997</v>
      </c>
    </row>
    <row r="113" spans="1:19">
      <c r="A113" s="1107" t="s">
        <v>159</v>
      </c>
      <c r="B113" s="857" t="s">
        <v>160</v>
      </c>
      <c r="C113" s="863">
        <f t="shared" si="5"/>
        <v>5640605.2800000003</v>
      </c>
      <c r="D113" s="864">
        <f t="shared" si="6"/>
        <v>2145754.6800000002</v>
      </c>
      <c r="E113" s="865">
        <f t="shared" si="7"/>
        <v>4982123.6500000004</v>
      </c>
      <c r="F113" s="868">
        <f t="shared" si="8"/>
        <v>4982144.03</v>
      </c>
      <c r="G113" s="865">
        <f t="shared" si="8"/>
        <v>-20.380000000000003</v>
      </c>
      <c r="H113" s="859">
        <v>5174176.6900000004</v>
      </c>
      <c r="I113" s="843">
        <v>0</v>
      </c>
      <c r="J113" s="843">
        <v>2145754.6800000002</v>
      </c>
      <c r="K113" s="843">
        <v>1342706.36</v>
      </c>
      <c r="L113" s="843">
        <v>-13.73</v>
      </c>
      <c r="M113" s="843">
        <v>8662624</v>
      </c>
      <c r="N113" s="843">
        <v>466428.59</v>
      </c>
      <c r="O113" s="843">
        <v>0</v>
      </c>
      <c r="P113" s="843">
        <v>0</v>
      </c>
      <c r="Q113" s="843">
        <v>3639437.67</v>
      </c>
      <c r="R113" s="843">
        <v>-6.65</v>
      </c>
      <c r="S113" s="843">
        <v>4105859.61</v>
      </c>
    </row>
    <row r="114" spans="1:19">
      <c r="A114" s="1107" t="s">
        <v>161</v>
      </c>
      <c r="B114" s="857" t="s">
        <v>162</v>
      </c>
      <c r="C114" s="863">
        <f t="shared" si="5"/>
        <v>6980537.79</v>
      </c>
      <c r="D114" s="864">
        <f t="shared" si="6"/>
        <v>2871572.96</v>
      </c>
      <c r="E114" s="865">
        <f t="shared" si="7"/>
        <v>2443893.91</v>
      </c>
      <c r="F114" s="868">
        <f t="shared" si="8"/>
        <v>2365156.8200000003</v>
      </c>
      <c r="G114" s="865">
        <f t="shared" si="8"/>
        <v>78737.09</v>
      </c>
      <c r="H114" s="859">
        <v>6911920.4699999997</v>
      </c>
      <c r="I114" s="843">
        <v>0</v>
      </c>
      <c r="J114" s="843">
        <v>2871572.96</v>
      </c>
      <c r="K114" s="843">
        <v>1794601.78</v>
      </c>
      <c r="L114" s="843">
        <v>56507.33</v>
      </c>
      <c r="M114" s="843">
        <v>11634602.539999999</v>
      </c>
      <c r="N114" s="843">
        <v>68617.320000000007</v>
      </c>
      <c r="O114" s="843">
        <v>0</v>
      </c>
      <c r="P114" s="843">
        <v>0</v>
      </c>
      <c r="Q114" s="843">
        <v>570555.04</v>
      </c>
      <c r="R114" s="843">
        <v>22229.759999999998</v>
      </c>
      <c r="S114" s="843">
        <v>661402.12</v>
      </c>
    </row>
    <row r="115" spans="1:19">
      <c r="A115" s="1107" t="s">
        <v>167</v>
      </c>
      <c r="B115" s="857" t="s">
        <v>168</v>
      </c>
      <c r="C115" s="863">
        <f t="shared" si="5"/>
        <v>171527.25</v>
      </c>
      <c r="D115" s="864">
        <f t="shared" si="6"/>
        <v>67454.899999999994</v>
      </c>
      <c r="E115" s="865">
        <f t="shared" si="7"/>
        <v>125063.96</v>
      </c>
      <c r="F115" s="868">
        <f t="shared" si="8"/>
        <v>124217.24</v>
      </c>
      <c r="G115" s="865">
        <f t="shared" si="8"/>
        <v>846.71999999999991</v>
      </c>
      <c r="H115" s="859">
        <v>161619.67000000001</v>
      </c>
      <c r="I115" s="843">
        <v>0</v>
      </c>
      <c r="J115" s="843">
        <v>67454.899999999994</v>
      </c>
      <c r="K115" s="843">
        <v>42016.55</v>
      </c>
      <c r="L115" s="843">
        <v>849.29</v>
      </c>
      <c r="M115" s="843">
        <v>271940.40999999997</v>
      </c>
      <c r="N115" s="843">
        <v>9907.58</v>
      </c>
      <c r="O115" s="843">
        <v>0</v>
      </c>
      <c r="P115" s="843">
        <v>0</v>
      </c>
      <c r="Q115" s="843">
        <v>82200.69</v>
      </c>
      <c r="R115" s="843">
        <v>-2.57</v>
      </c>
      <c r="S115" s="843">
        <v>92105.7</v>
      </c>
    </row>
    <row r="116" spans="1:19">
      <c r="A116" s="1107" t="s">
        <v>177</v>
      </c>
      <c r="B116" s="857" t="s">
        <v>178</v>
      </c>
      <c r="C116" s="863">
        <f t="shared" si="5"/>
        <v>1534259.94</v>
      </c>
      <c r="D116" s="864">
        <f t="shared" si="6"/>
        <v>635511.76</v>
      </c>
      <c r="E116" s="865">
        <f t="shared" si="7"/>
        <v>401005.79000000004</v>
      </c>
      <c r="F116" s="868">
        <f t="shared" si="8"/>
        <v>398001.53</v>
      </c>
      <c r="G116" s="865">
        <f t="shared" si="8"/>
        <v>3004.26</v>
      </c>
      <c r="H116" s="859">
        <v>1534259.94</v>
      </c>
      <c r="I116" s="843">
        <v>0</v>
      </c>
      <c r="J116" s="843">
        <v>635511.76</v>
      </c>
      <c r="K116" s="843">
        <v>398001.53</v>
      </c>
      <c r="L116" s="843">
        <v>3004.26</v>
      </c>
      <c r="M116" s="843">
        <v>2570777.4900000002</v>
      </c>
      <c r="N116" s="842"/>
      <c r="O116" s="842"/>
      <c r="P116" s="842"/>
      <c r="Q116" s="842"/>
      <c r="R116" s="842"/>
      <c r="S116" s="842"/>
    </row>
    <row r="117" spans="1:19">
      <c r="A117" s="1107" t="s">
        <v>181</v>
      </c>
      <c r="B117" s="857" t="s">
        <v>182</v>
      </c>
      <c r="C117" s="863">
        <f t="shared" si="5"/>
        <v>3620405.68</v>
      </c>
      <c r="D117" s="864">
        <f t="shared" si="6"/>
        <v>1440125.64</v>
      </c>
      <c r="E117" s="865">
        <f t="shared" si="7"/>
        <v>2413901.0099999998</v>
      </c>
      <c r="F117" s="868">
        <f t="shared" si="8"/>
        <v>2313432.27</v>
      </c>
      <c r="G117" s="865">
        <f t="shared" si="8"/>
        <v>100468.73999999999</v>
      </c>
      <c r="H117" s="859">
        <v>3449760.96</v>
      </c>
      <c r="I117" s="843">
        <v>0</v>
      </c>
      <c r="J117" s="843">
        <v>1440125.64</v>
      </c>
      <c r="K117" s="843">
        <v>896957.74</v>
      </c>
      <c r="L117" s="843">
        <v>39128.81</v>
      </c>
      <c r="M117" s="843">
        <v>5825973.1500000004</v>
      </c>
      <c r="N117" s="843">
        <v>170644.72</v>
      </c>
      <c r="O117" s="843">
        <v>0</v>
      </c>
      <c r="P117" s="843">
        <v>0</v>
      </c>
      <c r="Q117" s="843">
        <v>1416474.53</v>
      </c>
      <c r="R117" s="843">
        <v>61339.93</v>
      </c>
      <c r="S117" s="843">
        <v>1648459.18</v>
      </c>
    </row>
    <row r="118" spans="1:19">
      <c r="A118" s="1107" t="s">
        <v>193</v>
      </c>
      <c r="B118" s="857" t="s">
        <v>194</v>
      </c>
      <c r="C118" s="863">
        <f t="shared" si="5"/>
        <v>198502.39999999999</v>
      </c>
      <c r="D118" s="864">
        <f t="shared" si="6"/>
        <v>82217.72</v>
      </c>
      <c r="E118" s="865">
        <f t="shared" si="7"/>
        <v>59938.67</v>
      </c>
      <c r="F118" s="868">
        <f t="shared" si="8"/>
        <v>51488.94</v>
      </c>
      <c r="G118" s="865">
        <f t="shared" si="8"/>
        <v>8449.73</v>
      </c>
      <c r="H118" s="859">
        <v>198502.39999999999</v>
      </c>
      <c r="I118" s="843">
        <v>0</v>
      </c>
      <c r="J118" s="843">
        <v>82217.72</v>
      </c>
      <c r="K118" s="843">
        <v>51488.94</v>
      </c>
      <c r="L118" s="843">
        <v>8449.73</v>
      </c>
      <c r="M118" s="843">
        <v>340658.79</v>
      </c>
      <c r="N118" s="842"/>
      <c r="O118" s="842"/>
      <c r="P118" s="842"/>
      <c r="Q118" s="842"/>
      <c r="R118" s="842"/>
      <c r="S118" s="842"/>
    </row>
    <row r="119" spans="1:19">
      <c r="A119" s="1107" t="s">
        <v>197</v>
      </c>
      <c r="B119" s="857" t="s">
        <v>391</v>
      </c>
      <c r="C119" s="863">
        <f t="shared" si="5"/>
        <v>10067740.58</v>
      </c>
      <c r="D119" s="864">
        <f t="shared" si="6"/>
        <v>4053458.84</v>
      </c>
      <c r="E119" s="865">
        <f t="shared" si="7"/>
        <v>5115987.2200000007</v>
      </c>
      <c r="F119" s="868">
        <f t="shared" si="8"/>
        <v>5439286.8600000003</v>
      </c>
      <c r="G119" s="865">
        <f t="shared" si="8"/>
        <v>-323299.64</v>
      </c>
      <c r="H119" s="859">
        <v>9712232.8399999999</v>
      </c>
      <c r="I119" s="843">
        <v>0</v>
      </c>
      <c r="J119" s="843">
        <v>4053458.84</v>
      </c>
      <c r="K119" s="843">
        <v>2525063.64</v>
      </c>
      <c r="L119" s="843">
        <v>-323297.76</v>
      </c>
      <c r="M119" s="843">
        <v>15967457.560000001</v>
      </c>
      <c r="N119" s="843">
        <v>355507.74</v>
      </c>
      <c r="O119" s="843">
        <v>0</v>
      </c>
      <c r="P119" s="843">
        <v>0</v>
      </c>
      <c r="Q119" s="843">
        <v>2914223.22</v>
      </c>
      <c r="R119" s="843">
        <v>-1.88</v>
      </c>
      <c r="S119" s="843">
        <v>3269729.08</v>
      </c>
    </row>
    <row r="120" spans="1:19">
      <c r="A120" s="1107" t="s">
        <v>201</v>
      </c>
      <c r="B120" s="857" t="s">
        <v>392</v>
      </c>
      <c r="C120" s="863">
        <f t="shared" si="5"/>
        <v>3575650.01</v>
      </c>
      <c r="D120" s="864">
        <f t="shared" si="6"/>
        <v>1466578.48</v>
      </c>
      <c r="E120" s="865">
        <f t="shared" si="7"/>
        <v>1218716.8400000001</v>
      </c>
      <c r="F120" s="868">
        <f t="shared" si="8"/>
        <v>1215595.72</v>
      </c>
      <c r="G120" s="865">
        <f t="shared" si="8"/>
        <v>3121.12</v>
      </c>
      <c r="H120" s="859">
        <v>3539633.48</v>
      </c>
      <c r="I120" s="843">
        <v>0</v>
      </c>
      <c r="J120" s="843">
        <v>1466578.48</v>
      </c>
      <c r="K120" s="843">
        <v>918296.47</v>
      </c>
      <c r="L120" s="843">
        <v>3125.12</v>
      </c>
      <c r="M120" s="843">
        <v>5927633.5499999998</v>
      </c>
      <c r="N120" s="843">
        <v>36016.53</v>
      </c>
      <c r="O120" s="843">
        <v>0</v>
      </c>
      <c r="P120" s="843">
        <v>0</v>
      </c>
      <c r="Q120" s="843">
        <v>297299.25</v>
      </c>
      <c r="R120" s="843">
        <v>-4</v>
      </c>
      <c r="S120" s="843">
        <v>333311.78000000003</v>
      </c>
    </row>
    <row r="121" spans="1:19">
      <c r="A121" s="1107" t="s">
        <v>223</v>
      </c>
      <c r="B121" s="857" t="s">
        <v>224</v>
      </c>
      <c r="C121" s="863">
        <f t="shared" si="5"/>
        <v>1750562.9500000002</v>
      </c>
      <c r="D121" s="864">
        <f t="shared" si="6"/>
        <v>688544.69</v>
      </c>
      <c r="E121" s="865">
        <f t="shared" si="7"/>
        <v>1255252.2</v>
      </c>
      <c r="F121" s="868">
        <f t="shared" si="8"/>
        <v>1254286.17</v>
      </c>
      <c r="G121" s="865">
        <f t="shared" si="8"/>
        <v>966.03000000000009</v>
      </c>
      <c r="H121" s="859">
        <v>1648043.35</v>
      </c>
      <c r="I121" s="843">
        <v>0</v>
      </c>
      <c r="J121" s="843">
        <v>688544.69</v>
      </c>
      <c r="K121" s="843">
        <v>428602.8</v>
      </c>
      <c r="L121" s="843">
        <v>973.82</v>
      </c>
      <c r="M121" s="843">
        <v>2766164.66</v>
      </c>
      <c r="N121" s="843">
        <v>102519.6</v>
      </c>
      <c r="O121" s="843">
        <v>0</v>
      </c>
      <c r="P121" s="843">
        <v>0</v>
      </c>
      <c r="Q121" s="843">
        <v>825683.37</v>
      </c>
      <c r="R121" s="843">
        <v>-7.79</v>
      </c>
      <c r="S121" s="843">
        <v>928195.18</v>
      </c>
    </row>
    <row r="122" spans="1:19">
      <c r="A122" s="1107" t="s">
        <v>231</v>
      </c>
      <c r="B122" s="857" t="s">
        <v>232</v>
      </c>
      <c r="C122" s="863">
        <f t="shared" si="5"/>
        <v>5128444.2699999996</v>
      </c>
      <c r="D122" s="864">
        <f t="shared" si="6"/>
        <v>1912940.38</v>
      </c>
      <c r="E122" s="865">
        <f t="shared" si="7"/>
        <v>6053354.0900000008</v>
      </c>
      <c r="F122" s="868">
        <f t="shared" si="8"/>
        <v>6094609.4600000009</v>
      </c>
      <c r="G122" s="865">
        <f t="shared" si="8"/>
        <v>-41255.369999999995</v>
      </c>
      <c r="H122" s="859">
        <v>4516047.54</v>
      </c>
      <c r="I122" s="843">
        <v>0</v>
      </c>
      <c r="J122" s="843">
        <v>1912940.38</v>
      </c>
      <c r="K122" s="843">
        <v>1179280.3500000001</v>
      </c>
      <c r="L122" s="843">
        <v>1788.16</v>
      </c>
      <c r="M122" s="843">
        <v>7610056.4299999997</v>
      </c>
      <c r="N122" s="843">
        <v>612396.73</v>
      </c>
      <c r="O122" s="843">
        <v>0</v>
      </c>
      <c r="P122" s="843">
        <v>0</v>
      </c>
      <c r="Q122" s="843">
        <v>4915329.1100000003</v>
      </c>
      <c r="R122" s="843">
        <v>-43043.53</v>
      </c>
      <c r="S122" s="843">
        <v>5484682.3099999996</v>
      </c>
    </row>
    <row r="123" spans="1:19">
      <c r="A123" s="1107" t="s">
        <v>239</v>
      </c>
      <c r="B123" s="857" t="s">
        <v>240</v>
      </c>
      <c r="C123" s="863">
        <f t="shared" si="5"/>
        <v>173255.52</v>
      </c>
      <c r="D123" s="864">
        <f t="shared" si="6"/>
        <v>67123.58</v>
      </c>
      <c r="E123" s="865">
        <f t="shared" si="7"/>
        <v>155710.26</v>
      </c>
      <c r="F123" s="868">
        <f t="shared" si="8"/>
        <v>144918.97</v>
      </c>
      <c r="G123" s="865">
        <f t="shared" si="8"/>
        <v>10791.29</v>
      </c>
      <c r="H123" s="859">
        <v>160507.59</v>
      </c>
      <c r="I123" s="843">
        <v>0</v>
      </c>
      <c r="J123" s="843">
        <v>67123.58</v>
      </c>
      <c r="K123" s="843">
        <v>41753.629999999997</v>
      </c>
      <c r="L123" s="843">
        <v>-3835.21</v>
      </c>
      <c r="M123" s="843">
        <v>265549.59000000003</v>
      </c>
      <c r="N123" s="843">
        <v>12747.93</v>
      </c>
      <c r="O123" s="843">
        <v>0</v>
      </c>
      <c r="P123" s="843">
        <v>0</v>
      </c>
      <c r="Q123" s="843">
        <v>103165.34</v>
      </c>
      <c r="R123" s="843">
        <v>14626.5</v>
      </c>
      <c r="S123" s="843">
        <v>130539.77</v>
      </c>
    </row>
    <row r="124" spans="1:19">
      <c r="A124" s="1107" t="s">
        <v>241</v>
      </c>
      <c r="B124" s="857" t="s">
        <v>242</v>
      </c>
      <c r="C124" s="863">
        <f t="shared" si="5"/>
        <v>643349.59000000008</v>
      </c>
      <c r="D124" s="864">
        <f t="shared" si="6"/>
        <v>247420.89</v>
      </c>
      <c r="E124" s="865">
        <f t="shared" si="7"/>
        <v>617230.48999999987</v>
      </c>
      <c r="F124" s="868">
        <f t="shared" si="8"/>
        <v>613149.91999999993</v>
      </c>
      <c r="G124" s="865">
        <f t="shared" si="8"/>
        <v>4080.57</v>
      </c>
      <c r="H124" s="859">
        <v>586678.67000000004</v>
      </c>
      <c r="I124" s="843">
        <v>0</v>
      </c>
      <c r="J124" s="843">
        <v>247420.89</v>
      </c>
      <c r="K124" s="843">
        <v>152996.68</v>
      </c>
      <c r="L124" s="843">
        <v>1918.15</v>
      </c>
      <c r="M124" s="843">
        <v>989014.39</v>
      </c>
      <c r="N124" s="843">
        <v>56670.92</v>
      </c>
      <c r="O124" s="843">
        <v>0</v>
      </c>
      <c r="P124" s="843">
        <v>0</v>
      </c>
      <c r="Q124" s="843">
        <v>460153.24</v>
      </c>
      <c r="R124" s="843">
        <v>2162.42</v>
      </c>
      <c r="S124" s="843">
        <v>518986.58</v>
      </c>
    </row>
    <row r="126" spans="1:19" s="538" customFormat="1">
      <c r="A126" s="538" t="s">
        <v>1026</v>
      </c>
      <c r="B126" s="836"/>
      <c r="C126" s="540"/>
    </row>
    <row r="127" spans="1:19" s="538" customFormat="1"/>
    <row r="128" spans="1:19" s="519" customFormat="1">
      <c r="A128" s="519" t="s">
        <v>250</v>
      </c>
    </row>
    <row r="129" spans="1:2">
      <c r="A129" s="536" t="s">
        <v>251</v>
      </c>
      <c r="B129" s="407" t="s">
        <v>252</v>
      </c>
    </row>
  </sheetData>
  <hyperlinks>
    <hyperlink ref="B129" r:id="rId1"/>
  </hyperlinks>
  <pageMargins left="0.7" right="0.7" top="0.75" bottom="0.75" header="0.3" footer="0.3"/>
  <pageSetup orientation="portrait" r:id="rId2"/>
</worksheet>
</file>

<file path=xl/worksheets/sheet25.xml><?xml version="1.0" encoding="utf-8"?>
<worksheet xmlns="http://schemas.openxmlformats.org/spreadsheetml/2006/main" xmlns:r="http://schemas.openxmlformats.org/officeDocument/2006/relationships">
  <dimension ref="A1:Y129"/>
  <sheetViews>
    <sheetView workbookViewId="0">
      <pane ySplit="4" topLeftCell="A97" activePane="bottomLeft" state="frozen"/>
      <selection activeCell="A4" sqref="A4:F123"/>
      <selection pane="bottomLeft" activeCell="B12" sqref="B12"/>
    </sheetView>
  </sheetViews>
  <sheetFormatPr defaultRowHeight="12.75"/>
  <cols>
    <col min="1" max="1" width="9.375" style="654" customWidth="1"/>
    <col min="2" max="2" width="27.75" style="654" customWidth="1"/>
    <col min="3" max="3" width="10.875" style="654" bestFit="1" customWidth="1"/>
    <col min="4" max="4" width="8.375" style="654" bestFit="1" customWidth="1"/>
    <col min="5" max="5" width="11.5" style="654" bestFit="1" customWidth="1"/>
    <col min="6" max="6" width="10.875" style="654" bestFit="1" customWidth="1"/>
    <col min="7" max="7" width="11.125" style="654" bestFit="1" customWidth="1"/>
    <col min="8" max="8" width="10.875" style="654" bestFit="1" customWidth="1"/>
    <col min="9" max="9" width="10.25" style="654" bestFit="1" customWidth="1"/>
    <col min="10" max="10" width="10.875" style="654" bestFit="1" customWidth="1"/>
    <col min="11" max="11" width="9.25" style="654" bestFit="1" customWidth="1"/>
    <col min="12" max="13" width="11" style="654" bestFit="1" customWidth="1"/>
    <col min="14" max="14" width="8" style="654" bestFit="1" customWidth="1"/>
    <col min="15" max="15" width="10.25" style="654" bestFit="1" customWidth="1"/>
    <col min="16" max="16" width="8.875" style="654" bestFit="1" customWidth="1"/>
    <col min="17" max="17" width="9.25" style="654" bestFit="1" customWidth="1"/>
    <col min="18" max="18" width="7.75" style="654" bestFit="1" customWidth="1"/>
    <col min="19" max="19" width="8.875" style="654" bestFit="1" customWidth="1"/>
    <col min="20" max="20" width="10.875" style="654" bestFit="1" customWidth="1"/>
    <col min="21" max="21" width="10.25" style="654" bestFit="1" customWidth="1"/>
    <col min="22" max="22" width="8.875" style="654" bestFit="1" customWidth="1"/>
    <col min="23" max="23" width="12.5" style="654" bestFit="1" customWidth="1"/>
    <col min="24" max="24" width="7.75" style="654" bestFit="1" customWidth="1"/>
    <col min="25" max="25" width="12.5" style="654" bestFit="1" customWidth="1"/>
    <col min="26" max="16384" width="9" style="654"/>
  </cols>
  <sheetData>
    <row r="1" spans="1:25" ht="15.75">
      <c r="A1" s="108" t="s">
        <v>1031</v>
      </c>
      <c r="G1" s="844"/>
      <c r="H1" s="844"/>
      <c r="I1" s="844"/>
      <c r="J1" s="844"/>
      <c r="K1" s="844"/>
    </row>
    <row r="2" spans="1:25">
      <c r="G2" s="844"/>
      <c r="H2" s="844"/>
      <c r="I2" s="844"/>
      <c r="J2" s="844"/>
      <c r="K2" s="844"/>
    </row>
    <row r="3" spans="1:25" s="845" customFormat="1" ht="25.5">
      <c r="A3" s="1105" t="s">
        <v>372</v>
      </c>
      <c r="B3" s="873" t="s">
        <v>373</v>
      </c>
      <c r="C3" s="875" t="s">
        <v>393</v>
      </c>
      <c r="D3" s="876" t="s">
        <v>394</v>
      </c>
      <c r="E3" s="877" t="s">
        <v>556</v>
      </c>
      <c r="F3" s="881" t="s">
        <v>395</v>
      </c>
      <c r="G3" s="877" t="s">
        <v>595</v>
      </c>
      <c r="H3" s="893" t="s">
        <v>418</v>
      </c>
      <c r="I3" s="883" t="s">
        <v>419</v>
      </c>
      <c r="J3" s="883" t="s">
        <v>855</v>
      </c>
      <c r="K3" s="883" t="s">
        <v>420</v>
      </c>
      <c r="L3" s="894" t="s">
        <v>864</v>
      </c>
      <c r="M3" s="895" t="s">
        <v>421</v>
      </c>
      <c r="N3" s="893" t="s">
        <v>422</v>
      </c>
      <c r="O3" s="883" t="s">
        <v>423</v>
      </c>
      <c r="P3" s="883" t="s">
        <v>424</v>
      </c>
      <c r="Q3" s="883" t="s">
        <v>425</v>
      </c>
      <c r="R3" s="883" t="s">
        <v>426</v>
      </c>
      <c r="S3" s="895" t="s">
        <v>427</v>
      </c>
      <c r="T3" s="893" t="s">
        <v>428</v>
      </c>
      <c r="U3" s="883" t="s">
        <v>429</v>
      </c>
      <c r="V3" s="883" t="s">
        <v>430</v>
      </c>
      <c r="W3" s="883" t="s">
        <v>431</v>
      </c>
      <c r="X3" s="883" t="s">
        <v>432</v>
      </c>
      <c r="Y3" s="895" t="s">
        <v>433</v>
      </c>
    </row>
    <row r="4" spans="1:25">
      <c r="A4" s="1106">
        <v>999</v>
      </c>
      <c r="B4" s="896" t="s">
        <v>9</v>
      </c>
      <c r="C4" s="897">
        <f>SUM(C5:C124)</f>
        <v>15580446.790000003</v>
      </c>
      <c r="D4" s="898">
        <f>SUM(D5:D124)</f>
        <v>178675.74</v>
      </c>
      <c r="E4" s="899">
        <f>SUM(E5:E124)</f>
        <v>16068304.380000005</v>
      </c>
      <c r="F4" s="900">
        <f>SUM(F5:F124)</f>
        <v>15580446.790000003</v>
      </c>
      <c r="G4" s="899">
        <f>SUM(G5:G124)</f>
        <v>487857.58999999991</v>
      </c>
      <c r="H4" s="901">
        <f>SUM(H7:H126)</f>
        <v>0</v>
      </c>
      <c r="I4" s="902">
        <f>SUM(I7:I126)</f>
        <v>0</v>
      </c>
      <c r="J4" s="902">
        <f>SUM(J7:J126)</f>
        <v>6327.45</v>
      </c>
      <c r="K4" s="902">
        <f>SUM(K7:K126)</f>
        <v>0</v>
      </c>
      <c r="L4" s="902">
        <f t="shared" ref="L4:Y4" si="0">SUM(L5:L124)</f>
        <v>487857.58999999991</v>
      </c>
      <c r="M4" s="903">
        <f t="shared" si="0"/>
        <v>494185.04</v>
      </c>
      <c r="N4" s="901">
        <f t="shared" si="0"/>
        <v>0</v>
      </c>
      <c r="O4" s="902">
        <f t="shared" si="0"/>
        <v>0</v>
      </c>
      <c r="P4" s="902">
        <f t="shared" si="0"/>
        <v>172348.29</v>
      </c>
      <c r="Q4" s="902">
        <f t="shared" si="0"/>
        <v>0</v>
      </c>
      <c r="R4" s="902">
        <f t="shared" si="0"/>
        <v>0</v>
      </c>
      <c r="S4" s="903">
        <f t="shared" si="0"/>
        <v>172348.29</v>
      </c>
      <c r="T4" s="901">
        <f t="shared" si="0"/>
        <v>15580446.790000003</v>
      </c>
      <c r="U4" s="902">
        <f t="shared" si="0"/>
        <v>0</v>
      </c>
      <c r="V4" s="902">
        <f t="shared" si="0"/>
        <v>0</v>
      </c>
      <c r="W4" s="902">
        <f t="shared" si="0"/>
        <v>15580446.790000003</v>
      </c>
      <c r="X4" s="902">
        <f t="shared" si="0"/>
        <v>0</v>
      </c>
      <c r="Y4" s="903">
        <f t="shared" si="0"/>
        <v>31160893.580000006</v>
      </c>
    </row>
    <row r="5" spans="1:25">
      <c r="A5" s="1107" t="s">
        <v>10</v>
      </c>
      <c r="B5" s="874" t="s">
        <v>11</v>
      </c>
      <c r="C5" s="878">
        <f>+H5+I5+N5+O5+T5+U5</f>
        <v>31236.59</v>
      </c>
      <c r="D5" s="879">
        <f>+J5+P5+V5</f>
        <v>0</v>
      </c>
      <c r="E5" s="880">
        <f>+F5+G5</f>
        <v>31236.59</v>
      </c>
      <c r="F5" s="882">
        <f>+K5+Q5+W5</f>
        <v>31236.59</v>
      </c>
      <c r="G5" s="880">
        <f>+L5+R5+X5</f>
        <v>0</v>
      </c>
      <c r="H5" s="887"/>
      <c r="I5" s="888"/>
      <c r="J5" s="888"/>
      <c r="K5" s="888"/>
      <c r="L5" s="888"/>
      <c r="M5" s="889"/>
      <c r="N5" s="887"/>
      <c r="O5" s="888"/>
      <c r="P5" s="888"/>
      <c r="Q5" s="888"/>
      <c r="R5" s="888"/>
      <c r="S5" s="889"/>
      <c r="T5" s="884">
        <v>31236.59</v>
      </c>
      <c r="U5" s="885">
        <v>0</v>
      </c>
      <c r="V5" s="885">
        <v>0</v>
      </c>
      <c r="W5" s="885">
        <v>31236.59</v>
      </c>
      <c r="X5" s="885">
        <v>0</v>
      </c>
      <c r="Y5" s="886">
        <v>62473.18</v>
      </c>
    </row>
    <row r="6" spans="1:25">
      <c r="A6" s="1107" t="s">
        <v>12</v>
      </c>
      <c r="B6" s="874" t="s">
        <v>13</v>
      </c>
      <c r="C6" s="878">
        <f t="shared" ref="C6:C69" si="1">+H6+I6+N6+O6+T6+U6</f>
        <v>276658.92</v>
      </c>
      <c r="D6" s="879">
        <f t="shared" ref="D6:D69" si="2">+J6+P6+V6</f>
        <v>0</v>
      </c>
      <c r="E6" s="880">
        <f t="shared" ref="E6:E69" si="3">+F6+G6</f>
        <v>288007.95</v>
      </c>
      <c r="F6" s="882">
        <f t="shared" ref="F6:G69" si="4">+K6+Q6+W6</f>
        <v>276658.92</v>
      </c>
      <c r="G6" s="880">
        <f t="shared" si="4"/>
        <v>11349.03</v>
      </c>
      <c r="H6" s="890">
        <v>0</v>
      </c>
      <c r="I6" s="891">
        <v>0</v>
      </c>
      <c r="J6" s="891">
        <v>0</v>
      </c>
      <c r="K6" s="891">
        <v>0</v>
      </c>
      <c r="L6" s="891">
        <v>11349.03</v>
      </c>
      <c r="M6" s="892">
        <v>11349.03</v>
      </c>
      <c r="N6" s="887"/>
      <c r="O6" s="888"/>
      <c r="P6" s="888"/>
      <c r="Q6" s="888"/>
      <c r="R6" s="888"/>
      <c r="S6" s="889"/>
      <c r="T6" s="884">
        <v>276658.92</v>
      </c>
      <c r="U6" s="885">
        <v>0</v>
      </c>
      <c r="V6" s="885">
        <v>0</v>
      </c>
      <c r="W6" s="885">
        <v>276658.92</v>
      </c>
      <c r="X6" s="885">
        <v>0</v>
      </c>
      <c r="Y6" s="886">
        <v>553317.84</v>
      </c>
    </row>
    <row r="7" spans="1:25">
      <c r="A7" s="1107" t="s">
        <v>16</v>
      </c>
      <c r="B7" s="874" t="s">
        <v>364</v>
      </c>
      <c r="C7" s="878">
        <f t="shared" si="1"/>
        <v>80719.73</v>
      </c>
      <c r="D7" s="879">
        <f t="shared" si="2"/>
        <v>0</v>
      </c>
      <c r="E7" s="880">
        <f t="shared" si="3"/>
        <v>80719.73</v>
      </c>
      <c r="F7" s="882">
        <f t="shared" si="4"/>
        <v>80719.73</v>
      </c>
      <c r="G7" s="880">
        <f t="shared" si="4"/>
        <v>0</v>
      </c>
      <c r="H7" s="887"/>
      <c r="I7" s="888"/>
      <c r="J7" s="888"/>
      <c r="K7" s="888"/>
      <c r="L7" s="888"/>
      <c r="M7" s="889"/>
      <c r="N7" s="887"/>
      <c r="O7" s="888"/>
      <c r="P7" s="888"/>
      <c r="Q7" s="888"/>
      <c r="R7" s="888"/>
      <c r="S7" s="889"/>
      <c r="T7" s="884">
        <v>80719.73</v>
      </c>
      <c r="U7" s="885">
        <v>0</v>
      </c>
      <c r="V7" s="885">
        <v>0</v>
      </c>
      <c r="W7" s="885">
        <v>80719.73</v>
      </c>
      <c r="X7" s="885">
        <v>0</v>
      </c>
      <c r="Y7" s="886">
        <v>161439.46</v>
      </c>
    </row>
    <row r="8" spans="1:25">
      <c r="A8" s="1107" t="s">
        <v>18</v>
      </c>
      <c r="B8" s="874" t="s">
        <v>19</v>
      </c>
      <c r="C8" s="878">
        <f t="shared" si="1"/>
        <v>36446.769999999997</v>
      </c>
      <c r="D8" s="879">
        <f t="shared" si="2"/>
        <v>0</v>
      </c>
      <c r="E8" s="880">
        <f t="shared" si="3"/>
        <v>36446.769999999997</v>
      </c>
      <c r="F8" s="882">
        <f t="shared" si="4"/>
        <v>36446.769999999997</v>
      </c>
      <c r="G8" s="880">
        <f t="shared" si="4"/>
        <v>0</v>
      </c>
      <c r="H8" s="887"/>
      <c r="I8" s="888"/>
      <c r="J8" s="888"/>
      <c r="K8" s="888"/>
      <c r="L8" s="888"/>
      <c r="M8" s="889"/>
      <c r="N8" s="887"/>
      <c r="O8" s="888"/>
      <c r="P8" s="888"/>
      <c r="Q8" s="888"/>
      <c r="R8" s="888"/>
      <c r="S8" s="889"/>
      <c r="T8" s="884">
        <v>36446.769999999997</v>
      </c>
      <c r="U8" s="885">
        <v>0</v>
      </c>
      <c r="V8" s="885">
        <v>0</v>
      </c>
      <c r="W8" s="885">
        <v>36446.769999999997</v>
      </c>
      <c r="X8" s="885">
        <v>0</v>
      </c>
      <c r="Y8" s="886">
        <v>72893.539999999994</v>
      </c>
    </row>
    <row r="9" spans="1:25">
      <c r="A9" s="1107" t="s">
        <v>20</v>
      </c>
      <c r="B9" s="874" t="s">
        <v>21</v>
      </c>
      <c r="C9" s="878">
        <f t="shared" si="1"/>
        <v>36385.050000000003</v>
      </c>
      <c r="D9" s="879">
        <f t="shared" si="2"/>
        <v>0</v>
      </c>
      <c r="E9" s="880">
        <f t="shared" si="3"/>
        <v>36384.639999999999</v>
      </c>
      <c r="F9" s="882">
        <f t="shared" si="4"/>
        <v>36385.050000000003</v>
      </c>
      <c r="G9" s="880">
        <f t="shared" si="4"/>
        <v>-0.41</v>
      </c>
      <c r="H9" s="890">
        <v>0</v>
      </c>
      <c r="I9" s="891">
        <v>0</v>
      </c>
      <c r="J9" s="891">
        <v>0</v>
      </c>
      <c r="K9" s="891">
        <v>0</v>
      </c>
      <c r="L9" s="891">
        <v>-0.41</v>
      </c>
      <c r="M9" s="892">
        <v>-0.41</v>
      </c>
      <c r="N9" s="887"/>
      <c r="O9" s="888"/>
      <c r="P9" s="888"/>
      <c r="Q9" s="888"/>
      <c r="R9" s="888"/>
      <c r="S9" s="889"/>
      <c r="T9" s="884">
        <v>36385.050000000003</v>
      </c>
      <c r="U9" s="885">
        <v>0</v>
      </c>
      <c r="V9" s="885">
        <v>0</v>
      </c>
      <c r="W9" s="885">
        <v>36385.050000000003</v>
      </c>
      <c r="X9" s="885">
        <v>0</v>
      </c>
      <c r="Y9" s="886">
        <v>72770.100000000006</v>
      </c>
    </row>
    <row r="10" spans="1:25">
      <c r="A10" s="1107" t="s">
        <v>22</v>
      </c>
      <c r="B10" s="874" t="s">
        <v>23</v>
      </c>
      <c r="C10" s="878">
        <f t="shared" si="1"/>
        <v>21422.57</v>
      </c>
      <c r="D10" s="879">
        <f t="shared" si="2"/>
        <v>0</v>
      </c>
      <c r="E10" s="880">
        <f t="shared" si="3"/>
        <v>21422.42</v>
      </c>
      <c r="F10" s="882">
        <f t="shared" si="4"/>
        <v>21422.57</v>
      </c>
      <c r="G10" s="880">
        <f t="shared" si="4"/>
        <v>-0.15</v>
      </c>
      <c r="H10" s="890">
        <v>0</v>
      </c>
      <c r="I10" s="891">
        <v>0</v>
      </c>
      <c r="J10" s="891">
        <v>0</v>
      </c>
      <c r="K10" s="891">
        <v>0</v>
      </c>
      <c r="L10" s="891">
        <v>-0.15</v>
      </c>
      <c r="M10" s="892">
        <v>-0.15</v>
      </c>
      <c r="N10" s="887"/>
      <c r="O10" s="888"/>
      <c r="P10" s="888"/>
      <c r="Q10" s="888"/>
      <c r="R10" s="888"/>
      <c r="S10" s="889"/>
      <c r="T10" s="884">
        <v>21422.57</v>
      </c>
      <c r="U10" s="885">
        <v>0</v>
      </c>
      <c r="V10" s="885">
        <v>0</v>
      </c>
      <c r="W10" s="885">
        <v>21422.57</v>
      </c>
      <c r="X10" s="885">
        <v>0</v>
      </c>
      <c r="Y10" s="886">
        <v>42845.14</v>
      </c>
    </row>
    <row r="11" spans="1:25">
      <c r="A11" s="1107" t="s">
        <v>24</v>
      </c>
      <c r="B11" s="874" t="s">
        <v>25</v>
      </c>
      <c r="C11" s="878">
        <f t="shared" si="1"/>
        <v>621341.93000000005</v>
      </c>
      <c r="D11" s="879">
        <f t="shared" si="2"/>
        <v>0</v>
      </c>
      <c r="E11" s="880">
        <f t="shared" si="3"/>
        <v>617181.35000000009</v>
      </c>
      <c r="F11" s="882">
        <f t="shared" si="4"/>
        <v>621341.93000000005</v>
      </c>
      <c r="G11" s="880">
        <f t="shared" si="4"/>
        <v>-4160.58</v>
      </c>
      <c r="H11" s="890">
        <v>0</v>
      </c>
      <c r="I11" s="891">
        <v>0</v>
      </c>
      <c r="J11" s="891">
        <v>0</v>
      </c>
      <c r="K11" s="891">
        <v>0</v>
      </c>
      <c r="L11" s="891">
        <v>-4160.58</v>
      </c>
      <c r="M11" s="892">
        <v>-4160.58</v>
      </c>
      <c r="N11" s="887"/>
      <c r="O11" s="888"/>
      <c r="P11" s="888"/>
      <c r="Q11" s="888"/>
      <c r="R11" s="888"/>
      <c r="S11" s="889"/>
      <c r="T11" s="884">
        <v>621341.93000000005</v>
      </c>
      <c r="U11" s="885">
        <v>0</v>
      </c>
      <c r="V11" s="885">
        <v>0</v>
      </c>
      <c r="W11" s="885">
        <v>621341.93000000005</v>
      </c>
      <c r="X11" s="885">
        <v>0</v>
      </c>
      <c r="Y11" s="886">
        <v>1242683.8600000001</v>
      </c>
    </row>
    <row r="12" spans="1:25">
      <c r="A12" s="1107" t="s">
        <v>26</v>
      </c>
      <c r="B12" s="874" t="s">
        <v>1114</v>
      </c>
      <c r="C12" s="878">
        <f t="shared" si="1"/>
        <v>133336.81</v>
      </c>
      <c r="D12" s="879">
        <f t="shared" si="2"/>
        <v>0</v>
      </c>
      <c r="E12" s="880">
        <f t="shared" si="3"/>
        <v>133336.81</v>
      </c>
      <c r="F12" s="882">
        <f t="shared" si="4"/>
        <v>133336.81</v>
      </c>
      <c r="G12" s="880">
        <f t="shared" si="4"/>
        <v>0</v>
      </c>
      <c r="H12" s="887"/>
      <c r="I12" s="888"/>
      <c r="J12" s="888"/>
      <c r="K12" s="888"/>
      <c r="L12" s="888"/>
      <c r="M12" s="889"/>
      <c r="N12" s="887"/>
      <c r="O12" s="888"/>
      <c r="P12" s="888"/>
      <c r="Q12" s="888"/>
      <c r="R12" s="888"/>
      <c r="S12" s="889"/>
      <c r="T12" s="884">
        <v>133336.81</v>
      </c>
      <c r="U12" s="885">
        <v>0</v>
      </c>
      <c r="V12" s="885">
        <v>0</v>
      </c>
      <c r="W12" s="885">
        <v>133336.81</v>
      </c>
      <c r="X12" s="885">
        <v>0</v>
      </c>
      <c r="Y12" s="886">
        <v>266673.62</v>
      </c>
    </row>
    <row r="13" spans="1:25">
      <c r="A13" s="1107" t="s">
        <v>27</v>
      </c>
      <c r="B13" s="874" t="s">
        <v>28</v>
      </c>
      <c r="C13" s="878">
        <f t="shared" si="1"/>
        <v>12839.08</v>
      </c>
      <c r="D13" s="879">
        <f t="shared" si="2"/>
        <v>0</v>
      </c>
      <c r="E13" s="880">
        <f t="shared" si="3"/>
        <v>12838.47</v>
      </c>
      <c r="F13" s="882">
        <f t="shared" si="4"/>
        <v>12839.08</v>
      </c>
      <c r="G13" s="880">
        <f t="shared" si="4"/>
        <v>-0.61</v>
      </c>
      <c r="H13" s="890">
        <v>0</v>
      </c>
      <c r="I13" s="891">
        <v>0</v>
      </c>
      <c r="J13" s="891">
        <v>0</v>
      </c>
      <c r="K13" s="891">
        <v>0</v>
      </c>
      <c r="L13" s="891">
        <v>-0.61</v>
      </c>
      <c r="M13" s="892">
        <v>-0.61</v>
      </c>
      <c r="N13" s="887"/>
      <c r="O13" s="888"/>
      <c r="P13" s="888"/>
      <c r="Q13" s="888"/>
      <c r="R13" s="888"/>
      <c r="S13" s="889"/>
      <c r="T13" s="884">
        <v>12839.08</v>
      </c>
      <c r="U13" s="885">
        <v>0</v>
      </c>
      <c r="V13" s="885">
        <v>0</v>
      </c>
      <c r="W13" s="885">
        <v>12839.08</v>
      </c>
      <c r="X13" s="885">
        <v>0</v>
      </c>
      <c r="Y13" s="886">
        <v>25678.16</v>
      </c>
    </row>
    <row r="14" spans="1:25">
      <c r="A14" s="1107" t="s">
        <v>29</v>
      </c>
      <c r="B14" s="874" t="s">
        <v>386</v>
      </c>
      <c r="C14" s="878">
        <f t="shared" si="1"/>
        <v>49340.88</v>
      </c>
      <c r="D14" s="879">
        <f t="shared" si="2"/>
        <v>0</v>
      </c>
      <c r="E14" s="880">
        <f t="shared" si="3"/>
        <v>49340.88</v>
      </c>
      <c r="F14" s="882">
        <f t="shared" si="4"/>
        <v>49340.88</v>
      </c>
      <c r="G14" s="880">
        <f t="shared" si="4"/>
        <v>0</v>
      </c>
      <c r="H14" s="887"/>
      <c r="I14" s="888"/>
      <c r="J14" s="888"/>
      <c r="K14" s="888"/>
      <c r="L14" s="888"/>
      <c r="M14" s="889"/>
      <c r="N14" s="887"/>
      <c r="O14" s="888"/>
      <c r="P14" s="888"/>
      <c r="Q14" s="888"/>
      <c r="R14" s="888"/>
      <c r="S14" s="889"/>
      <c r="T14" s="884">
        <v>49340.88</v>
      </c>
      <c r="U14" s="885">
        <v>0</v>
      </c>
      <c r="V14" s="885">
        <v>0</v>
      </c>
      <c r="W14" s="885">
        <v>49340.88</v>
      </c>
      <c r="X14" s="885">
        <v>0</v>
      </c>
      <c r="Y14" s="886">
        <v>98681.76</v>
      </c>
    </row>
    <row r="15" spans="1:25">
      <c r="A15" s="1107" t="s">
        <v>31</v>
      </c>
      <c r="B15" s="874" t="s">
        <v>32</v>
      </c>
      <c r="C15" s="878">
        <f t="shared" si="1"/>
        <v>19173.48</v>
      </c>
      <c r="D15" s="879">
        <f t="shared" si="2"/>
        <v>0</v>
      </c>
      <c r="E15" s="880">
        <f t="shared" si="3"/>
        <v>19173.46</v>
      </c>
      <c r="F15" s="882">
        <f t="shared" si="4"/>
        <v>19173.48</v>
      </c>
      <c r="G15" s="880">
        <f t="shared" si="4"/>
        <v>-0.02</v>
      </c>
      <c r="H15" s="890">
        <v>0</v>
      </c>
      <c r="I15" s="891">
        <v>0</v>
      </c>
      <c r="J15" s="891">
        <v>0</v>
      </c>
      <c r="K15" s="891">
        <v>0</v>
      </c>
      <c r="L15" s="891">
        <v>-0.02</v>
      </c>
      <c r="M15" s="892">
        <v>-0.02</v>
      </c>
      <c r="N15" s="887"/>
      <c r="O15" s="888"/>
      <c r="P15" s="888"/>
      <c r="Q15" s="888"/>
      <c r="R15" s="888"/>
      <c r="S15" s="889"/>
      <c r="T15" s="884">
        <v>19173.48</v>
      </c>
      <c r="U15" s="885">
        <v>0</v>
      </c>
      <c r="V15" s="885">
        <v>0</v>
      </c>
      <c r="W15" s="885">
        <v>19173.48</v>
      </c>
      <c r="X15" s="885">
        <v>0</v>
      </c>
      <c r="Y15" s="886">
        <v>38346.959999999999</v>
      </c>
    </row>
    <row r="16" spans="1:25">
      <c r="A16" s="1107" t="s">
        <v>33</v>
      </c>
      <c r="B16" s="874" t="s">
        <v>34</v>
      </c>
      <c r="C16" s="878">
        <f t="shared" si="1"/>
        <v>25353.52</v>
      </c>
      <c r="D16" s="879">
        <f t="shared" si="2"/>
        <v>0</v>
      </c>
      <c r="E16" s="880">
        <f t="shared" si="3"/>
        <v>25353.52</v>
      </c>
      <c r="F16" s="882">
        <f t="shared" si="4"/>
        <v>25353.52</v>
      </c>
      <c r="G16" s="880">
        <f t="shared" si="4"/>
        <v>0</v>
      </c>
      <c r="H16" s="887"/>
      <c r="I16" s="888"/>
      <c r="J16" s="888"/>
      <c r="K16" s="888"/>
      <c r="L16" s="888"/>
      <c r="M16" s="889"/>
      <c r="N16" s="887"/>
      <c r="O16" s="888"/>
      <c r="P16" s="888"/>
      <c r="Q16" s="888"/>
      <c r="R16" s="888"/>
      <c r="S16" s="889"/>
      <c r="T16" s="884">
        <v>25353.52</v>
      </c>
      <c r="U16" s="885">
        <v>0</v>
      </c>
      <c r="V16" s="885">
        <v>0</v>
      </c>
      <c r="W16" s="885">
        <v>25353.52</v>
      </c>
      <c r="X16" s="885">
        <v>0</v>
      </c>
      <c r="Y16" s="886">
        <v>50707.040000000001</v>
      </c>
    </row>
    <row r="17" spans="1:25">
      <c r="A17" s="1107" t="s">
        <v>37</v>
      </c>
      <c r="B17" s="874" t="s">
        <v>38</v>
      </c>
      <c r="C17" s="878">
        <f t="shared" si="1"/>
        <v>37432.32</v>
      </c>
      <c r="D17" s="879">
        <f t="shared" si="2"/>
        <v>0</v>
      </c>
      <c r="E17" s="880">
        <f t="shared" si="3"/>
        <v>37432.32</v>
      </c>
      <c r="F17" s="882">
        <f t="shared" si="4"/>
        <v>37432.32</v>
      </c>
      <c r="G17" s="880">
        <f t="shared" si="4"/>
        <v>0</v>
      </c>
      <c r="H17" s="887"/>
      <c r="I17" s="888"/>
      <c r="J17" s="888"/>
      <c r="K17" s="888"/>
      <c r="L17" s="888"/>
      <c r="M17" s="889"/>
      <c r="N17" s="887"/>
      <c r="O17" s="888"/>
      <c r="P17" s="888"/>
      <c r="Q17" s="888"/>
      <c r="R17" s="888"/>
      <c r="S17" s="889"/>
      <c r="T17" s="884">
        <v>37432.32</v>
      </c>
      <c r="U17" s="885">
        <v>0</v>
      </c>
      <c r="V17" s="885">
        <v>0</v>
      </c>
      <c r="W17" s="885">
        <v>37432.32</v>
      </c>
      <c r="X17" s="885">
        <v>0</v>
      </c>
      <c r="Y17" s="886">
        <v>74864.639999999999</v>
      </c>
    </row>
    <row r="18" spans="1:25">
      <c r="A18" s="1107" t="s">
        <v>39</v>
      </c>
      <c r="B18" s="874" t="s">
        <v>40</v>
      </c>
      <c r="C18" s="878">
        <f t="shared" si="1"/>
        <v>56579.53</v>
      </c>
      <c r="D18" s="879">
        <f t="shared" si="2"/>
        <v>0</v>
      </c>
      <c r="E18" s="880">
        <f t="shared" si="3"/>
        <v>56579.53</v>
      </c>
      <c r="F18" s="882">
        <f t="shared" si="4"/>
        <v>56579.53</v>
      </c>
      <c r="G18" s="880">
        <f t="shared" si="4"/>
        <v>0</v>
      </c>
      <c r="H18" s="887"/>
      <c r="I18" s="888"/>
      <c r="J18" s="888"/>
      <c r="K18" s="888"/>
      <c r="L18" s="888"/>
      <c r="M18" s="889"/>
      <c r="N18" s="887"/>
      <c r="O18" s="888"/>
      <c r="P18" s="888"/>
      <c r="Q18" s="888"/>
      <c r="R18" s="888"/>
      <c r="S18" s="889"/>
      <c r="T18" s="884">
        <v>56579.53</v>
      </c>
      <c r="U18" s="885">
        <v>0</v>
      </c>
      <c r="V18" s="885">
        <v>0</v>
      </c>
      <c r="W18" s="885">
        <v>56579.53</v>
      </c>
      <c r="X18" s="885">
        <v>0</v>
      </c>
      <c r="Y18" s="886">
        <v>113159.06</v>
      </c>
    </row>
    <row r="19" spans="1:25">
      <c r="A19" s="1107" t="s">
        <v>41</v>
      </c>
      <c r="B19" s="874" t="s">
        <v>42</v>
      </c>
      <c r="C19" s="878">
        <f t="shared" si="1"/>
        <v>29426.46</v>
      </c>
      <c r="D19" s="879">
        <f t="shared" si="2"/>
        <v>0</v>
      </c>
      <c r="E19" s="880">
        <f t="shared" si="3"/>
        <v>29426.46</v>
      </c>
      <c r="F19" s="882">
        <f t="shared" si="4"/>
        <v>29426.46</v>
      </c>
      <c r="G19" s="880">
        <f t="shared" si="4"/>
        <v>0</v>
      </c>
      <c r="H19" s="887"/>
      <c r="I19" s="888"/>
      <c r="J19" s="888"/>
      <c r="K19" s="888"/>
      <c r="L19" s="888"/>
      <c r="M19" s="889"/>
      <c r="N19" s="887"/>
      <c r="O19" s="888"/>
      <c r="P19" s="888"/>
      <c r="Q19" s="888"/>
      <c r="R19" s="888"/>
      <c r="S19" s="889"/>
      <c r="T19" s="884">
        <v>29426.46</v>
      </c>
      <c r="U19" s="885">
        <v>0</v>
      </c>
      <c r="V19" s="885">
        <v>0</v>
      </c>
      <c r="W19" s="885">
        <v>29426.46</v>
      </c>
      <c r="X19" s="885">
        <v>0</v>
      </c>
      <c r="Y19" s="886">
        <v>58852.92</v>
      </c>
    </row>
    <row r="20" spans="1:25">
      <c r="A20" s="1107" t="s">
        <v>43</v>
      </c>
      <c r="B20" s="874" t="s">
        <v>44</v>
      </c>
      <c r="C20" s="878">
        <f t="shared" si="1"/>
        <v>152362.99</v>
      </c>
      <c r="D20" s="879">
        <f t="shared" si="2"/>
        <v>0</v>
      </c>
      <c r="E20" s="880">
        <f t="shared" si="3"/>
        <v>162882.69</v>
      </c>
      <c r="F20" s="882">
        <f t="shared" si="4"/>
        <v>152362.99</v>
      </c>
      <c r="G20" s="880">
        <f t="shared" si="4"/>
        <v>10519.7</v>
      </c>
      <c r="H20" s="890">
        <v>0</v>
      </c>
      <c r="I20" s="891">
        <v>0</v>
      </c>
      <c r="J20" s="891">
        <v>0</v>
      </c>
      <c r="K20" s="891">
        <v>0</v>
      </c>
      <c r="L20" s="891">
        <v>10519.7</v>
      </c>
      <c r="M20" s="892">
        <v>10519.7</v>
      </c>
      <c r="N20" s="887"/>
      <c r="O20" s="888"/>
      <c r="P20" s="888"/>
      <c r="Q20" s="888"/>
      <c r="R20" s="888"/>
      <c r="S20" s="889"/>
      <c r="T20" s="884">
        <v>152362.99</v>
      </c>
      <c r="U20" s="885">
        <v>0</v>
      </c>
      <c r="V20" s="885">
        <v>0</v>
      </c>
      <c r="W20" s="885">
        <v>152362.99</v>
      </c>
      <c r="X20" s="885">
        <v>0</v>
      </c>
      <c r="Y20" s="886">
        <v>304725.98</v>
      </c>
    </row>
    <row r="21" spans="1:25">
      <c r="A21" s="1107" t="s">
        <v>45</v>
      </c>
      <c r="B21" s="874" t="s">
        <v>46</v>
      </c>
      <c r="C21" s="878">
        <f t="shared" si="1"/>
        <v>111971.33</v>
      </c>
      <c r="D21" s="879">
        <f t="shared" si="2"/>
        <v>0</v>
      </c>
      <c r="E21" s="880">
        <f t="shared" si="3"/>
        <v>111971.33</v>
      </c>
      <c r="F21" s="882">
        <f t="shared" si="4"/>
        <v>111971.33</v>
      </c>
      <c r="G21" s="880">
        <f t="shared" si="4"/>
        <v>0</v>
      </c>
      <c r="H21" s="887"/>
      <c r="I21" s="888"/>
      <c r="J21" s="888"/>
      <c r="K21" s="888"/>
      <c r="L21" s="888"/>
      <c r="M21" s="889"/>
      <c r="N21" s="887"/>
      <c r="O21" s="888"/>
      <c r="P21" s="888"/>
      <c r="Q21" s="888"/>
      <c r="R21" s="888"/>
      <c r="S21" s="889"/>
      <c r="T21" s="884">
        <v>111971.33</v>
      </c>
      <c r="U21" s="885">
        <v>0</v>
      </c>
      <c r="V21" s="885">
        <v>0</v>
      </c>
      <c r="W21" s="885">
        <v>111971.33</v>
      </c>
      <c r="X21" s="885">
        <v>0</v>
      </c>
      <c r="Y21" s="886">
        <v>223942.66</v>
      </c>
    </row>
    <row r="22" spans="1:25">
      <c r="A22" s="1107" t="s">
        <v>47</v>
      </c>
      <c r="B22" s="874" t="s">
        <v>48</v>
      </c>
      <c r="C22" s="878">
        <f t="shared" si="1"/>
        <v>83131.86</v>
      </c>
      <c r="D22" s="879">
        <f t="shared" si="2"/>
        <v>0</v>
      </c>
      <c r="E22" s="880">
        <f t="shared" si="3"/>
        <v>83131.86</v>
      </c>
      <c r="F22" s="882">
        <f t="shared" si="4"/>
        <v>83131.86</v>
      </c>
      <c r="G22" s="880">
        <f t="shared" si="4"/>
        <v>0</v>
      </c>
      <c r="H22" s="887"/>
      <c r="I22" s="888"/>
      <c r="J22" s="888"/>
      <c r="K22" s="888"/>
      <c r="L22" s="888"/>
      <c r="M22" s="889"/>
      <c r="N22" s="887"/>
      <c r="O22" s="888"/>
      <c r="P22" s="888"/>
      <c r="Q22" s="888"/>
      <c r="R22" s="888"/>
      <c r="S22" s="889"/>
      <c r="T22" s="884">
        <v>83131.86</v>
      </c>
      <c r="U22" s="885">
        <v>0</v>
      </c>
      <c r="V22" s="885">
        <v>0</v>
      </c>
      <c r="W22" s="885">
        <v>83131.86</v>
      </c>
      <c r="X22" s="885">
        <v>0</v>
      </c>
      <c r="Y22" s="886">
        <v>166263.72</v>
      </c>
    </row>
    <row r="23" spans="1:25">
      <c r="A23" s="1107" t="s">
        <v>49</v>
      </c>
      <c r="B23" s="874" t="s">
        <v>279</v>
      </c>
      <c r="C23" s="878">
        <f t="shared" si="1"/>
        <v>51726.67</v>
      </c>
      <c r="D23" s="879">
        <f t="shared" si="2"/>
        <v>0</v>
      </c>
      <c r="E23" s="880">
        <f t="shared" si="3"/>
        <v>51726.67</v>
      </c>
      <c r="F23" s="882">
        <f t="shared" si="4"/>
        <v>51726.67</v>
      </c>
      <c r="G23" s="880">
        <f t="shared" si="4"/>
        <v>0</v>
      </c>
      <c r="H23" s="887"/>
      <c r="I23" s="888"/>
      <c r="J23" s="888"/>
      <c r="K23" s="888"/>
      <c r="L23" s="888"/>
      <c r="M23" s="889"/>
      <c r="N23" s="887"/>
      <c r="O23" s="888"/>
      <c r="P23" s="888"/>
      <c r="Q23" s="888"/>
      <c r="R23" s="888"/>
      <c r="S23" s="889"/>
      <c r="T23" s="884">
        <v>51726.67</v>
      </c>
      <c r="U23" s="885">
        <v>0</v>
      </c>
      <c r="V23" s="885">
        <v>0</v>
      </c>
      <c r="W23" s="885">
        <v>51726.67</v>
      </c>
      <c r="X23" s="885">
        <v>0</v>
      </c>
      <c r="Y23" s="886">
        <v>103453.34</v>
      </c>
    </row>
    <row r="24" spans="1:25">
      <c r="A24" s="1107" t="s">
        <v>51</v>
      </c>
      <c r="B24" s="874" t="s">
        <v>52</v>
      </c>
      <c r="C24" s="878">
        <f t="shared" si="1"/>
        <v>27517.96</v>
      </c>
      <c r="D24" s="879">
        <f t="shared" si="2"/>
        <v>0</v>
      </c>
      <c r="E24" s="880">
        <f t="shared" si="3"/>
        <v>27517.96</v>
      </c>
      <c r="F24" s="882">
        <f t="shared" si="4"/>
        <v>27517.96</v>
      </c>
      <c r="G24" s="880">
        <f t="shared" si="4"/>
        <v>0</v>
      </c>
      <c r="H24" s="887"/>
      <c r="I24" s="888"/>
      <c r="J24" s="888"/>
      <c r="K24" s="888"/>
      <c r="L24" s="888"/>
      <c r="M24" s="889"/>
      <c r="N24" s="887"/>
      <c r="O24" s="888"/>
      <c r="P24" s="888"/>
      <c r="Q24" s="888"/>
      <c r="R24" s="888"/>
      <c r="S24" s="889"/>
      <c r="T24" s="884">
        <v>27517.96</v>
      </c>
      <c r="U24" s="885">
        <v>0</v>
      </c>
      <c r="V24" s="885">
        <v>0</v>
      </c>
      <c r="W24" s="885">
        <v>27517.96</v>
      </c>
      <c r="X24" s="885">
        <v>0</v>
      </c>
      <c r="Y24" s="886">
        <v>55035.92</v>
      </c>
    </row>
    <row r="25" spans="1:25">
      <c r="A25" s="1107" t="s">
        <v>57</v>
      </c>
      <c r="B25" s="874" t="s">
        <v>362</v>
      </c>
      <c r="C25" s="878">
        <f t="shared" si="1"/>
        <v>335848.07</v>
      </c>
      <c r="D25" s="879">
        <f t="shared" si="2"/>
        <v>0</v>
      </c>
      <c r="E25" s="880">
        <f t="shared" si="3"/>
        <v>405374.91000000003</v>
      </c>
      <c r="F25" s="882">
        <f t="shared" si="4"/>
        <v>335848.07</v>
      </c>
      <c r="G25" s="880">
        <f t="shared" si="4"/>
        <v>69526.84</v>
      </c>
      <c r="H25" s="890">
        <v>0</v>
      </c>
      <c r="I25" s="891">
        <v>0</v>
      </c>
      <c r="J25" s="891">
        <v>0</v>
      </c>
      <c r="K25" s="891">
        <v>0</v>
      </c>
      <c r="L25" s="891">
        <v>69526.84</v>
      </c>
      <c r="M25" s="892">
        <v>69526.84</v>
      </c>
      <c r="N25" s="887"/>
      <c r="O25" s="888"/>
      <c r="P25" s="888"/>
      <c r="Q25" s="888"/>
      <c r="R25" s="888"/>
      <c r="S25" s="889"/>
      <c r="T25" s="884">
        <v>335848.07</v>
      </c>
      <c r="U25" s="885">
        <v>0</v>
      </c>
      <c r="V25" s="885">
        <v>0</v>
      </c>
      <c r="W25" s="885">
        <v>335848.07</v>
      </c>
      <c r="X25" s="885">
        <v>0</v>
      </c>
      <c r="Y25" s="886">
        <v>671696.14</v>
      </c>
    </row>
    <row r="26" spans="1:25">
      <c r="A26" s="1107" t="s">
        <v>59</v>
      </c>
      <c r="B26" s="874" t="s">
        <v>60</v>
      </c>
      <c r="C26" s="878">
        <f t="shared" si="1"/>
        <v>38648.839999999997</v>
      </c>
      <c r="D26" s="879">
        <f t="shared" si="2"/>
        <v>0</v>
      </c>
      <c r="E26" s="880">
        <f t="shared" si="3"/>
        <v>38648.839999999997</v>
      </c>
      <c r="F26" s="882">
        <f t="shared" si="4"/>
        <v>38648.839999999997</v>
      </c>
      <c r="G26" s="880">
        <f t="shared" si="4"/>
        <v>0</v>
      </c>
      <c r="H26" s="887"/>
      <c r="I26" s="888"/>
      <c r="J26" s="888"/>
      <c r="K26" s="888"/>
      <c r="L26" s="888"/>
      <c r="M26" s="889"/>
      <c r="N26" s="887"/>
      <c r="O26" s="888"/>
      <c r="P26" s="888"/>
      <c r="Q26" s="888"/>
      <c r="R26" s="888"/>
      <c r="S26" s="889"/>
      <c r="T26" s="884">
        <v>38648.839999999997</v>
      </c>
      <c r="U26" s="885">
        <v>0</v>
      </c>
      <c r="V26" s="885">
        <v>0</v>
      </c>
      <c r="W26" s="885">
        <v>38648.839999999997</v>
      </c>
      <c r="X26" s="885">
        <v>0</v>
      </c>
      <c r="Y26" s="886">
        <v>77297.679999999993</v>
      </c>
    </row>
    <row r="27" spans="1:25">
      <c r="A27" s="1107" t="s">
        <v>61</v>
      </c>
      <c r="B27" s="874" t="s">
        <v>62</v>
      </c>
      <c r="C27" s="878">
        <f t="shared" si="1"/>
        <v>22001.43</v>
      </c>
      <c r="D27" s="879">
        <f t="shared" si="2"/>
        <v>0</v>
      </c>
      <c r="E27" s="880">
        <f t="shared" si="3"/>
        <v>26248.86</v>
      </c>
      <c r="F27" s="882">
        <f t="shared" si="4"/>
        <v>22001.43</v>
      </c>
      <c r="G27" s="880">
        <f t="shared" si="4"/>
        <v>4247.43</v>
      </c>
      <c r="H27" s="890">
        <v>0</v>
      </c>
      <c r="I27" s="891">
        <v>0</v>
      </c>
      <c r="J27" s="891">
        <v>0</v>
      </c>
      <c r="K27" s="891">
        <v>0</v>
      </c>
      <c r="L27" s="891">
        <v>4247.43</v>
      </c>
      <c r="M27" s="892">
        <v>4247.43</v>
      </c>
      <c r="N27" s="887"/>
      <c r="O27" s="888"/>
      <c r="P27" s="888"/>
      <c r="Q27" s="888"/>
      <c r="R27" s="888"/>
      <c r="S27" s="889"/>
      <c r="T27" s="884">
        <v>22001.43</v>
      </c>
      <c r="U27" s="885">
        <v>0</v>
      </c>
      <c r="V27" s="885">
        <v>0</v>
      </c>
      <c r="W27" s="885">
        <v>22001.43</v>
      </c>
      <c r="X27" s="885">
        <v>0</v>
      </c>
      <c r="Y27" s="886">
        <v>44002.86</v>
      </c>
    </row>
    <row r="28" spans="1:25">
      <c r="A28" s="1107" t="s">
        <v>63</v>
      </c>
      <c r="B28" s="874" t="s">
        <v>64</v>
      </c>
      <c r="C28" s="878">
        <f t="shared" si="1"/>
        <v>141754.12</v>
      </c>
      <c r="D28" s="879">
        <f t="shared" si="2"/>
        <v>0</v>
      </c>
      <c r="E28" s="880">
        <f t="shared" si="3"/>
        <v>141754.12</v>
      </c>
      <c r="F28" s="882">
        <f t="shared" si="4"/>
        <v>141754.12</v>
      </c>
      <c r="G28" s="880">
        <f t="shared" si="4"/>
        <v>0</v>
      </c>
      <c r="H28" s="887"/>
      <c r="I28" s="888"/>
      <c r="J28" s="888"/>
      <c r="K28" s="888"/>
      <c r="L28" s="888"/>
      <c r="M28" s="889"/>
      <c r="N28" s="887"/>
      <c r="O28" s="888"/>
      <c r="P28" s="888"/>
      <c r="Q28" s="888"/>
      <c r="R28" s="888"/>
      <c r="S28" s="889"/>
      <c r="T28" s="884">
        <v>141754.12</v>
      </c>
      <c r="U28" s="885">
        <v>0</v>
      </c>
      <c r="V28" s="885">
        <v>0</v>
      </c>
      <c r="W28" s="885">
        <v>141754.12</v>
      </c>
      <c r="X28" s="885">
        <v>0</v>
      </c>
      <c r="Y28" s="886">
        <v>283508.24</v>
      </c>
    </row>
    <row r="29" spans="1:25">
      <c r="A29" s="1107" t="s">
        <v>65</v>
      </c>
      <c r="B29" s="874" t="s">
        <v>66</v>
      </c>
      <c r="C29" s="878">
        <f t="shared" si="1"/>
        <v>23884.98</v>
      </c>
      <c r="D29" s="879">
        <f t="shared" si="2"/>
        <v>0</v>
      </c>
      <c r="E29" s="880">
        <f t="shared" si="3"/>
        <v>23884.98</v>
      </c>
      <c r="F29" s="882">
        <f t="shared" si="4"/>
        <v>23884.98</v>
      </c>
      <c r="G29" s="880">
        <f t="shared" si="4"/>
        <v>0</v>
      </c>
      <c r="H29" s="887"/>
      <c r="I29" s="888"/>
      <c r="J29" s="888"/>
      <c r="K29" s="888"/>
      <c r="L29" s="888"/>
      <c r="M29" s="889"/>
      <c r="N29" s="887"/>
      <c r="O29" s="888"/>
      <c r="P29" s="888"/>
      <c r="Q29" s="888"/>
      <c r="R29" s="888"/>
      <c r="S29" s="889"/>
      <c r="T29" s="884">
        <v>23884.98</v>
      </c>
      <c r="U29" s="885">
        <v>0</v>
      </c>
      <c r="V29" s="885">
        <v>0</v>
      </c>
      <c r="W29" s="885">
        <v>23884.98</v>
      </c>
      <c r="X29" s="885">
        <v>0</v>
      </c>
      <c r="Y29" s="886">
        <v>47769.96</v>
      </c>
    </row>
    <row r="30" spans="1:25">
      <c r="A30" s="1107" t="s">
        <v>69</v>
      </c>
      <c r="B30" s="874" t="s">
        <v>70</v>
      </c>
      <c r="C30" s="878">
        <f t="shared" si="1"/>
        <v>46554.8</v>
      </c>
      <c r="D30" s="879">
        <f t="shared" si="2"/>
        <v>0</v>
      </c>
      <c r="E30" s="880">
        <f t="shared" si="3"/>
        <v>46554.8</v>
      </c>
      <c r="F30" s="882">
        <f t="shared" si="4"/>
        <v>46554.8</v>
      </c>
      <c r="G30" s="880">
        <f t="shared" si="4"/>
        <v>0</v>
      </c>
      <c r="H30" s="887"/>
      <c r="I30" s="888"/>
      <c r="J30" s="888"/>
      <c r="K30" s="888"/>
      <c r="L30" s="888"/>
      <c r="M30" s="889"/>
      <c r="N30" s="887"/>
      <c r="O30" s="888"/>
      <c r="P30" s="888"/>
      <c r="Q30" s="888"/>
      <c r="R30" s="888"/>
      <c r="S30" s="889"/>
      <c r="T30" s="884">
        <v>46554.8</v>
      </c>
      <c r="U30" s="885">
        <v>0</v>
      </c>
      <c r="V30" s="885">
        <v>0</v>
      </c>
      <c r="W30" s="885">
        <v>46554.8</v>
      </c>
      <c r="X30" s="885">
        <v>0</v>
      </c>
      <c r="Y30" s="886">
        <v>93109.6</v>
      </c>
    </row>
    <row r="31" spans="1:25">
      <c r="A31" s="1107" t="s">
        <v>71</v>
      </c>
      <c r="B31" s="874" t="s">
        <v>72</v>
      </c>
      <c r="C31" s="878">
        <f t="shared" si="1"/>
        <v>60422.879999999997</v>
      </c>
      <c r="D31" s="879">
        <f t="shared" si="2"/>
        <v>2933.76</v>
      </c>
      <c r="E31" s="880">
        <f t="shared" si="3"/>
        <v>61069.759999999995</v>
      </c>
      <c r="F31" s="882">
        <f t="shared" si="4"/>
        <v>60422.879999999997</v>
      </c>
      <c r="G31" s="880">
        <f t="shared" si="4"/>
        <v>646.88</v>
      </c>
      <c r="H31" s="890">
        <v>0</v>
      </c>
      <c r="I31" s="891">
        <v>0</v>
      </c>
      <c r="J31" s="891">
        <v>0</v>
      </c>
      <c r="K31" s="891">
        <v>0</v>
      </c>
      <c r="L31" s="891">
        <v>646.88</v>
      </c>
      <c r="M31" s="892">
        <v>646.88</v>
      </c>
      <c r="N31" s="890">
        <v>0</v>
      </c>
      <c r="O31" s="891">
        <v>0</v>
      </c>
      <c r="P31" s="891">
        <v>2933.76</v>
      </c>
      <c r="Q31" s="891">
        <v>0</v>
      </c>
      <c r="R31" s="891">
        <v>0</v>
      </c>
      <c r="S31" s="892">
        <v>2933.76</v>
      </c>
      <c r="T31" s="884">
        <v>60422.879999999997</v>
      </c>
      <c r="U31" s="885">
        <v>0</v>
      </c>
      <c r="V31" s="885">
        <v>0</v>
      </c>
      <c r="W31" s="885">
        <v>60422.879999999997</v>
      </c>
      <c r="X31" s="885">
        <v>0</v>
      </c>
      <c r="Y31" s="886">
        <v>120845.75999999999</v>
      </c>
    </row>
    <row r="32" spans="1:25">
      <c r="A32" s="1107" t="s">
        <v>73</v>
      </c>
      <c r="B32" s="874" t="s">
        <v>74</v>
      </c>
      <c r="C32" s="878">
        <f t="shared" si="1"/>
        <v>29892.54</v>
      </c>
      <c r="D32" s="879">
        <f t="shared" si="2"/>
        <v>0</v>
      </c>
      <c r="E32" s="880">
        <f t="shared" si="3"/>
        <v>29892.54</v>
      </c>
      <c r="F32" s="882">
        <f t="shared" si="4"/>
        <v>29892.54</v>
      </c>
      <c r="G32" s="880">
        <f t="shared" si="4"/>
        <v>0</v>
      </c>
      <c r="H32" s="887"/>
      <c r="I32" s="888"/>
      <c r="J32" s="888"/>
      <c r="K32" s="888"/>
      <c r="L32" s="888"/>
      <c r="M32" s="889"/>
      <c r="N32" s="887"/>
      <c r="O32" s="888"/>
      <c r="P32" s="888"/>
      <c r="Q32" s="888"/>
      <c r="R32" s="888"/>
      <c r="S32" s="889"/>
      <c r="T32" s="884">
        <v>29892.54</v>
      </c>
      <c r="U32" s="885">
        <v>0</v>
      </c>
      <c r="V32" s="885">
        <v>0</v>
      </c>
      <c r="W32" s="885">
        <v>29892.54</v>
      </c>
      <c r="X32" s="885">
        <v>0</v>
      </c>
      <c r="Y32" s="886">
        <v>59785.08</v>
      </c>
    </row>
    <row r="33" spans="1:25">
      <c r="A33" s="1107" t="s">
        <v>75</v>
      </c>
      <c r="B33" s="874" t="s">
        <v>369</v>
      </c>
      <c r="C33" s="878">
        <f t="shared" si="1"/>
        <v>1073910.04</v>
      </c>
      <c r="D33" s="879">
        <f t="shared" si="2"/>
        <v>0</v>
      </c>
      <c r="E33" s="880">
        <f t="shared" si="3"/>
        <v>1073910.04</v>
      </c>
      <c r="F33" s="882">
        <f t="shared" si="4"/>
        <v>1073910.04</v>
      </c>
      <c r="G33" s="880">
        <f t="shared" si="4"/>
        <v>0</v>
      </c>
      <c r="H33" s="887"/>
      <c r="I33" s="888"/>
      <c r="J33" s="888"/>
      <c r="K33" s="888"/>
      <c r="L33" s="888"/>
      <c r="M33" s="889"/>
      <c r="N33" s="887"/>
      <c r="O33" s="888"/>
      <c r="P33" s="888"/>
      <c r="Q33" s="888"/>
      <c r="R33" s="888"/>
      <c r="S33" s="889"/>
      <c r="T33" s="884">
        <v>1073910.04</v>
      </c>
      <c r="U33" s="885">
        <v>0</v>
      </c>
      <c r="V33" s="885">
        <v>0</v>
      </c>
      <c r="W33" s="885">
        <v>1073910.04</v>
      </c>
      <c r="X33" s="885">
        <v>0</v>
      </c>
      <c r="Y33" s="886">
        <v>2147820.08</v>
      </c>
    </row>
    <row r="34" spans="1:25">
      <c r="A34" s="1107" t="s">
        <v>77</v>
      </c>
      <c r="B34" s="874" t="s">
        <v>78</v>
      </c>
      <c r="C34" s="878">
        <f t="shared" si="1"/>
        <v>43302.22</v>
      </c>
      <c r="D34" s="879">
        <f t="shared" si="2"/>
        <v>0</v>
      </c>
      <c r="E34" s="880">
        <f t="shared" si="3"/>
        <v>45057.919999999998</v>
      </c>
      <c r="F34" s="882">
        <f t="shared" si="4"/>
        <v>43302.22</v>
      </c>
      <c r="G34" s="880">
        <f t="shared" si="4"/>
        <v>1755.7</v>
      </c>
      <c r="H34" s="890">
        <v>0</v>
      </c>
      <c r="I34" s="891">
        <v>0</v>
      </c>
      <c r="J34" s="891">
        <v>0</v>
      </c>
      <c r="K34" s="891">
        <v>0</v>
      </c>
      <c r="L34" s="891">
        <v>1755.7</v>
      </c>
      <c r="M34" s="892">
        <v>1755.7</v>
      </c>
      <c r="N34" s="887"/>
      <c r="O34" s="888"/>
      <c r="P34" s="888"/>
      <c r="Q34" s="888"/>
      <c r="R34" s="888"/>
      <c r="S34" s="889"/>
      <c r="T34" s="884">
        <v>43302.22</v>
      </c>
      <c r="U34" s="885">
        <v>0</v>
      </c>
      <c r="V34" s="885">
        <v>0</v>
      </c>
      <c r="W34" s="885">
        <v>43302.22</v>
      </c>
      <c r="X34" s="885">
        <v>0</v>
      </c>
      <c r="Y34" s="886">
        <v>86604.44</v>
      </c>
    </row>
    <row r="35" spans="1:25">
      <c r="A35" s="1107" t="s">
        <v>79</v>
      </c>
      <c r="B35" s="874" t="s">
        <v>80</v>
      </c>
      <c r="C35" s="878">
        <f t="shared" si="1"/>
        <v>34865.51</v>
      </c>
      <c r="D35" s="879">
        <f t="shared" si="2"/>
        <v>0</v>
      </c>
      <c r="E35" s="880">
        <f t="shared" si="3"/>
        <v>34865.51</v>
      </c>
      <c r="F35" s="882">
        <f t="shared" si="4"/>
        <v>34865.51</v>
      </c>
      <c r="G35" s="880">
        <f t="shared" si="4"/>
        <v>0</v>
      </c>
      <c r="H35" s="887"/>
      <c r="I35" s="888"/>
      <c r="J35" s="888"/>
      <c r="K35" s="888"/>
      <c r="L35" s="888"/>
      <c r="M35" s="889"/>
      <c r="N35" s="887"/>
      <c r="O35" s="888"/>
      <c r="P35" s="888"/>
      <c r="Q35" s="888"/>
      <c r="R35" s="888"/>
      <c r="S35" s="889"/>
      <c r="T35" s="884">
        <v>34865.51</v>
      </c>
      <c r="U35" s="885">
        <v>0</v>
      </c>
      <c r="V35" s="885">
        <v>0</v>
      </c>
      <c r="W35" s="885">
        <v>34865.51</v>
      </c>
      <c r="X35" s="885">
        <v>0</v>
      </c>
      <c r="Y35" s="886">
        <v>69731.02</v>
      </c>
    </row>
    <row r="36" spans="1:25">
      <c r="A36" s="1107" t="s">
        <v>81</v>
      </c>
      <c r="B36" s="874" t="s">
        <v>82</v>
      </c>
      <c r="C36" s="878">
        <f t="shared" si="1"/>
        <v>58147.63</v>
      </c>
      <c r="D36" s="879">
        <f t="shared" si="2"/>
        <v>0</v>
      </c>
      <c r="E36" s="880">
        <f t="shared" si="3"/>
        <v>58147.63</v>
      </c>
      <c r="F36" s="882">
        <f t="shared" si="4"/>
        <v>58147.63</v>
      </c>
      <c r="G36" s="880">
        <f t="shared" si="4"/>
        <v>0</v>
      </c>
      <c r="H36" s="887"/>
      <c r="I36" s="888"/>
      <c r="J36" s="888"/>
      <c r="K36" s="888"/>
      <c r="L36" s="888"/>
      <c r="M36" s="889"/>
      <c r="N36" s="887"/>
      <c r="O36" s="888"/>
      <c r="P36" s="888"/>
      <c r="Q36" s="888"/>
      <c r="R36" s="888"/>
      <c r="S36" s="889"/>
      <c r="T36" s="884">
        <v>58147.63</v>
      </c>
      <c r="U36" s="885">
        <v>0</v>
      </c>
      <c r="V36" s="885">
        <v>0</v>
      </c>
      <c r="W36" s="885">
        <v>58147.63</v>
      </c>
      <c r="X36" s="885">
        <v>0</v>
      </c>
      <c r="Y36" s="886">
        <v>116295.26</v>
      </c>
    </row>
    <row r="37" spans="1:25">
      <c r="A37" s="1107" t="s">
        <v>85</v>
      </c>
      <c r="B37" s="874" t="s">
        <v>387</v>
      </c>
      <c r="C37" s="878">
        <f t="shared" si="1"/>
        <v>48951.4</v>
      </c>
      <c r="D37" s="879">
        <f t="shared" si="2"/>
        <v>0</v>
      </c>
      <c r="E37" s="880">
        <f t="shared" si="3"/>
        <v>48951.4</v>
      </c>
      <c r="F37" s="882">
        <f t="shared" si="4"/>
        <v>48951.4</v>
      </c>
      <c r="G37" s="880">
        <f t="shared" si="4"/>
        <v>0</v>
      </c>
      <c r="H37" s="887"/>
      <c r="I37" s="888"/>
      <c r="J37" s="888"/>
      <c r="K37" s="888"/>
      <c r="L37" s="888"/>
      <c r="M37" s="889"/>
      <c r="N37" s="887"/>
      <c r="O37" s="888"/>
      <c r="P37" s="888"/>
      <c r="Q37" s="888"/>
      <c r="R37" s="888"/>
      <c r="S37" s="889"/>
      <c r="T37" s="884">
        <v>48951.4</v>
      </c>
      <c r="U37" s="885">
        <v>0</v>
      </c>
      <c r="V37" s="885">
        <v>0</v>
      </c>
      <c r="W37" s="885">
        <v>48951.4</v>
      </c>
      <c r="X37" s="885">
        <v>0</v>
      </c>
      <c r="Y37" s="886">
        <v>97902.8</v>
      </c>
    </row>
    <row r="38" spans="1:25">
      <c r="A38" s="1107" t="s">
        <v>87</v>
      </c>
      <c r="B38" s="874" t="s">
        <v>88</v>
      </c>
      <c r="C38" s="878">
        <f t="shared" si="1"/>
        <v>73577.100000000006</v>
      </c>
      <c r="D38" s="879">
        <f t="shared" si="2"/>
        <v>0</v>
      </c>
      <c r="E38" s="880">
        <f t="shared" si="3"/>
        <v>73577.100000000006</v>
      </c>
      <c r="F38" s="882">
        <f t="shared" si="4"/>
        <v>73577.100000000006</v>
      </c>
      <c r="G38" s="880">
        <f t="shared" si="4"/>
        <v>0</v>
      </c>
      <c r="H38" s="887"/>
      <c r="I38" s="888"/>
      <c r="J38" s="888"/>
      <c r="K38" s="888"/>
      <c r="L38" s="888"/>
      <c r="M38" s="889"/>
      <c r="N38" s="887"/>
      <c r="O38" s="888"/>
      <c r="P38" s="888"/>
      <c r="Q38" s="888"/>
      <c r="R38" s="888"/>
      <c r="S38" s="889"/>
      <c r="T38" s="884">
        <v>73577.100000000006</v>
      </c>
      <c r="U38" s="885">
        <v>0</v>
      </c>
      <c r="V38" s="885">
        <v>0</v>
      </c>
      <c r="W38" s="885">
        <v>73577.100000000006</v>
      </c>
      <c r="X38" s="885">
        <v>0</v>
      </c>
      <c r="Y38" s="886">
        <v>147154.20000000001</v>
      </c>
    </row>
    <row r="39" spans="1:25">
      <c r="A39" s="1107" t="s">
        <v>93</v>
      </c>
      <c r="B39" s="874" t="s">
        <v>94</v>
      </c>
      <c r="C39" s="878">
        <f t="shared" si="1"/>
        <v>25910.29</v>
      </c>
      <c r="D39" s="879">
        <f t="shared" si="2"/>
        <v>0</v>
      </c>
      <c r="E39" s="880">
        <f t="shared" si="3"/>
        <v>25910.29</v>
      </c>
      <c r="F39" s="882">
        <f t="shared" si="4"/>
        <v>25910.29</v>
      </c>
      <c r="G39" s="880">
        <f t="shared" si="4"/>
        <v>0</v>
      </c>
      <c r="H39" s="887"/>
      <c r="I39" s="888"/>
      <c r="J39" s="888"/>
      <c r="K39" s="888"/>
      <c r="L39" s="888"/>
      <c r="M39" s="889"/>
      <c r="N39" s="887"/>
      <c r="O39" s="888"/>
      <c r="P39" s="888"/>
      <c r="Q39" s="888"/>
      <c r="R39" s="888"/>
      <c r="S39" s="889"/>
      <c r="T39" s="884">
        <v>25910.29</v>
      </c>
      <c r="U39" s="885">
        <v>0</v>
      </c>
      <c r="V39" s="885">
        <v>0</v>
      </c>
      <c r="W39" s="885">
        <v>25910.29</v>
      </c>
      <c r="X39" s="885">
        <v>0</v>
      </c>
      <c r="Y39" s="886">
        <v>51820.58</v>
      </c>
    </row>
    <row r="40" spans="1:25">
      <c r="A40" s="1107" t="s">
        <v>95</v>
      </c>
      <c r="B40" s="874" t="s">
        <v>96</v>
      </c>
      <c r="C40" s="878">
        <f t="shared" si="1"/>
        <v>82451.3</v>
      </c>
      <c r="D40" s="879">
        <f t="shared" si="2"/>
        <v>0</v>
      </c>
      <c r="E40" s="880">
        <f t="shared" si="3"/>
        <v>85896.66</v>
      </c>
      <c r="F40" s="882">
        <f t="shared" si="4"/>
        <v>82451.3</v>
      </c>
      <c r="G40" s="880">
        <f t="shared" si="4"/>
        <v>3445.36</v>
      </c>
      <c r="H40" s="890">
        <v>0</v>
      </c>
      <c r="I40" s="891">
        <v>0</v>
      </c>
      <c r="J40" s="891">
        <v>0</v>
      </c>
      <c r="K40" s="891">
        <v>0</v>
      </c>
      <c r="L40" s="891">
        <v>3445.36</v>
      </c>
      <c r="M40" s="892">
        <v>3445.36</v>
      </c>
      <c r="N40" s="887"/>
      <c r="O40" s="888"/>
      <c r="P40" s="888"/>
      <c r="Q40" s="888"/>
      <c r="R40" s="888"/>
      <c r="S40" s="889"/>
      <c r="T40" s="884">
        <v>82451.3</v>
      </c>
      <c r="U40" s="885">
        <v>0</v>
      </c>
      <c r="V40" s="885">
        <v>0</v>
      </c>
      <c r="W40" s="885">
        <v>82451.3</v>
      </c>
      <c r="X40" s="885">
        <v>0</v>
      </c>
      <c r="Y40" s="886">
        <v>164902.6</v>
      </c>
    </row>
    <row r="41" spans="1:25">
      <c r="A41" s="1107" t="s">
        <v>97</v>
      </c>
      <c r="B41" s="874" t="s">
        <v>98</v>
      </c>
      <c r="C41" s="878">
        <f t="shared" si="1"/>
        <v>58977.3</v>
      </c>
      <c r="D41" s="879">
        <f t="shared" si="2"/>
        <v>3685.89</v>
      </c>
      <c r="E41" s="880">
        <f t="shared" si="3"/>
        <v>58977.11</v>
      </c>
      <c r="F41" s="882">
        <f t="shared" si="4"/>
        <v>58977.3</v>
      </c>
      <c r="G41" s="880">
        <f t="shared" si="4"/>
        <v>-0.19</v>
      </c>
      <c r="H41" s="890">
        <v>0</v>
      </c>
      <c r="I41" s="891">
        <v>0</v>
      </c>
      <c r="J41" s="891">
        <v>3685.89</v>
      </c>
      <c r="K41" s="891">
        <v>0</v>
      </c>
      <c r="L41" s="891">
        <v>-0.19</v>
      </c>
      <c r="M41" s="892">
        <v>3685.7</v>
      </c>
      <c r="N41" s="887"/>
      <c r="O41" s="888"/>
      <c r="P41" s="888"/>
      <c r="Q41" s="888"/>
      <c r="R41" s="888"/>
      <c r="S41" s="889"/>
      <c r="T41" s="884">
        <v>58977.3</v>
      </c>
      <c r="U41" s="885">
        <v>0</v>
      </c>
      <c r="V41" s="885">
        <v>0</v>
      </c>
      <c r="W41" s="885">
        <v>58977.3</v>
      </c>
      <c r="X41" s="885">
        <v>0</v>
      </c>
      <c r="Y41" s="886">
        <v>117954.6</v>
      </c>
    </row>
    <row r="42" spans="1:25">
      <c r="A42" s="1107" t="s">
        <v>99</v>
      </c>
      <c r="B42" s="874" t="s">
        <v>100</v>
      </c>
      <c r="C42" s="878">
        <f t="shared" si="1"/>
        <v>32019.13</v>
      </c>
      <c r="D42" s="879">
        <f t="shared" si="2"/>
        <v>0</v>
      </c>
      <c r="E42" s="880">
        <f t="shared" si="3"/>
        <v>32019.13</v>
      </c>
      <c r="F42" s="882">
        <f t="shared" si="4"/>
        <v>32019.13</v>
      </c>
      <c r="G42" s="880">
        <f t="shared" si="4"/>
        <v>0</v>
      </c>
      <c r="H42" s="887"/>
      <c r="I42" s="888"/>
      <c r="J42" s="888"/>
      <c r="K42" s="888"/>
      <c r="L42" s="888"/>
      <c r="M42" s="889"/>
      <c r="N42" s="887"/>
      <c r="O42" s="888"/>
      <c r="P42" s="888"/>
      <c r="Q42" s="888"/>
      <c r="R42" s="888"/>
      <c r="S42" s="889"/>
      <c r="T42" s="884">
        <v>32019.13</v>
      </c>
      <c r="U42" s="885">
        <v>0</v>
      </c>
      <c r="V42" s="885">
        <v>0</v>
      </c>
      <c r="W42" s="885">
        <v>32019.13</v>
      </c>
      <c r="X42" s="885">
        <v>0</v>
      </c>
      <c r="Y42" s="886">
        <v>64038.26</v>
      </c>
    </row>
    <row r="43" spans="1:25">
      <c r="A43" s="1107" t="s">
        <v>101</v>
      </c>
      <c r="B43" s="874" t="s">
        <v>102</v>
      </c>
      <c r="C43" s="878">
        <f t="shared" si="1"/>
        <v>23344.44</v>
      </c>
      <c r="D43" s="879">
        <f t="shared" si="2"/>
        <v>0</v>
      </c>
      <c r="E43" s="880">
        <f t="shared" si="3"/>
        <v>23344.44</v>
      </c>
      <c r="F43" s="882">
        <f t="shared" si="4"/>
        <v>23344.44</v>
      </c>
      <c r="G43" s="880">
        <f t="shared" si="4"/>
        <v>0</v>
      </c>
      <c r="H43" s="887"/>
      <c r="I43" s="888"/>
      <c r="J43" s="888"/>
      <c r="K43" s="888"/>
      <c r="L43" s="888"/>
      <c r="M43" s="889"/>
      <c r="N43" s="887"/>
      <c r="O43" s="888"/>
      <c r="P43" s="888"/>
      <c r="Q43" s="888"/>
      <c r="R43" s="888"/>
      <c r="S43" s="889"/>
      <c r="T43" s="884">
        <v>23344.44</v>
      </c>
      <c r="U43" s="885">
        <v>0</v>
      </c>
      <c r="V43" s="885">
        <v>0</v>
      </c>
      <c r="W43" s="885">
        <v>23344.44</v>
      </c>
      <c r="X43" s="885">
        <v>0</v>
      </c>
      <c r="Y43" s="886">
        <v>46688.88</v>
      </c>
    </row>
    <row r="44" spans="1:25">
      <c r="A44" s="1107" t="s">
        <v>103</v>
      </c>
      <c r="B44" s="874" t="s">
        <v>104</v>
      </c>
      <c r="C44" s="878">
        <f t="shared" si="1"/>
        <v>42555.74</v>
      </c>
      <c r="D44" s="879">
        <f t="shared" si="2"/>
        <v>0</v>
      </c>
      <c r="E44" s="880">
        <f t="shared" si="3"/>
        <v>42555.74</v>
      </c>
      <c r="F44" s="882">
        <f t="shared" si="4"/>
        <v>42555.74</v>
      </c>
      <c r="G44" s="880">
        <f t="shared" si="4"/>
        <v>0</v>
      </c>
      <c r="H44" s="887"/>
      <c r="I44" s="888"/>
      <c r="J44" s="888"/>
      <c r="K44" s="888"/>
      <c r="L44" s="888"/>
      <c r="M44" s="889"/>
      <c r="N44" s="887"/>
      <c r="O44" s="888"/>
      <c r="P44" s="888"/>
      <c r="Q44" s="888"/>
      <c r="R44" s="888"/>
      <c r="S44" s="889"/>
      <c r="T44" s="884">
        <v>42555.74</v>
      </c>
      <c r="U44" s="885">
        <v>0</v>
      </c>
      <c r="V44" s="885">
        <v>0</v>
      </c>
      <c r="W44" s="885">
        <v>42555.74</v>
      </c>
      <c r="X44" s="885">
        <v>0</v>
      </c>
      <c r="Y44" s="886">
        <v>85111.48</v>
      </c>
    </row>
    <row r="45" spans="1:25">
      <c r="A45" s="1107" t="s">
        <v>105</v>
      </c>
      <c r="B45" s="874" t="s">
        <v>388</v>
      </c>
      <c r="C45" s="878">
        <f t="shared" si="1"/>
        <v>120578.69</v>
      </c>
      <c r="D45" s="879">
        <f t="shared" si="2"/>
        <v>0</v>
      </c>
      <c r="E45" s="880">
        <f t="shared" si="3"/>
        <v>120578.69</v>
      </c>
      <c r="F45" s="882">
        <f t="shared" si="4"/>
        <v>120578.69</v>
      </c>
      <c r="G45" s="880">
        <f t="shared" si="4"/>
        <v>0</v>
      </c>
      <c r="H45" s="887"/>
      <c r="I45" s="888"/>
      <c r="J45" s="888"/>
      <c r="K45" s="888"/>
      <c r="L45" s="888"/>
      <c r="M45" s="889"/>
      <c r="N45" s="887"/>
      <c r="O45" s="888"/>
      <c r="P45" s="888"/>
      <c r="Q45" s="888"/>
      <c r="R45" s="888"/>
      <c r="S45" s="889"/>
      <c r="T45" s="884">
        <v>120578.69</v>
      </c>
      <c r="U45" s="885">
        <v>0</v>
      </c>
      <c r="V45" s="885">
        <v>0</v>
      </c>
      <c r="W45" s="885">
        <v>120578.69</v>
      </c>
      <c r="X45" s="885">
        <v>0</v>
      </c>
      <c r="Y45" s="886">
        <v>241157.38</v>
      </c>
    </row>
    <row r="46" spans="1:25">
      <c r="A46" s="1107" t="s">
        <v>109</v>
      </c>
      <c r="B46" s="874" t="s">
        <v>110</v>
      </c>
      <c r="C46" s="878">
        <f t="shared" si="1"/>
        <v>162571.70000000001</v>
      </c>
      <c r="D46" s="879">
        <f t="shared" si="2"/>
        <v>0</v>
      </c>
      <c r="E46" s="880">
        <f t="shared" si="3"/>
        <v>162571.70000000001</v>
      </c>
      <c r="F46" s="882">
        <f t="shared" si="4"/>
        <v>162571.70000000001</v>
      </c>
      <c r="G46" s="880">
        <f t="shared" si="4"/>
        <v>0</v>
      </c>
      <c r="H46" s="887"/>
      <c r="I46" s="888"/>
      <c r="J46" s="888"/>
      <c r="K46" s="888"/>
      <c r="L46" s="888"/>
      <c r="M46" s="889"/>
      <c r="N46" s="887"/>
      <c r="O46" s="888"/>
      <c r="P46" s="888"/>
      <c r="Q46" s="888"/>
      <c r="R46" s="888"/>
      <c r="S46" s="889"/>
      <c r="T46" s="884">
        <v>162571.70000000001</v>
      </c>
      <c r="U46" s="885">
        <v>0</v>
      </c>
      <c r="V46" s="885">
        <v>0</v>
      </c>
      <c r="W46" s="885">
        <v>162571.70000000001</v>
      </c>
      <c r="X46" s="885">
        <v>0</v>
      </c>
      <c r="Y46" s="886">
        <v>325143.40000000002</v>
      </c>
    </row>
    <row r="47" spans="1:25">
      <c r="A47" s="1107" t="s">
        <v>111</v>
      </c>
      <c r="B47" s="874" t="s">
        <v>112</v>
      </c>
      <c r="C47" s="878">
        <f t="shared" si="1"/>
        <v>462763.35</v>
      </c>
      <c r="D47" s="879">
        <f t="shared" si="2"/>
        <v>0</v>
      </c>
      <c r="E47" s="880">
        <f t="shared" si="3"/>
        <v>522533.13999999996</v>
      </c>
      <c r="F47" s="882">
        <f t="shared" si="4"/>
        <v>462763.35</v>
      </c>
      <c r="G47" s="880">
        <f t="shared" si="4"/>
        <v>59769.79</v>
      </c>
      <c r="H47" s="890">
        <v>0</v>
      </c>
      <c r="I47" s="891">
        <v>0</v>
      </c>
      <c r="J47" s="891">
        <v>0</v>
      </c>
      <c r="K47" s="891">
        <v>0</v>
      </c>
      <c r="L47" s="891">
        <v>59769.79</v>
      </c>
      <c r="M47" s="892">
        <v>59769.79</v>
      </c>
      <c r="N47" s="887"/>
      <c r="O47" s="888"/>
      <c r="P47" s="888"/>
      <c r="Q47" s="888"/>
      <c r="R47" s="888"/>
      <c r="S47" s="889"/>
      <c r="T47" s="884">
        <v>462763.35</v>
      </c>
      <c r="U47" s="885">
        <v>0</v>
      </c>
      <c r="V47" s="885">
        <v>0</v>
      </c>
      <c r="W47" s="885">
        <v>462763.35</v>
      </c>
      <c r="X47" s="885">
        <v>0</v>
      </c>
      <c r="Y47" s="886">
        <v>925526.7</v>
      </c>
    </row>
    <row r="48" spans="1:25">
      <c r="A48" s="1107" t="s">
        <v>113</v>
      </c>
      <c r="B48" s="874" t="s">
        <v>367</v>
      </c>
      <c r="C48" s="878">
        <f t="shared" si="1"/>
        <v>33592.79</v>
      </c>
      <c r="D48" s="879">
        <f t="shared" si="2"/>
        <v>0</v>
      </c>
      <c r="E48" s="880">
        <f t="shared" si="3"/>
        <v>94128.4</v>
      </c>
      <c r="F48" s="882">
        <f t="shared" si="4"/>
        <v>33592.79</v>
      </c>
      <c r="G48" s="880">
        <f t="shared" si="4"/>
        <v>60535.61</v>
      </c>
      <c r="H48" s="890">
        <v>0</v>
      </c>
      <c r="I48" s="891">
        <v>0</v>
      </c>
      <c r="J48" s="891">
        <v>0</v>
      </c>
      <c r="K48" s="891">
        <v>0</v>
      </c>
      <c r="L48" s="891">
        <v>60535.61</v>
      </c>
      <c r="M48" s="892">
        <v>60535.61</v>
      </c>
      <c r="N48" s="887"/>
      <c r="O48" s="888"/>
      <c r="P48" s="888"/>
      <c r="Q48" s="888"/>
      <c r="R48" s="888"/>
      <c r="S48" s="889"/>
      <c r="T48" s="884">
        <v>33592.79</v>
      </c>
      <c r="U48" s="885">
        <v>0</v>
      </c>
      <c r="V48" s="885">
        <v>0</v>
      </c>
      <c r="W48" s="885">
        <v>33592.79</v>
      </c>
      <c r="X48" s="885">
        <v>0</v>
      </c>
      <c r="Y48" s="886">
        <v>67185.58</v>
      </c>
    </row>
    <row r="49" spans="1:25">
      <c r="A49" s="1107" t="s">
        <v>115</v>
      </c>
      <c r="B49" s="874" t="s">
        <v>116</v>
      </c>
      <c r="C49" s="878">
        <f t="shared" si="1"/>
        <v>20516.25</v>
      </c>
      <c r="D49" s="879">
        <f t="shared" si="2"/>
        <v>0</v>
      </c>
      <c r="E49" s="880">
        <f t="shared" si="3"/>
        <v>20516.04</v>
      </c>
      <c r="F49" s="882">
        <f t="shared" si="4"/>
        <v>20516.25</v>
      </c>
      <c r="G49" s="880">
        <f t="shared" si="4"/>
        <v>-0.21</v>
      </c>
      <c r="H49" s="890">
        <v>0</v>
      </c>
      <c r="I49" s="891">
        <v>0</v>
      </c>
      <c r="J49" s="891">
        <v>0</v>
      </c>
      <c r="K49" s="891">
        <v>0</v>
      </c>
      <c r="L49" s="891">
        <v>-0.21</v>
      </c>
      <c r="M49" s="892">
        <v>-0.21</v>
      </c>
      <c r="N49" s="887"/>
      <c r="O49" s="888"/>
      <c r="P49" s="888"/>
      <c r="Q49" s="888"/>
      <c r="R49" s="888"/>
      <c r="S49" s="889"/>
      <c r="T49" s="884">
        <v>20516.25</v>
      </c>
      <c r="U49" s="885">
        <v>0</v>
      </c>
      <c r="V49" s="885">
        <v>0</v>
      </c>
      <c r="W49" s="885">
        <v>20516.25</v>
      </c>
      <c r="X49" s="885">
        <v>0</v>
      </c>
      <c r="Y49" s="886">
        <v>41032.5</v>
      </c>
    </row>
    <row r="50" spans="1:25">
      <c r="A50" s="1107" t="s">
        <v>119</v>
      </c>
      <c r="B50" s="874" t="s">
        <v>120</v>
      </c>
      <c r="C50" s="878">
        <f t="shared" si="1"/>
        <v>59083.02</v>
      </c>
      <c r="D50" s="879">
        <f t="shared" si="2"/>
        <v>0</v>
      </c>
      <c r="E50" s="880">
        <f t="shared" si="3"/>
        <v>59083.02</v>
      </c>
      <c r="F50" s="882">
        <f t="shared" si="4"/>
        <v>59083.02</v>
      </c>
      <c r="G50" s="880">
        <f t="shared" si="4"/>
        <v>0</v>
      </c>
      <c r="H50" s="887"/>
      <c r="I50" s="888"/>
      <c r="J50" s="888"/>
      <c r="K50" s="888"/>
      <c r="L50" s="888"/>
      <c r="M50" s="889"/>
      <c r="N50" s="887"/>
      <c r="O50" s="888"/>
      <c r="P50" s="888"/>
      <c r="Q50" s="888"/>
      <c r="R50" s="888"/>
      <c r="S50" s="889"/>
      <c r="T50" s="884">
        <v>59083.02</v>
      </c>
      <c r="U50" s="885">
        <v>0</v>
      </c>
      <c r="V50" s="885">
        <v>0</v>
      </c>
      <c r="W50" s="885">
        <v>59083.02</v>
      </c>
      <c r="X50" s="885">
        <v>0</v>
      </c>
      <c r="Y50" s="886">
        <v>118166.04</v>
      </c>
    </row>
    <row r="51" spans="1:25">
      <c r="A51" s="1107" t="s">
        <v>121</v>
      </c>
      <c r="B51" s="874" t="s">
        <v>122</v>
      </c>
      <c r="C51" s="878">
        <f t="shared" si="1"/>
        <v>155680.46</v>
      </c>
      <c r="D51" s="879">
        <f t="shared" si="2"/>
        <v>2641.56</v>
      </c>
      <c r="E51" s="880">
        <f t="shared" si="3"/>
        <v>173467.46</v>
      </c>
      <c r="F51" s="882">
        <f t="shared" si="4"/>
        <v>155680.46</v>
      </c>
      <c r="G51" s="880">
        <f t="shared" si="4"/>
        <v>17787</v>
      </c>
      <c r="H51" s="890">
        <v>0</v>
      </c>
      <c r="I51" s="891">
        <v>0</v>
      </c>
      <c r="J51" s="891">
        <v>2641.56</v>
      </c>
      <c r="K51" s="891">
        <v>0</v>
      </c>
      <c r="L51" s="891">
        <v>17787</v>
      </c>
      <c r="M51" s="892">
        <v>20428.560000000001</v>
      </c>
      <c r="N51" s="887"/>
      <c r="O51" s="888"/>
      <c r="P51" s="888"/>
      <c r="Q51" s="888"/>
      <c r="R51" s="888"/>
      <c r="S51" s="889"/>
      <c r="T51" s="884">
        <v>155680.46</v>
      </c>
      <c r="U51" s="885">
        <v>0</v>
      </c>
      <c r="V51" s="885">
        <v>0</v>
      </c>
      <c r="W51" s="885">
        <v>155680.46</v>
      </c>
      <c r="X51" s="885">
        <v>0</v>
      </c>
      <c r="Y51" s="886">
        <v>311360.92</v>
      </c>
    </row>
    <row r="52" spans="1:25">
      <c r="A52" s="1107" t="s">
        <v>123</v>
      </c>
      <c r="B52" s="874" t="s">
        <v>284</v>
      </c>
      <c r="C52" s="878">
        <f t="shared" si="1"/>
        <v>21013.62</v>
      </c>
      <c r="D52" s="879">
        <f t="shared" si="2"/>
        <v>0</v>
      </c>
      <c r="E52" s="880">
        <f t="shared" si="3"/>
        <v>21013.62</v>
      </c>
      <c r="F52" s="882">
        <f t="shared" si="4"/>
        <v>21013.62</v>
      </c>
      <c r="G52" s="880">
        <f t="shared" si="4"/>
        <v>0</v>
      </c>
      <c r="H52" s="887"/>
      <c r="I52" s="888"/>
      <c r="J52" s="888"/>
      <c r="K52" s="888"/>
      <c r="L52" s="888"/>
      <c r="M52" s="889"/>
      <c r="N52" s="887"/>
      <c r="O52" s="888"/>
      <c r="P52" s="888"/>
      <c r="Q52" s="888"/>
      <c r="R52" s="888"/>
      <c r="S52" s="889"/>
      <c r="T52" s="884">
        <v>21013.62</v>
      </c>
      <c r="U52" s="885">
        <v>0</v>
      </c>
      <c r="V52" s="885">
        <v>0</v>
      </c>
      <c r="W52" s="885">
        <v>21013.62</v>
      </c>
      <c r="X52" s="885">
        <v>0</v>
      </c>
      <c r="Y52" s="886">
        <v>42027.24</v>
      </c>
    </row>
    <row r="53" spans="1:25">
      <c r="A53" s="1107" t="s">
        <v>125</v>
      </c>
      <c r="B53" s="874" t="s">
        <v>126</v>
      </c>
      <c r="C53" s="878">
        <f t="shared" si="1"/>
        <v>12829.38</v>
      </c>
      <c r="D53" s="879">
        <f t="shared" si="2"/>
        <v>0</v>
      </c>
      <c r="E53" s="880">
        <f t="shared" si="3"/>
        <v>17038.79</v>
      </c>
      <c r="F53" s="882">
        <f t="shared" si="4"/>
        <v>12829.38</v>
      </c>
      <c r="G53" s="880">
        <f t="shared" si="4"/>
        <v>4209.41</v>
      </c>
      <c r="H53" s="890">
        <v>0</v>
      </c>
      <c r="I53" s="891">
        <v>0</v>
      </c>
      <c r="J53" s="891">
        <v>0</v>
      </c>
      <c r="K53" s="891">
        <v>0</v>
      </c>
      <c r="L53" s="891">
        <v>4209.41</v>
      </c>
      <c r="M53" s="892">
        <v>4209.41</v>
      </c>
      <c r="N53" s="887"/>
      <c r="O53" s="888"/>
      <c r="P53" s="888"/>
      <c r="Q53" s="888"/>
      <c r="R53" s="888"/>
      <c r="S53" s="889"/>
      <c r="T53" s="884">
        <v>12829.38</v>
      </c>
      <c r="U53" s="885">
        <v>0</v>
      </c>
      <c r="V53" s="885">
        <v>0</v>
      </c>
      <c r="W53" s="885">
        <v>12829.38</v>
      </c>
      <c r="X53" s="885">
        <v>0</v>
      </c>
      <c r="Y53" s="886">
        <v>25658.76</v>
      </c>
    </row>
    <row r="54" spans="1:25">
      <c r="A54" s="1107" t="s">
        <v>127</v>
      </c>
      <c r="B54" s="874" t="s">
        <v>128</v>
      </c>
      <c r="C54" s="878">
        <f t="shared" si="1"/>
        <v>41438.39</v>
      </c>
      <c r="D54" s="879">
        <f t="shared" si="2"/>
        <v>0</v>
      </c>
      <c r="E54" s="880">
        <f t="shared" si="3"/>
        <v>41438.39</v>
      </c>
      <c r="F54" s="882">
        <f t="shared" si="4"/>
        <v>41438.39</v>
      </c>
      <c r="G54" s="880">
        <f t="shared" si="4"/>
        <v>0</v>
      </c>
      <c r="H54" s="887"/>
      <c r="I54" s="888"/>
      <c r="J54" s="888"/>
      <c r="K54" s="888"/>
      <c r="L54" s="888"/>
      <c r="M54" s="889"/>
      <c r="N54" s="887"/>
      <c r="O54" s="888"/>
      <c r="P54" s="888"/>
      <c r="Q54" s="888"/>
      <c r="R54" s="888"/>
      <c r="S54" s="889"/>
      <c r="T54" s="884">
        <v>41438.39</v>
      </c>
      <c r="U54" s="885">
        <v>0</v>
      </c>
      <c r="V54" s="885">
        <v>0</v>
      </c>
      <c r="W54" s="885">
        <v>41438.39</v>
      </c>
      <c r="X54" s="885">
        <v>0</v>
      </c>
      <c r="Y54" s="886">
        <v>82876.78</v>
      </c>
    </row>
    <row r="55" spans="1:25">
      <c r="A55" s="1107" t="s">
        <v>129</v>
      </c>
      <c r="B55" s="874" t="s">
        <v>130</v>
      </c>
      <c r="C55" s="878">
        <f t="shared" si="1"/>
        <v>25547.35</v>
      </c>
      <c r="D55" s="879">
        <f t="shared" si="2"/>
        <v>0</v>
      </c>
      <c r="E55" s="880">
        <f t="shared" si="3"/>
        <v>25547.35</v>
      </c>
      <c r="F55" s="882">
        <f t="shared" si="4"/>
        <v>25547.35</v>
      </c>
      <c r="G55" s="880">
        <f t="shared" si="4"/>
        <v>0</v>
      </c>
      <c r="H55" s="887"/>
      <c r="I55" s="888"/>
      <c r="J55" s="888"/>
      <c r="K55" s="888"/>
      <c r="L55" s="888"/>
      <c r="M55" s="889"/>
      <c r="N55" s="887"/>
      <c r="O55" s="888"/>
      <c r="P55" s="888"/>
      <c r="Q55" s="888"/>
      <c r="R55" s="888"/>
      <c r="S55" s="889"/>
      <c r="T55" s="884">
        <v>25547.35</v>
      </c>
      <c r="U55" s="885">
        <v>0</v>
      </c>
      <c r="V55" s="885">
        <v>0</v>
      </c>
      <c r="W55" s="885">
        <v>25547.35</v>
      </c>
      <c r="X55" s="885">
        <v>0</v>
      </c>
      <c r="Y55" s="886">
        <v>51094.7</v>
      </c>
    </row>
    <row r="56" spans="1:25">
      <c r="A56" s="1107" t="s">
        <v>131</v>
      </c>
      <c r="B56" s="874" t="s">
        <v>132</v>
      </c>
      <c r="C56" s="878">
        <f t="shared" si="1"/>
        <v>38139.89</v>
      </c>
      <c r="D56" s="879">
        <f t="shared" si="2"/>
        <v>0</v>
      </c>
      <c r="E56" s="880">
        <f t="shared" si="3"/>
        <v>38139.89</v>
      </c>
      <c r="F56" s="882">
        <f t="shared" si="4"/>
        <v>38139.89</v>
      </c>
      <c r="G56" s="880">
        <f t="shared" si="4"/>
        <v>0</v>
      </c>
      <c r="H56" s="887"/>
      <c r="I56" s="888"/>
      <c r="J56" s="888"/>
      <c r="K56" s="888"/>
      <c r="L56" s="888"/>
      <c r="M56" s="889"/>
      <c r="N56" s="887"/>
      <c r="O56" s="888"/>
      <c r="P56" s="888"/>
      <c r="Q56" s="888"/>
      <c r="R56" s="888"/>
      <c r="S56" s="889"/>
      <c r="T56" s="884">
        <v>38139.89</v>
      </c>
      <c r="U56" s="885">
        <v>0</v>
      </c>
      <c r="V56" s="885">
        <v>0</v>
      </c>
      <c r="W56" s="885">
        <v>38139.89</v>
      </c>
      <c r="X56" s="885">
        <v>0</v>
      </c>
      <c r="Y56" s="886">
        <v>76279.78</v>
      </c>
    </row>
    <row r="57" spans="1:25">
      <c r="A57" s="1107" t="s">
        <v>133</v>
      </c>
      <c r="B57" s="874" t="s">
        <v>134</v>
      </c>
      <c r="C57" s="878">
        <f t="shared" si="1"/>
        <v>727305.65</v>
      </c>
      <c r="D57" s="879">
        <f t="shared" si="2"/>
        <v>0</v>
      </c>
      <c r="E57" s="880">
        <f t="shared" si="3"/>
        <v>727305.65</v>
      </c>
      <c r="F57" s="882">
        <f t="shared" si="4"/>
        <v>727305.65</v>
      </c>
      <c r="G57" s="880">
        <f t="shared" si="4"/>
        <v>0</v>
      </c>
      <c r="H57" s="887"/>
      <c r="I57" s="888"/>
      <c r="J57" s="888"/>
      <c r="K57" s="888"/>
      <c r="L57" s="888"/>
      <c r="M57" s="889"/>
      <c r="N57" s="887"/>
      <c r="O57" s="888"/>
      <c r="P57" s="888"/>
      <c r="Q57" s="888"/>
      <c r="R57" s="888"/>
      <c r="S57" s="889"/>
      <c r="T57" s="884">
        <v>727305.65</v>
      </c>
      <c r="U57" s="885">
        <v>0</v>
      </c>
      <c r="V57" s="885">
        <v>0</v>
      </c>
      <c r="W57" s="885">
        <v>727305.65</v>
      </c>
      <c r="X57" s="885">
        <v>0</v>
      </c>
      <c r="Y57" s="886">
        <v>1454611.3</v>
      </c>
    </row>
    <row r="58" spans="1:25">
      <c r="A58" s="1107" t="s">
        <v>135</v>
      </c>
      <c r="B58" s="874" t="s">
        <v>136</v>
      </c>
      <c r="C58" s="878">
        <f t="shared" si="1"/>
        <v>79844.539999999994</v>
      </c>
      <c r="D58" s="879">
        <f t="shared" si="2"/>
        <v>0</v>
      </c>
      <c r="E58" s="880">
        <f t="shared" si="3"/>
        <v>79466.64</v>
      </c>
      <c r="F58" s="882">
        <f t="shared" si="4"/>
        <v>79844.539999999994</v>
      </c>
      <c r="G58" s="880">
        <f t="shared" si="4"/>
        <v>-377.9</v>
      </c>
      <c r="H58" s="890">
        <v>0</v>
      </c>
      <c r="I58" s="891">
        <v>0</v>
      </c>
      <c r="J58" s="891">
        <v>0</v>
      </c>
      <c r="K58" s="891">
        <v>0</v>
      </c>
      <c r="L58" s="891">
        <v>-377.9</v>
      </c>
      <c r="M58" s="892">
        <v>-377.9</v>
      </c>
      <c r="N58" s="887"/>
      <c r="O58" s="888"/>
      <c r="P58" s="888"/>
      <c r="Q58" s="888"/>
      <c r="R58" s="888"/>
      <c r="S58" s="889"/>
      <c r="T58" s="884">
        <v>79844.539999999994</v>
      </c>
      <c r="U58" s="885">
        <v>0</v>
      </c>
      <c r="V58" s="885">
        <v>0</v>
      </c>
      <c r="W58" s="885">
        <v>79844.539999999994</v>
      </c>
      <c r="X58" s="885">
        <v>0</v>
      </c>
      <c r="Y58" s="886">
        <v>159689.07999999999</v>
      </c>
    </row>
    <row r="59" spans="1:25">
      <c r="A59" s="1107" t="s">
        <v>137</v>
      </c>
      <c r="B59" s="874" t="s">
        <v>138</v>
      </c>
      <c r="C59" s="878">
        <f t="shared" si="1"/>
        <v>20434.89</v>
      </c>
      <c r="D59" s="879">
        <f t="shared" si="2"/>
        <v>0</v>
      </c>
      <c r="E59" s="880">
        <f t="shared" si="3"/>
        <v>20434.89</v>
      </c>
      <c r="F59" s="882">
        <f t="shared" si="4"/>
        <v>20434.89</v>
      </c>
      <c r="G59" s="880">
        <f t="shared" si="4"/>
        <v>0</v>
      </c>
      <c r="H59" s="887"/>
      <c r="I59" s="888"/>
      <c r="J59" s="888"/>
      <c r="K59" s="888"/>
      <c r="L59" s="888"/>
      <c r="M59" s="889"/>
      <c r="N59" s="887"/>
      <c r="O59" s="888"/>
      <c r="P59" s="888"/>
      <c r="Q59" s="888"/>
      <c r="R59" s="888"/>
      <c r="S59" s="889"/>
      <c r="T59" s="884">
        <v>20434.89</v>
      </c>
      <c r="U59" s="885">
        <v>0</v>
      </c>
      <c r="V59" s="885">
        <v>0</v>
      </c>
      <c r="W59" s="885">
        <v>20434.89</v>
      </c>
      <c r="X59" s="885">
        <v>0</v>
      </c>
      <c r="Y59" s="886">
        <v>40869.78</v>
      </c>
    </row>
    <row r="60" spans="1:25">
      <c r="A60" s="1107" t="s">
        <v>141</v>
      </c>
      <c r="B60" s="874" t="s">
        <v>142</v>
      </c>
      <c r="C60" s="878">
        <f t="shared" si="1"/>
        <v>17865.54</v>
      </c>
      <c r="D60" s="879">
        <f t="shared" si="2"/>
        <v>0</v>
      </c>
      <c r="E60" s="880">
        <f t="shared" si="3"/>
        <v>17864.95</v>
      </c>
      <c r="F60" s="882">
        <f t="shared" si="4"/>
        <v>17865.54</v>
      </c>
      <c r="G60" s="880">
        <f t="shared" si="4"/>
        <v>-0.59</v>
      </c>
      <c r="H60" s="890">
        <v>0</v>
      </c>
      <c r="I60" s="891">
        <v>0</v>
      </c>
      <c r="J60" s="891">
        <v>0</v>
      </c>
      <c r="K60" s="891">
        <v>0</v>
      </c>
      <c r="L60" s="891">
        <v>-0.59</v>
      </c>
      <c r="M60" s="892">
        <v>-0.59</v>
      </c>
      <c r="N60" s="887"/>
      <c r="O60" s="888"/>
      <c r="P60" s="888"/>
      <c r="Q60" s="888"/>
      <c r="R60" s="888"/>
      <c r="S60" s="889"/>
      <c r="T60" s="884">
        <v>17865.54</v>
      </c>
      <c r="U60" s="885">
        <v>0</v>
      </c>
      <c r="V60" s="885">
        <v>0</v>
      </c>
      <c r="W60" s="885">
        <v>17865.54</v>
      </c>
      <c r="X60" s="885">
        <v>0</v>
      </c>
      <c r="Y60" s="886">
        <v>35731.08</v>
      </c>
    </row>
    <row r="61" spans="1:25">
      <c r="A61" s="1107" t="s">
        <v>147</v>
      </c>
      <c r="B61" s="874" t="s">
        <v>148</v>
      </c>
      <c r="C61" s="878">
        <f t="shared" si="1"/>
        <v>39032.29</v>
      </c>
      <c r="D61" s="879">
        <f t="shared" si="2"/>
        <v>0</v>
      </c>
      <c r="E61" s="880">
        <f t="shared" si="3"/>
        <v>39032.29</v>
      </c>
      <c r="F61" s="882">
        <f t="shared" si="4"/>
        <v>39032.29</v>
      </c>
      <c r="G61" s="880">
        <f t="shared" si="4"/>
        <v>0</v>
      </c>
      <c r="H61" s="887"/>
      <c r="I61" s="888"/>
      <c r="J61" s="888"/>
      <c r="K61" s="888"/>
      <c r="L61" s="888"/>
      <c r="M61" s="889"/>
      <c r="N61" s="887"/>
      <c r="O61" s="888"/>
      <c r="P61" s="888"/>
      <c r="Q61" s="888"/>
      <c r="R61" s="888"/>
      <c r="S61" s="889"/>
      <c r="T61" s="884">
        <v>39032.29</v>
      </c>
      <c r="U61" s="885">
        <v>0</v>
      </c>
      <c r="V61" s="885">
        <v>0</v>
      </c>
      <c r="W61" s="885">
        <v>39032.29</v>
      </c>
      <c r="X61" s="885">
        <v>0</v>
      </c>
      <c r="Y61" s="886">
        <v>78064.58</v>
      </c>
    </row>
    <row r="62" spans="1:25">
      <c r="A62" s="1107" t="s">
        <v>149</v>
      </c>
      <c r="B62" s="874" t="s">
        <v>150</v>
      </c>
      <c r="C62" s="878">
        <f t="shared" si="1"/>
        <v>91002.86</v>
      </c>
      <c r="D62" s="879">
        <f t="shared" si="2"/>
        <v>0</v>
      </c>
      <c r="E62" s="880">
        <f t="shared" si="3"/>
        <v>91002.86</v>
      </c>
      <c r="F62" s="882">
        <f t="shared" si="4"/>
        <v>91002.86</v>
      </c>
      <c r="G62" s="880">
        <f t="shared" si="4"/>
        <v>0</v>
      </c>
      <c r="H62" s="887"/>
      <c r="I62" s="888"/>
      <c r="J62" s="888"/>
      <c r="K62" s="888"/>
      <c r="L62" s="888"/>
      <c r="M62" s="889"/>
      <c r="N62" s="887"/>
      <c r="O62" s="888"/>
      <c r="P62" s="888"/>
      <c r="Q62" s="888"/>
      <c r="R62" s="888"/>
      <c r="S62" s="889"/>
      <c r="T62" s="884">
        <v>91002.86</v>
      </c>
      <c r="U62" s="885">
        <v>0</v>
      </c>
      <c r="V62" s="885">
        <v>0</v>
      </c>
      <c r="W62" s="885">
        <v>91002.86</v>
      </c>
      <c r="X62" s="885">
        <v>0</v>
      </c>
      <c r="Y62" s="886">
        <v>182005.72</v>
      </c>
    </row>
    <row r="63" spans="1:25">
      <c r="A63" s="1107" t="s">
        <v>151</v>
      </c>
      <c r="B63" s="874" t="s">
        <v>152</v>
      </c>
      <c r="C63" s="878">
        <f t="shared" si="1"/>
        <v>26995.73</v>
      </c>
      <c r="D63" s="879">
        <f t="shared" si="2"/>
        <v>0</v>
      </c>
      <c r="E63" s="880">
        <f t="shared" si="3"/>
        <v>26995.73</v>
      </c>
      <c r="F63" s="882">
        <f t="shared" si="4"/>
        <v>26995.73</v>
      </c>
      <c r="G63" s="880">
        <f t="shared" si="4"/>
        <v>0</v>
      </c>
      <c r="H63" s="887"/>
      <c r="I63" s="888"/>
      <c r="J63" s="888"/>
      <c r="K63" s="888"/>
      <c r="L63" s="888"/>
      <c r="M63" s="889"/>
      <c r="N63" s="887"/>
      <c r="O63" s="888"/>
      <c r="P63" s="888"/>
      <c r="Q63" s="888"/>
      <c r="R63" s="888"/>
      <c r="S63" s="889"/>
      <c r="T63" s="884">
        <v>26995.73</v>
      </c>
      <c r="U63" s="885">
        <v>0</v>
      </c>
      <c r="V63" s="885">
        <v>0</v>
      </c>
      <c r="W63" s="885">
        <v>26995.73</v>
      </c>
      <c r="X63" s="885">
        <v>0</v>
      </c>
      <c r="Y63" s="886">
        <v>53991.46</v>
      </c>
    </row>
    <row r="64" spans="1:25">
      <c r="A64" s="1107" t="s">
        <v>153</v>
      </c>
      <c r="B64" s="874" t="s">
        <v>154</v>
      </c>
      <c r="C64" s="878">
        <f t="shared" si="1"/>
        <v>94803.03</v>
      </c>
      <c r="D64" s="879">
        <f t="shared" si="2"/>
        <v>0</v>
      </c>
      <c r="E64" s="880">
        <f t="shared" si="3"/>
        <v>94803.03</v>
      </c>
      <c r="F64" s="882">
        <f t="shared" si="4"/>
        <v>94803.03</v>
      </c>
      <c r="G64" s="880">
        <f t="shared" si="4"/>
        <v>0</v>
      </c>
      <c r="H64" s="887"/>
      <c r="I64" s="888"/>
      <c r="J64" s="888"/>
      <c r="K64" s="888"/>
      <c r="L64" s="888"/>
      <c r="M64" s="889"/>
      <c r="N64" s="887"/>
      <c r="O64" s="888"/>
      <c r="P64" s="888"/>
      <c r="Q64" s="888"/>
      <c r="R64" s="888"/>
      <c r="S64" s="889"/>
      <c r="T64" s="884">
        <v>94803.03</v>
      </c>
      <c r="U64" s="885">
        <v>0</v>
      </c>
      <c r="V64" s="885">
        <v>0</v>
      </c>
      <c r="W64" s="885">
        <v>94803.03</v>
      </c>
      <c r="X64" s="885">
        <v>0</v>
      </c>
      <c r="Y64" s="886">
        <v>189606.06</v>
      </c>
    </row>
    <row r="65" spans="1:25">
      <c r="A65" s="1107" t="s">
        <v>155</v>
      </c>
      <c r="B65" s="874" t="s">
        <v>156</v>
      </c>
      <c r="C65" s="878">
        <f t="shared" si="1"/>
        <v>0</v>
      </c>
      <c r="D65" s="879">
        <f t="shared" si="2"/>
        <v>0</v>
      </c>
      <c r="E65" s="880">
        <f t="shared" si="3"/>
        <v>672</v>
      </c>
      <c r="F65" s="882">
        <f t="shared" si="4"/>
        <v>0</v>
      </c>
      <c r="G65" s="880">
        <f t="shared" si="4"/>
        <v>672</v>
      </c>
      <c r="H65" s="890">
        <v>0</v>
      </c>
      <c r="I65" s="891">
        <v>0</v>
      </c>
      <c r="J65" s="891">
        <v>0</v>
      </c>
      <c r="K65" s="891">
        <v>0</v>
      </c>
      <c r="L65" s="891">
        <v>672</v>
      </c>
      <c r="M65" s="892">
        <v>672</v>
      </c>
      <c r="N65" s="887"/>
      <c r="O65" s="888"/>
      <c r="P65" s="888"/>
      <c r="Q65" s="888"/>
      <c r="R65" s="888"/>
      <c r="S65" s="889"/>
      <c r="T65" s="887"/>
      <c r="U65" s="888"/>
      <c r="V65" s="888"/>
      <c r="W65" s="888"/>
      <c r="X65" s="888"/>
      <c r="Y65" s="889"/>
    </row>
    <row r="66" spans="1:25">
      <c r="A66" s="1107" t="s">
        <v>157</v>
      </c>
      <c r="B66" s="874" t="s">
        <v>158</v>
      </c>
      <c r="C66" s="878">
        <f t="shared" si="1"/>
        <v>51086.57</v>
      </c>
      <c r="D66" s="879">
        <f t="shared" si="2"/>
        <v>0</v>
      </c>
      <c r="E66" s="880">
        <f t="shared" si="3"/>
        <v>59269.06</v>
      </c>
      <c r="F66" s="882">
        <f t="shared" si="4"/>
        <v>51086.57</v>
      </c>
      <c r="G66" s="880">
        <f t="shared" si="4"/>
        <v>8182.49</v>
      </c>
      <c r="H66" s="890">
        <v>0</v>
      </c>
      <c r="I66" s="891">
        <v>0</v>
      </c>
      <c r="J66" s="891">
        <v>0</v>
      </c>
      <c r="K66" s="891">
        <v>0</v>
      </c>
      <c r="L66" s="891">
        <v>8182.49</v>
      </c>
      <c r="M66" s="892">
        <v>8182.49</v>
      </c>
      <c r="N66" s="887"/>
      <c r="O66" s="888"/>
      <c r="P66" s="888"/>
      <c r="Q66" s="888"/>
      <c r="R66" s="888"/>
      <c r="S66" s="889"/>
      <c r="T66" s="884">
        <v>51086.57</v>
      </c>
      <c r="U66" s="885">
        <v>0</v>
      </c>
      <c r="V66" s="885">
        <v>0</v>
      </c>
      <c r="W66" s="885">
        <v>51086.57</v>
      </c>
      <c r="X66" s="885">
        <v>0</v>
      </c>
      <c r="Y66" s="886">
        <v>102173.14</v>
      </c>
    </row>
    <row r="67" spans="1:25">
      <c r="A67" s="1107" t="s">
        <v>163</v>
      </c>
      <c r="B67" s="874" t="s">
        <v>164</v>
      </c>
      <c r="C67" s="878">
        <f t="shared" si="1"/>
        <v>65461.29</v>
      </c>
      <c r="D67" s="879">
        <f t="shared" si="2"/>
        <v>0</v>
      </c>
      <c r="E67" s="880">
        <f t="shared" si="3"/>
        <v>65461.29</v>
      </c>
      <c r="F67" s="882">
        <f t="shared" si="4"/>
        <v>65461.29</v>
      </c>
      <c r="G67" s="880">
        <f t="shared" si="4"/>
        <v>0</v>
      </c>
      <c r="H67" s="887"/>
      <c r="I67" s="888"/>
      <c r="J67" s="888"/>
      <c r="K67" s="888"/>
      <c r="L67" s="888"/>
      <c r="M67" s="889"/>
      <c r="N67" s="887"/>
      <c r="O67" s="888"/>
      <c r="P67" s="888"/>
      <c r="Q67" s="888"/>
      <c r="R67" s="888"/>
      <c r="S67" s="889"/>
      <c r="T67" s="884">
        <v>65461.29</v>
      </c>
      <c r="U67" s="885">
        <v>0</v>
      </c>
      <c r="V67" s="885">
        <v>0</v>
      </c>
      <c r="W67" s="885">
        <v>65461.29</v>
      </c>
      <c r="X67" s="885">
        <v>0</v>
      </c>
      <c r="Y67" s="886">
        <v>130922.58</v>
      </c>
    </row>
    <row r="68" spans="1:25">
      <c r="A68" s="1107" t="s">
        <v>165</v>
      </c>
      <c r="B68" s="874" t="s">
        <v>166</v>
      </c>
      <c r="C68" s="878">
        <f t="shared" si="1"/>
        <v>21237.98</v>
      </c>
      <c r="D68" s="879">
        <f t="shared" si="2"/>
        <v>0</v>
      </c>
      <c r="E68" s="880">
        <f t="shared" si="3"/>
        <v>21237.97</v>
      </c>
      <c r="F68" s="882">
        <f t="shared" si="4"/>
        <v>21237.98</v>
      </c>
      <c r="G68" s="880">
        <f t="shared" si="4"/>
        <v>-0.01</v>
      </c>
      <c r="H68" s="890">
        <v>0</v>
      </c>
      <c r="I68" s="891">
        <v>0</v>
      </c>
      <c r="J68" s="891">
        <v>0</v>
      </c>
      <c r="K68" s="891">
        <v>0</v>
      </c>
      <c r="L68" s="891">
        <v>-0.01</v>
      </c>
      <c r="M68" s="892">
        <v>-0.01</v>
      </c>
      <c r="N68" s="887"/>
      <c r="O68" s="888"/>
      <c r="P68" s="888"/>
      <c r="Q68" s="888"/>
      <c r="R68" s="888"/>
      <c r="S68" s="889"/>
      <c r="T68" s="884">
        <v>21237.98</v>
      </c>
      <c r="U68" s="885">
        <v>0</v>
      </c>
      <c r="V68" s="885">
        <v>0</v>
      </c>
      <c r="W68" s="885">
        <v>21237.98</v>
      </c>
      <c r="X68" s="885">
        <v>0</v>
      </c>
      <c r="Y68" s="886">
        <v>42475.96</v>
      </c>
    </row>
    <row r="69" spans="1:25">
      <c r="A69" s="1107" t="s">
        <v>169</v>
      </c>
      <c r="B69" s="874" t="s">
        <v>170</v>
      </c>
      <c r="C69" s="878">
        <f t="shared" si="1"/>
        <v>29019.47</v>
      </c>
      <c r="D69" s="879">
        <f t="shared" si="2"/>
        <v>0</v>
      </c>
      <c r="E69" s="880">
        <f t="shared" si="3"/>
        <v>29019.47</v>
      </c>
      <c r="F69" s="882">
        <f t="shared" si="4"/>
        <v>29019.47</v>
      </c>
      <c r="G69" s="880">
        <f t="shared" si="4"/>
        <v>0</v>
      </c>
      <c r="H69" s="887"/>
      <c r="I69" s="888"/>
      <c r="J69" s="888"/>
      <c r="K69" s="888"/>
      <c r="L69" s="888"/>
      <c r="M69" s="889"/>
      <c r="N69" s="887"/>
      <c r="O69" s="888"/>
      <c r="P69" s="888"/>
      <c r="Q69" s="888"/>
      <c r="R69" s="888"/>
      <c r="S69" s="889"/>
      <c r="T69" s="884">
        <v>29019.47</v>
      </c>
      <c r="U69" s="885">
        <v>0</v>
      </c>
      <c r="V69" s="885">
        <v>0</v>
      </c>
      <c r="W69" s="885">
        <v>29019.47</v>
      </c>
      <c r="X69" s="885">
        <v>0</v>
      </c>
      <c r="Y69" s="886">
        <v>58038.94</v>
      </c>
    </row>
    <row r="70" spans="1:25">
      <c r="A70" s="1107" t="s">
        <v>171</v>
      </c>
      <c r="B70" s="874" t="s">
        <v>172</v>
      </c>
      <c r="C70" s="878">
        <f t="shared" ref="C70:C124" si="5">+H70+I70+N70+O70+T70+U70</f>
        <v>28030.41</v>
      </c>
      <c r="D70" s="879">
        <f t="shared" ref="D70:D124" si="6">+J70+P70+V70</f>
        <v>0</v>
      </c>
      <c r="E70" s="880">
        <f t="shared" ref="E70:E124" si="7">+F70+G70</f>
        <v>28030.41</v>
      </c>
      <c r="F70" s="882">
        <f t="shared" ref="F70:G124" si="8">+K70+Q70+W70</f>
        <v>28030.41</v>
      </c>
      <c r="G70" s="880">
        <f t="shared" si="8"/>
        <v>0</v>
      </c>
      <c r="H70" s="887"/>
      <c r="I70" s="888"/>
      <c r="J70" s="888"/>
      <c r="K70" s="888"/>
      <c r="L70" s="888"/>
      <c r="M70" s="889"/>
      <c r="N70" s="887"/>
      <c r="O70" s="888"/>
      <c r="P70" s="888"/>
      <c r="Q70" s="888"/>
      <c r="R70" s="888"/>
      <c r="S70" s="889"/>
      <c r="T70" s="884">
        <v>28030.41</v>
      </c>
      <c r="U70" s="885">
        <v>0</v>
      </c>
      <c r="V70" s="885">
        <v>0</v>
      </c>
      <c r="W70" s="885">
        <v>28030.41</v>
      </c>
      <c r="X70" s="885">
        <v>0</v>
      </c>
      <c r="Y70" s="886">
        <v>56060.82</v>
      </c>
    </row>
    <row r="71" spans="1:25">
      <c r="A71" s="1107" t="s">
        <v>173</v>
      </c>
      <c r="B71" s="874" t="s">
        <v>174</v>
      </c>
      <c r="C71" s="878">
        <f t="shared" si="5"/>
        <v>30085.89</v>
      </c>
      <c r="D71" s="879">
        <f t="shared" si="6"/>
        <v>0</v>
      </c>
      <c r="E71" s="880">
        <f t="shared" si="7"/>
        <v>30085.89</v>
      </c>
      <c r="F71" s="882">
        <f t="shared" si="8"/>
        <v>30085.89</v>
      </c>
      <c r="G71" s="880">
        <f t="shared" si="8"/>
        <v>0</v>
      </c>
      <c r="H71" s="887"/>
      <c r="I71" s="888"/>
      <c r="J71" s="888"/>
      <c r="K71" s="888"/>
      <c r="L71" s="888"/>
      <c r="M71" s="889"/>
      <c r="N71" s="887"/>
      <c r="O71" s="888"/>
      <c r="P71" s="888"/>
      <c r="Q71" s="888"/>
      <c r="R71" s="888"/>
      <c r="S71" s="889"/>
      <c r="T71" s="884">
        <v>30085.89</v>
      </c>
      <c r="U71" s="885">
        <v>0</v>
      </c>
      <c r="V71" s="885">
        <v>0</v>
      </c>
      <c r="W71" s="885">
        <v>30085.89</v>
      </c>
      <c r="X71" s="885">
        <v>0</v>
      </c>
      <c r="Y71" s="886">
        <v>60171.78</v>
      </c>
    </row>
    <row r="72" spans="1:25">
      <c r="A72" s="1107" t="s">
        <v>175</v>
      </c>
      <c r="B72" s="874" t="s">
        <v>176</v>
      </c>
      <c r="C72" s="878">
        <f t="shared" si="5"/>
        <v>32934.32</v>
      </c>
      <c r="D72" s="879">
        <f t="shared" si="6"/>
        <v>0</v>
      </c>
      <c r="E72" s="880">
        <f t="shared" si="7"/>
        <v>32934.32</v>
      </c>
      <c r="F72" s="882">
        <f t="shared" si="8"/>
        <v>32934.32</v>
      </c>
      <c r="G72" s="880">
        <f t="shared" si="8"/>
        <v>0</v>
      </c>
      <c r="H72" s="887"/>
      <c r="I72" s="888"/>
      <c r="J72" s="888"/>
      <c r="K72" s="888"/>
      <c r="L72" s="888"/>
      <c r="M72" s="889"/>
      <c r="N72" s="887"/>
      <c r="O72" s="888"/>
      <c r="P72" s="888"/>
      <c r="Q72" s="888"/>
      <c r="R72" s="888"/>
      <c r="S72" s="889"/>
      <c r="T72" s="884">
        <v>32934.32</v>
      </c>
      <c r="U72" s="885">
        <v>0</v>
      </c>
      <c r="V72" s="885">
        <v>0</v>
      </c>
      <c r="W72" s="885">
        <v>32934.32</v>
      </c>
      <c r="X72" s="885">
        <v>0</v>
      </c>
      <c r="Y72" s="886">
        <v>65868.639999999999</v>
      </c>
    </row>
    <row r="73" spans="1:25">
      <c r="A73" s="1107" t="s">
        <v>179</v>
      </c>
      <c r="B73" s="874" t="s">
        <v>180</v>
      </c>
      <c r="C73" s="878">
        <f t="shared" si="5"/>
        <v>51202.38</v>
      </c>
      <c r="D73" s="879">
        <f t="shared" si="6"/>
        <v>0</v>
      </c>
      <c r="E73" s="880">
        <f t="shared" si="7"/>
        <v>51202.38</v>
      </c>
      <c r="F73" s="882">
        <f t="shared" si="8"/>
        <v>51202.38</v>
      </c>
      <c r="G73" s="880">
        <f t="shared" si="8"/>
        <v>0</v>
      </c>
      <c r="H73" s="887"/>
      <c r="I73" s="888"/>
      <c r="J73" s="888"/>
      <c r="K73" s="888"/>
      <c r="L73" s="888"/>
      <c r="M73" s="889"/>
      <c r="N73" s="887"/>
      <c r="O73" s="888"/>
      <c r="P73" s="888"/>
      <c r="Q73" s="888"/>
      <c r="R73" s="888"/>
      <c r="S73" s="889"/>
      <c r="T73" s="884">
        <v>51202.38</v>
      </c>
      <c r="U73" s="885">
        <v>0</v>
      </c>
      <c r="V73" s="885">
        <v>0</v>
      </c>
      <c r="W73" s="885">
        <v>51202.38</v>
      </c>
      <c r="X73" s="885">
        <v>0</v>
      </c>
      <c r="Y73" s="886">
        <v>102404.76</v>
      </c>
    </row>
    <row r="74" spans="1:25">
      <c r="A74" s="1107" t="s">
        <v>183</v>
      </c>
      <c r="B74" s="874" t="s">
        <v>184</v>
      </c>
      <c r="C74" s="878">
        <f t="shared" si="5"/>
        <v>42319.95</v>
      </c>
      <c r="D74" s="879">
        <f t="shared" si="6"/>
        <v>0</v>
      </c>
      <c r="E74" s="880">
        <f t="shared" si="7"/>
        <v>42319.909999999996</v>
      </c>
      <c r="F74" s="882">
        <f t="shared" si="8"/>
        <v>42319.95</v>
      </c>
      <c r="G74" s="880">
        <f t="shared" si="8"/>
        <v>-0.04</v>
      </c>
      <c r="H74" s="890">
        <v>0</v>
      </c>
      <c r="I74" s="891">
        <v>0</v>
      </c>
      <c r="J74" s="891">
        <v>0</v>
      </c>
      <c r="K74" s="891">
        <v>0</v>
      </c>
      <c r="L74" s="891">
        <v>-0.04</v>
      </c>
      <c r="M74" s="892">
        <v>-0.04</v>
      </c>
      <c r="N74" s="887"/>
      <c r="O74" s="888"/>
      <c r="P74" s="888"/>
      <c r="Q74" s="888"/>
      <c r="R74" s="888"/>
      <c r="S74" s="889"/>
      <c r="T74" s="884">
        <v>42319.95</v>
      </c>
      <c r="U74" s="885">
        <v>0</v>
      </c>
      <c r="V74" s="885">
        <v>0</v>
      </c>
      <c r="W74" s="885">
        <v>42319.95</v>
      </c>
      <c r="X74" s="885">
        <v>0</v>
      </c>
      <c r="Y74" s="886">
        <v>84639.9</v>
      </c>
    </row>
    <row r="75" spans="1:25">
      <c r="A75" s="1107" t="s">
        <v>185</v>
      </c>
      <c r="B75" s="874" t="s">
        <v>186</v>
      </c>
      <c r="C75" s="878">
        <f t="shared" si="5"/>
        <v>43034.07</v>
      </c>
      <c r="D75" s="879">
        <f t="shared" si="6"/>
        <v>0</v>
      </c>
      <c r="E75" s="880">
        <f t="shared" si="7"/>
        <v>43034.07</v>
      </c>
      <c r="F75" s="882">
        <f t="shared" si="8"/>
        <v>43034.07</v>
      </c>
      <c r="G75" s="880">
        <f t="shared" si="8"/>
        <v>0</v>
      </c>
      <c r="H75" s="887"/>
      <c r="I75" s="888"/>
      <c r="J75" s="888"/>
      <c r="K75" s="888"/>
      <c r="L75" s="888"/>
      <c r="M75" s="889"/>
      <c r="N75" s="887"/>
      <c r="O75" s="888"/>
      <c r="P75" s="888"/>
      <c r="Q75" s="888"/>
      <c r="R75" s="888"/>
      <c r="S75" s="889"/>
      <c r="T75" s="884">
        <v>43034.07</v>
      </c>
      <c r="U75" s="885">
        <v>0</v>
      </c>
      <c r="V75" s="885">
        <v>0</v>
      </c>
      <c r="W75" s="885">
        <v>43034.07</v>
      </c>
      <c r="X75" s="885">
        <v>0</v>
      </c>
      <c r="Y75" s="886">
        <v>86068.14</v>
      </c>
    </row>
    <row r="76" spans="1:25">
      <c r="A76" s="1107" t="s">
        <v>187</v>
      </c>
      <c r="B76" s="874" t="s">
        <v>188</v>
      </c>
      <c r="C76" s="878">
        <f t="shared" si="5"/>
        <v>33009.660000000003</v>
      </c>
      <c r="D76" s="879">
        <f t="shared" si="6"/>
        <v>19993</v>
      </c>
      <c r="E76" s="880">
        <f t="shared" si="7"/>
        <v>33009.660000000003</v>
      </c>
      <c r="F76" s="882">
        <f t="shared" si="8"/>
        <v>33009.660000000003</v>
      </c>
      <c r="G76" s="880">
        <f t="shared" si="8"/>
        <v>0</v>
      </c>
      <c r="H76" s="887"/>
      <c r="I76" s="888"/>
      <c r="J76" s="888"/>
      <c r="K76" s="888"/>
      <c r="L76" s="888"/>
      <c r="M76" s="889"/>
      <c r="N76" s="890">
        <v>0</v>
      </c>
      <c r="O76" s="891">
        <v>0</v>
      </c>
      <c r="P76" s="891">
        <v>19993</v>
      </c>
      <c r="Q76" s="891">
        <v>0</v>
      </c>
      <c r="R76" s="891">
        <v>0</v>
      </c>
      <c r="S76" s="892">
        <v>19993</v>
      </c>
      <c r="T76" s="884">
        <v>33009.660000000003</v>
      </c>
      <c r="U76" s="885">
        <v>0</v>
      </c>
      <c r="V76" s="885">
        <v>0</v>
      </c>
      <c r="W76" s="885">
        <v>33009.660000000003</v>
      </c>
      <c r="X76" s="885">
        <v>0</v>
      </c>
      <c r="Y76" s="886">
        <v>66019.320000000007</v>
      </c>
    </row>
    <row r="77" spans="1:25">
      <c r="A77" s="1107" t="s">
        <v>189</v>
      </c>
      <c r="B77" s="874" t="s">
        <v>190</v>
      </c>
      <c r="C77" s="878">
        <f t="shared" si="5"/>
        <v>927688.56</v>
      </c>
      <c r="D77" s="879">
        <f t="shared" si="6"/>
        <v>0</v>
      </c>
      <c r="E77" s="880">
        <f t="shared" si="7"/>
        <v>927688.56</v>
      </c>
      <c r="F77" s="882">
        <f t="shared" si="8"/>
        <v>927688.56</v>
      </c>
      <c r="G77" s="880">
        <f t="shared" si="8"/>
        <v>0</v>
      </c>
      <c r="H77" s="887"/>
      <c r="I77" s="888"/>
      <c r="J77" s="888"/>
      <c r="K77" s="888"/>
      <c r="L77" s="888"/>
      <c r="M77" s="889"/>
      <c r="N77" s="887"/>
      <c r="O77" s="888"/>
      <c r="P77" s="888"/>
      <c r="Q77" s="888"/>
      <c r="R77" s="888"/>
      <c r="S77" s="889"/>
      <c r="T77" s="884">
        <v>927688.56</v>
      </c>
      <c r="U77" s="885">
        <v>0</v>
      </c>
      <c r="V77" s="885">
        <v>0</v>
      </c>
      <c r="W77" s="885">
        <v>927688.56</v>
      </c>
      <c r="X77" s="885">
        <v>0</v>
      </c>
      <c r="Y77" s="886">
        <v>1855377.12</v>
      </c>
    </row>
    <row r="78" spans="1:25">
      <c r="A78" s="1107" t="s">
        <v>191</v>
      </c>
      <c r="B78" s="874" t="s">
        <v>192</v>
      </c>
      <c r="C78" s="878">
        <f t="shared" si="5"/>
        <v>78958.53</v>
      </c>
      <c r="D78" s="879">
        <f t="shared" si="6"/>
        <v>73774</v>
      </c>
      <c r="E78" s="880">
        <f t="shared" si="7"/>
        <v>78958.53</v>
      </c>
      <c r="F78" s="882">
        <f t="shared" si="8"/>
        <v>78958.53</v>
      </c>
      <c r="G78" s="880">
        <f t="shared" si="8"/>
        <v>0</v>
      </c>
      <c r="H78" s="887"/>
      <c r="I78" s="888"/>
      <c r="J78" s="888"/>
      <c r="K78" s="888"/>
      <c r="L78" s="888"/>
      <c r="M78" s="889"/>
      <c r="N78" s="890">
        <v>0</v>
      </c>
      <c r="O78" s="891">
        <v>0</v>
      </c>
      <c r="P78" s="891">
        <v>73774</v>
      </c>
      <c r="Q78" s="891">
        <v>0</v>
      </c>
      <c r="R78" s="891">
        <v>0</v>
      </c>
      <c r="S78" s="892">
        <v>73774</v>
      </c>
      <c r="T78" s="884">
        <v>78958.53</v>
      </c>
      <c r="U78" s="885">
        <v>0</v>
      </c>
      <c r="V78" s="885">
        <v>0</v>
      </c>
      <c r="W78" s="885">
        <v>78958.53</v>
      </c>
      <c r="X78" s="885">
        <v>0</v>
      </c>
      <c r="Y78" s="886">
        <v>157917.06</v>
      </c>
    </row>
    <row r="79" spans="1:25">
      <c r="A79" s="1107" t="s">
        <v>195</v>
      </c>
      <c r="B79" s="874" t="s">
        <v>196</v>
      </c>
      <c r="C79" s="878">
        <f t="shared" si="5"/>
        <v>18088.400000000001</v>
      </c>
      <c r="D79" s="879">
        <f t="shared" si="6"/>
        <v>0</v>
      </c>
      <c r="E79" s="880">
        <f t="shared" si="7"/>
        <v>18088.400000000001</v>
      </c>
      <c r="F79" s="882">
        <f t="shared" si="8"/>
        <v>18088.400000000001</v>
      </c>
      <c r="G79" s="880">
        <f t="shared" si="8"/>
        <v>0</v>
      </c>
      <c r="H79" s="887"/>
      <c r="I79" s="888"/>
      <c r="J79" s="888"/>
      <c r="K79" s="888"/>
      <c r="L79" s="888"/>
      <c r="M79" s="889"/>
      <c r="N79" s="887"/>
      <c r="O79" s="888"/>
      <c r="P79" s="888"/>
      <c r="Q79" s="888"/>
      <c r="R79" s="888"/>
      <c r="S79" s="889"/>
      <c r="T79" s="884">
        <v>18088.400000000001</v>
      </c>
      <c r="U79" s="885">
        <v>0</v>
      </c>
      <c r="V79" s="885">
        <v>0</v>
      </c>
      <c r="W79" s="885">
        <v>18088.400000000001</v>
      </c>
      <c r="X79" s="885">
        <v>0</v>
      </c>
      <c r="Y79" s="886">
        <v>36176.800000000003</v>
      </c>
    </row>
    <row r="80" spans="1:25">
      <c r="A80" s="1107" t="s">
        <v>199</v>
      </c>
      <c r="B80" s="874" t="s">
        <v>200</v>
      </c>
      <c r="C80" s="878">
        <f t="shared" si="5"/>
        <v>7329.55</v>
      </c>
      <c r="D80" s="879">
        <f t="shared" si="6"/>
        <v>0</v>
      </c>
      <c r="E80" s="880">
        <f t="shared" si="7"/>
        <v>7329.55</v>
      </c>
      <c r="F80" s="882">
        <f t="shared" si="8"/>
        <v>7329.55</v>
      </c>
      <c r="G80" s="880">
        <f t="shared" si="8"/>
        <v>0</v>
      </c>
      <c r="H80" s="887"/>
      <c r="I80" s="888"/>
      <c r="J80" s="888"/>
      <c r="K80" s="888"/>
      <c r="L80" s="888"/>
      <c r="M80" s="889"/>
      <c r="N80" s="887"/>
      <c r="O80" s="888"/>
      <c r="P80" s="888"/>
      <c r="Q80" s="888"/>
      <c r="R80" s="888"/>
      <c r="S80" s="889"/>
      <c r="T80" s="884">
        <v>7329.55</v>
      </c>
      <c r="U80" s="885">
        <v>0</v>
      </c>
      <c r="V80" s="885">
        <v>0</v>
      </c>
      <c r="W80" s="885">
        <v>7329.55</v>
      </c>
      <c r="X80" s="885">
        <v>0</v>
      </c>
      <c r="Y80" s="886">
        <v>14659.1</v>
      </c>
    </row>
    <row r="81" spans="1:25">
      <c r="A81" s="1107" t="s">
        <v>203</v>
      </c>
      <c r="B81" s="874" t="s">
        <v>204</v>
      </c>
      <c r="C81" s="878">
        <f t="shared" si="5"/>
        <v>136196.92000000001</v>
      </c>
      <c r="D81" s="879">
        <f t="shared" si="6"/>
        <v>0</v>
      </c>
      <c r="E81" s="880">
        <f t="shared" si="7"/>
        <v>136196.92000000001</v>
      </c>
      <c r="F81" s="882">
        <f t="shared" si="8"/>
        <v>136196.92000000001</v>
      </c>
      <c r="G81" s="880">
        <f t="shared" si="8"/>
        <v>0</v>
      </c>
      <c r="H81" s="887"/>
      <c r="I81" s="888"/>
      <c r="J81" s="888"/>
      <c r="K81" s="888"/>
      <c r="L81" s="888"/>
      <c r="M81" s="889"/>
      <c r="N81" s="887"/>
      <c r="O81" s="888"/>
      <c r="P81" s="888"/>
      <c r="Q81" s="888"/>
      <c r="R81" s="888"/>
      <c r="S81" s="889"/>
      <c r="T81" s="884">
        <v>136196.92000000001</v>
      </c>
      <c r="U81" s="885">
        <v>0</v>
      </c>
      <c r="V81" s="885">
        <v>0</v>
      </c>
      <c r="W81" s="885">
        <v>136196.92000000001</v>
      </c>
      <c r="X81" s="885">
        <v>0</v>
      </c>
      <c r="Y81" s="886">
        <v>272393.84000000003</v>
      </c>
    </row>
    <row r="82" spans="1:25">
      <c r="A82" s="1107" t="s">
        <v>205</v>
      </c>
      <c r="B82" s="874" t="s">
        <v>206</v>
      </c>
      <c r="C82" s="878">
        <f t="shared" si="5"/>
        <v>19134.47</v>
      </c>
      <c r="D82" s="879">
        <f t="shared" si="6"/>
        <v>0</v>
      </c>
      <c r="E82" s="880">
        <f t="shared" si="7"/>
        <v>19134.47</v>
      </c>
      <c r="F82" s="882">
        <f t="shared" si="8"/>
        <v>19134.47</v>
      </c>
      <c r="G82" s="880">
        <f t="shared" si="8"/>
        <v>0</v>
      </c>
      <c r="H82" s="887"/>
      <c r="I82" s="888"/>
      <c r="J82" s="888"/>
      <c r="K82" s="888"/>
      <c r="L82" s="888"/>
      <c r="M82" s="889"/>
      <c r="N82" s="887"/>
      <c r="O82" s="888"/>
      <c r="P82" s="888"/>
      <c r="Q82" s="888"/>
      <c r="R82" s="888"/>
      <c r="S82" s="889"/>
      <c r="T82" s="884">
        <v>19134.47</v>
      </c>
      <c r="U82" s="885">
        <v>0</v>
      </c>
      <c r="V82" s="885">
        <v>0</v>
      </c>
      <c r="W82" s="885">
        <v>19134.47</v>
      </c>
      <c r="X82" s="885">
        <v>0</v>
      </c>
      <c r="Y82" s="886">
        <v>38268.94</v>
      </c>
    </row>
    <row r="83" spans="1:25">
      <c r="A83" s="1107" t="s">
        <v>207</v>
      </c>
      <c r="B83" s="874" t="s">
        <v>208</v>
      </c>
      <c r="C83" s="878">
        <f t="shared" si="5"/>
        <v>147726.14000000001</v>
      </c>
      <c r="D83" s="879">
        <f t="shared" si="6"/>
        <v>0</v>
      </c>
      <c r="E83" s="880">
        <f t="shared" si="7"/>
        <v>147726.14000000001</v>
      </c>
      <c r="F83" s="882">
        <f t="shared" si="8"/>
        <v>147726.14000000001</v>
      </c>
      <c r="G83" s="880">
        <f t="shared" si="8"/>
        <v>0</v>
      </c>
      <c r="H83" s="887"/>
      <c r="I83" s="888"/>
      <c r="J83" s="888"/>
      <c r="K83" s="888"/>
      <c r="L83" s="888"/>
      <c r="M83" s="889"/>
      <c r="N83" s="887"/>
      <c r="O83" s="888"/>
      <c r="P83" s="888"/>
      <c r="Q83" s="888"/>
      <c r="R83" s="888"/>
      <c r="S83" s="889"/>
      <c r="T83" s="884">
        <v>147726.14000000001</v>
      </c>
      <c r="U83" s="885">
        <v>0</v>
      </c>
      <c r="V83" s="885">
        <v>0</v>
      </c>
      <c r="W83" s="885">
        <v>147726.14000000001</v>
      </c>
      <c r="X83" s="885">
        <v>0</v>
      </c>
      <c r="Y83" s="886">
        <v>295452.28000000003</v>
      </c>
    </row>
    <row r="84" spans="1:25">
      <c r="A84" s="1107" t="s">
        <v>209</v>
      </c>
      <c r="B84" s="874" t="s">
        <v>210</v>
      </c>
      <c r="C84" s="878">
        <f t="shared" si="5"/>
        <v>56709.06</v>
      </c>
      <c r="D84" s="879">
        <f t="shared" si="6"/>
        <v>0</v>
      </c>
      <c r="E84" s="880">
        <f t="shared" si="7"/>
        <v>56709.06</v>
      </c>
      <c r="F84" s="882">
        <f t="shared" si="8"/>
        <v>56709.06</v>
      </c>
      <c r="G84" s="880">
        <f t="shared" si="8"/>
        <v>0</v>
      </c>
      <c r="H84" s="887"/>
      <c r="I84" s="888"/>
      <c r="J84" s="888"/>
      <c r="K84" s="888"/>
      <c r="L84" s="888"/>
      <c r="M84" s="889"/>
      <c r="N84" s="887"/>
      <c r="O84" s="888"/>
      <c r="P84" s="888"/>
      <c r="Q84" s="888"/>
      <c r="R84" s="888"/>
      <c r="S84" s="889"/>
      <c r="T84" s="884">
        <v>56709.06</v>
      </c>
      <c r="U84" s="885">
        <v>0</v>
      </c>
      <c r="V84" s="885">
        <v>0</v>
      </c>
      <c r="W84" s="885">
        <v>56709.06</v>
      </c>
      <c r="X84" s="885">
        <v>0</v>
      </c>
      <c r="Y84" s="886">
        <v>113418.12</v>
      </c>
    </row>
    <row r="85" spans="1:25">
      <c r="A85" s="1107" t="s">
        <v>211</v>
      </c>
      <c r="B85" s="874" t="s">
        <v>212</v>
      </c>
      <c r="C85" s="878">
        <f t="shared" si="5"/>
        <v>20249.740000000002</v>
      </c>
      <c r="D85" s="879">
        <f t="shared" si="6"/>
        <v>0</v>
      </c>
      <c r="E85" s="880">
        <f t="shared" si="7"/>
        <v>15679.690000000002</v>
      </c>
      <c r="F85" s="882">
        <f t="shared" si="8"/>
        <v>20249.740000000002</v>
      </c>
      <c r="G85" s="880">
        <f t="shared" si="8"/>
        <v>-4570.05</v>
      </c>
      <c r="H85" s="890">
        <v>0</v>
      </c>
      <c r="I85" s="891">
        <v>0</v>
      </c>
      <c r="J85" s="891">
        <v>0</v>
      </c>
      <c r="K85" s="891">
        <v>0</v>
      </c>
      <c r="L85" s="891">
        <v>-4570.05</v>
      </c>
      <c r="M85" s="892">
        <v>-4570.05</v>
      </c>
      <c r="N85" s="887"/>
      <c r="O85" s="888"/>
      <c r="P85" s="888"/>
      <c r="Q85" s="888"/>
      <c r="R85" s="888"/>
      <c r="S85" s="889"/>
      <c r="T85" s="884">
        <v>20249.740000000002</v>
      </c>
      <c r="U85" s="885">
        <v>0</v>
      </c>
      <c r="V85" s="885">
        <v>0</v>
      </c>
      <c r="W85" s="885">
        <v>20249.740000000002</v>
      </c>
      <c r="X85" s="885">
        <v>0</v>
      </c>
      <c r="Y85" s="886">
        <v>40499.480000000003</v>
      </c>
    </row>
    <row r="86" spans="1:25">
      <c r="A86" s="1107" t="s">
        <v>213</v>
      </c>
      <c r="B86" s="874" t="s">
        <v>214</v>
      </c>
      <c r="C86" s="878">
        <f t="shared" si="5"/>
        <v>44613.63</v>
      </c>
      <c r="D86" s="879">
        <f t="shared" si="6"/>
        <v>0</v>
      </c>
      <c r="E86" s="880">
        <f t="shared" si="7"/>
        <v>44613.63</v>
      </c>
      <c r="F86" s="882">
        <f t="shared" si="8"/>
        <v>44613.63</v>
      </c>
      <c r="G86" s="880">
        <f t="shared" si="8"/>
        <v>0</v>
      </c>
      <c r="H86" s="887"/>
      <c r="I86" s="888"/>
      <c r="J86" s="888"/>
      <c r="K86" s="888"/>
      <c r="L86" s="888"/>
      <c r="M86" s="889"/>
      <c r="N86" s="887"/>
      <c r="O86" s="888"/>
      <c r="P86" s="888"/>
      <c r="Q86" s="888"/>
      <c r="R86" s="888"/>
      <c r="S86" s="889"/>
      <c r="T86" s="884">
        <v>44613.63</v>
      </c>
      <c r="U86" s="885">
        <v>0</v>
      </c>
      <c r="V86" s="885">
        <v>0</v>
      </c>
      <c r="W86" s="885">
        <v>44613.63</v>
      </c>
      <c r="X86" s="885">
        <v>0</v>
      </c>
      <c r="Y86" s="886">
        <v>89227.26</v>
      </c>
    </row>
    <row r="87" spans="1:25">
      <c r="A87" s="1107" t="s">
        <v>215</v>
      </c>
      <c r="B87" s="874" t="s">
        <v>216</v>
      </c>
      <c r="C87" s="878">
        <f t="shared" si="5"/>
        <v>51815.9</v>
      </c>
      <c r="D87" s="879">
        <f t="shared" si="6"/>
        <v>0</v>
      </c>
      <c r="E87" s="880">
        <f t="shared" si="7"/>
        <v>51815.9</v>
      </c>
      <c r="F87" s="882">
        <f t="shared" si="8"/>
        <v>51815.9</v>
      </c>
      <c r="G87" s="880">
        <f t="shared" si="8"/>
        <v>0</v>
      </c>
      <c r="H87" s="887"/>
      <c r="I87" s="888"/>
      <c r="J87" s="888"/>
      <c r="K87" s="888"/>
      <c r="L87" s="888"/>
      <c r="M87" s="889"/>
      <c r="N87" s="887"/>
      <c r="O87" s="888"/>
      <c r="P87" s="888"/>
      <c r="Q87" s="888"/>
      <c r="R87" s="888"/>
      <c r="S87" s="889"/>
      <c r="T87" s="884">
        <v>51815.9</v>
      </c>
      <c r="U87" s="885">
        <v>0</v>
      </c>
      <c r="V87" s="885">
        <v>0</v>
      </c>
      <c r="W87" s="885">
        <v>51815.9</v>
      </c>
      <c r="X87" s="885">
        <v>0</v>
      </c>
      <c r="Y87" s="886">
        <v>103631.8</v>
      </c>
    </row>
    <row r="88" spans="1:25">
      <c r="A88" s="1107" t="s">
        <v>217</v>
      </c>
      <c r="B88" s="874" t="s">
        <v>218</v>
      </c>
      <c r="C88" s="878">
        <f t="shared" si="5"/>
        <v>48339.4</v>
      </c>
      <c r="D88" s="879">
        <f t="shared" si="6"/>
        <v>0</v>
      </c>
      <c r="E88" s="880">
        <f t="shared" si="7"/>
        <v>48339.4</v>
      </c>
      <c r="F88" s="882">
        <f t="shared" si="8"/>
        <v>48339.4</v>
      </c>
      <c r="G88" s="880">
        <f t="shared" si="8"/>
        <v>0</v>
      </c>
      <c r="H88" s="887"/>
      <c r="I88" s="888"/>
      <c r="J88" s="888"/>
      <c r="K88" s="888"/>
      <c r="L88" s="888"/>
      <c r="M88" s="889"/>
      <c r="N88" s="887"/>
      <c r="O88" s="888"/>
      <c r="P88" s="888"/>
      <c r="Q88" s="888"/>
      <c r="R88" s="888"/>
      <c r="S88" s="889"/>
      <c r="T88" s="884">
        <v>48339.4</v>
      </c>
      <c r="U88" s="885">
        <v>0</v>
      </c>
      <c r="V88" s="885">
        <v>0</v>
      </c>
      <c r="W88" s="885">
        <v>48339.4</v>
      </c>
      <c r="X88" s="885">
        <v>0</v>
      </c>
      <c r="Y88" s="886">
        <v>96678.8</v>
      </c>
    </row>
    <row r="89" spans="1:25">
      <c r="A89" s="1107" t="s">
        <v>219</v>
      </c>
      <c r="B89" s="874" t="s">
        <v>220</v>
      </c>
      <c r="C89" s="878">
        <f t="shared" si="5"/>
        <v>166069.32999999999</v>
      </c>
      <c r="D89" s="879">
        <f t="shared" si="6"/>
        <v>0</v>
      </c>
      <c r="E89" s="880">
        <f t="shared" si="7"/>
        <v>166069.32999999999</v>
      </c>
      <c r="F89" s="882">
        <f t="shared" si="8"/>
        <v>166069.32999999999</v>
      </c>
      <c r="G89" s="880">
        <f t="shared" si="8"/>
        <v>0</v>
      </c>
      <c r="H89" s="887"/>
      <c r="I89" s="888"/>
      <c r="J89" s="888"/>
      <c r="K89" s="888"/>
      <c r="L89" s="888"/>
      <c r="M89" s="889"/>
      <c r="N89" s="887"/>
      <c r="O89" s="888"/>
      <c r="P89" s="888"/>
      <c r="Q89" s="888"/>
      <c r="R89" s="888"/>
      <c r="S89" s="889"/>
      <c r="T89" s="884">
        <v>166069.32999999999</v>
      </c>
      <c r="U89" s="885">
        <v>0</v>
      </c>
      <c r="V89" s="885">
        <v>0</v>
      </c>
      <c r="W89" s="885">
        <v>166069.32999999999</v>
      </c>
      <c r="X89" s="885">
        <v>0</v>
      </c>
      <c r="Y89" s="886">
        <v>332138.65999999997</v>
      </c>
    </row>
    <row r="90" spans="1:25">
      <c r="A90" s="1107" t="s">
        <v>221</v>
      </c>
      <c r="B90" s="874" t="s">
        <v>222</v>
      </c>
      <c r="C90" s="878">
        <f t="shared" si="5"/>
        <v>216569.5</v>
      </c>
      <c r="D90" s="879">
        <f t="shared" si="6"/>
        <v>0</v>
      </c>
      <c r="E90" s="880">
        <f t="shared" si="7"/>
        <v>216569.5</v>
      </c>
      <c r="F90" s="882">
        <f t="shared" si="8"/>
        <v>216569.5</v>
      </c>
      <c r="G90" s="880">
        <f t="shared" si="8"/>
        <v>0</v>
      </c>
      <c r="H90" s="887"/>
      <c r="I90" s="888"/>
      <c r="J90" s="888"/>
      <c r="K90" s="888"/>
      <c r="L90" s="888"/>
      <c r="M90" s="889"/>
      <c r="N90" s="887"/>
      <c r="O90" s="888"/>
      <c r="P90" s="888"/>
      <c r="Q90" s="888"/>
      <c r="R90" s="888"/>
      <c r="S90" s="889"/>
      <c r="T90" s="884">
        <v>216569.5</v>
      </c>
      <c r="U90" s="885">
        <v>0</v>
      </c>
      <c r="V90" s="885">
        <v>0</v>
      </c>
      <c r="W90" s="885">
        <v>216569.5</v>
      </c>
      <c r="X90" s="885">
        <v>0</v>
      </c>
      <c r="Y90" s="886">
        <v>433139</v>
      </c>
    </row>
    <row r="91" spans="1:25">
      <c r="A91" s="1107" t="s">
        <v>225</v>
      </c>
      <c r="B91" s="874" t="s">
        <v>226</v>
      </c>
      <c r="C91" s="878">
        <f t="shared" si="5"/>
        <v>46449.23</v>
      </c>
      <c r="D91" s="879">
        <f t="shared" si="6"/>
        <v>0</v>
      </c>
      <c r="E91" s="880">
        <f t="shared" si="7"/>
        <v>54317.43</v>
      </c>
      <c r="F91" s="882">
        <f t="shared" si="8"/>
        <v>46449.23</v>
      </c>
      <c r="G91" s="880">
        <f t="shared" si="8"/>
        <v>7868.2</v>
      </c>
      <c r="H91" s="890">
        <v>0</v>
      </c>
      <c r="I91" s="891">
        <v>0</v>
      </c>
      <c r="J91" s="891">
        <v>0</v>
      </c>
      <c r="K91" s="891">
        <v>0</v>
      </c>
      <c r="L91" s="891">
        <v>7868.2</v>
      </c>
      <c r="M91" s="892">
        <v>7868.2</v>
      </c>
      <c r="N91" s="887"/>
      <c r="O91" s="888"/>
      <c r="P91" s="888"/>
      <c r="Q91" s="888"/>
      <c r="R91" s="888"/>
      <c r="S91" s="889"/>
      <c r="T91" s="884">
        <v>46449.23</v>
      </c>
      <c r="U91" s="885">
        <v>0</v>
      </c>
      <c r="V91" s="885">
        <v>0</v>
      </c>
      <c r="W91" s="885">
        <v>46449.23</v>
      </c>
      <c r="X91" s="885">
        <v>0</v>
      </c>
      <c r="Y91" s="886">
        <v>92898.46</v>
      </c>
    </row>
    <row r="92" spans="1:25">
      <c r="A92" s="1107" t="s">
        <v>227</v>
      </c>
      <c r="B92" s="874" t="s">
        <v>228</v>
      </c>
      <c r="C92" s="878">
        <f t="shared" si="5"/>
        <v>61377.98</v>
      </c>
      <c r="D92" s="879">
        <f t="shared" si="6"/>
        <v>0</v>
      </c>
      <c r="E92" s="880">
        <f t="shared" si="7"/>
        <v>61377.98</v>
      </c>
      <c r="F92" s="882">
        <f t="shared" si="8"/>
        <v>61377.98</v>
      </c>
      <c r="G92" s="880">
        <f t="shared" si="8"/>
        <v>0</v>
      </c>
      <c r="H92" s="887"/>
      <c r="I92" s="888"/>
      <c r="J92" s="888"/>
      <c r="K92" s="888"/>
      <c r="L92" s="888"/>
      <c r="M92" s="889"/>
      <c r="N92" s="887"/>
      <c r="O92" s="888"/>
      <c r="P92" s="888"/>
      <c r="Q92" s="888"/>
      <c r="R92" s="888"/>
      <c r="S92" s="889"/>
      <c r="T92" s="884">
        <v>61377.98</v>
      </c>
      <c r="U92" s="885">
        <v>0</v>
      </c>
      <c r="V92" s="885">
        <v>0</v>
      </c>
      <c r="W92" s="885">
        <v>61377.98</v>
      </c>
      <c r="X92" s="885">
        <v>0</v>
      </c>
      <c r="Y92" s="886">
        <v>122755.96</v>
      </c>
    </row>
    <row r="93" spans="1:25">
      <c r="A93" s="1107" t="s">
        <v>229</v>
      </c>
      <c r="B93" s="874" t="s">
        <v>230</v>
      </c>
      <c r="C93" s="878">
        <f t="shared" si="5"/>
        <v>106786.45</v>
      </c>
      <c r="D93" s="879">
        <f t="shared" si="6"/>
        <v>0</v>
      </c>
      <c r="E93" s="880">
        <f t="shared" si="7"/>
        <v>107181.08</v>
      </c>
      <c r="F93" s="882">
        <f t="shared" si="8"/>
        <v>106786.45</v>
      </c>
      <c r="G93" s="880">
        <f t="shared" si="8"/>
        <v>394.63</v>
      </c>
      <c r="H93" s="890">
        <v>0</v>
      </c>
      <c r="I93" s="891">
        <v>0</v>
      </c>
      <c r="J93" s="891">
        <v>0</v>
      </c>
      <c r="K93" s="891">
        <v>0</v>
      </c>
      <c r="L93" s="891">
        <v>394.63</v>
      </c>
      <c r="M93" s="892">
        <v>394.63</v>
      </c>
      <c r="N93" s="887"/>
      <c r="O93" s="888"/>
      <c r="P93" s="888"/>
      <c r="Q93" s="888"/>
      <c r="R93" s="888"/>
      <c r="S93" s="889"/>
      <c r="T93" s="884">
        <v>106786.45</v>
      </c>
      <c r="U93" s="885">
        <v>0</v>
      </c>
      <c r="V93" s="885">
        <v>0</v>
      </c>
      <c r="W93" s="885">
        <v>106786.45</v>
      </c>
      <c r="X93" s="885">
        <v>0</v>
      </c>
      <c r="Y93" s="886">
        <v>213572.9</v>
      </c>
    </row>
    <row r="94" spans="1:25">
      <c r="A94" s="1107" t="s">
        <v>233</v>
      </c>
      <c r="B94" s="874" t="s">
        <v>234</v>
      </c>
      <c r="C94" s="878">
        <f t="shared" si="5"/>
        <v>23025.46</v>
      </c>
      <c r="D94" s="879">
        <f t="shared" si="6"/>
        <v>0</v>
      </c>
      <c r="E94" s="880">
        <f t="shared" si="7"/>
        <v>23025.46</v>
      </c>
      <c r="F94" s="882">
        <f t="shared" si="8"/>
        <v>23025.46</v>
      </c>
      <c r="G94" s="880">
        <f t="shared" si="8"/>
        <v>0</v>
      </c>
      <c r="H94" s="887"/>
      <c r="I94" s="888"/>
      <c r="J94" s="888"/>
      <c r="K94" s="888"/>
      <c r="L94" s="888"/>
      <c r="M94" s="889"/>
      <c r="N94" s="887"/>
      <c r="O94" s="888"/>
      <c r="P94" s="888"/>
      <c r="Q94" s="888"/>
      <c r="R94" s="888"/>
      <c r="S94" s="889"/>
      <c r="T94" s="884">
        <v>23025.46</v>
      </c>
      <c r="U94" s="885">
        <v>0</v>
      </c>
      <c r="V94" s="885">
        <v>0</v>
      </c>
      <c r="W94" s="885">
        <v>23025.46</v>
      </c>
      <c r="X94" s="885">
        <v>0</v>
      </c>
      <c r="Y94" s="886">
        <v>46050.92</v>
      </c>
    </row>
    <row r="95" spans="1:25">
      <c r="A95" s="1107" t="s">
        <v>235</v>
      </c>
      <c r="B95" s="874" t="s">
        <v>236</v>
      </c>
      <c r="C95" s="878">
        <f t="shared" si="5"/>
        <v>65836.03</v>
      </c>
      <c r="D95" s="879">
        <f t="shared" si="6"/>
        <v>0</v>
      </c>
      <c r="E95" s="880">
        <f t="shared" si="7"/>
        <v>105086.84</v>
      </c>
      <c r="F95" s="882">
        <f t="shared" si="8"/>
        <v>65836.03</v>
      </c>
      <c r="G95" s="880">
        <f t="shared" si="8"/>
        <v>39250.81</v>
      </c>
      <c r="H95" s="890">
        <v>0</v>
      </c>
      <c r="I95" s="891">
        <v>0</v>
      </c>
      <c r="J95" s="891">
        <v>0</v>
      </c>
      <c r="K95" s="891">
        <v>0</v>
      </c>
      <c r="L95" s="891">
        <v>39250.81</v>
      </c>
      <c r="M95" s="892">
        <v>39250.81</v>
      </c>
      <c r="N95" s="887"/>
      <c r="O95" s="888"/>
      <c r="P95" s="888"/>
      <c r="Q95" s="888"/>
      <c r="R95" s="888"/>
      <c r="S95" s="889"/>
      <c r="T95" s="884">
        <v>65836.03</v>
      </c>
      <c r="U95" s="885">
        <v>0</v>
      </c>
      <c r="V95" s="885">
        <v>0</v>
      </c>
      <c r="W95" s="885">
        <v>65836.03</v>
      </c>
      <c r="X95" s="885">
        <v>0</v>
      </c>
      <c r="Y95" s="886">
        <v>131672.06</v>
      </c>
    </row>
    <row r="96" spans="1:25">
      <c r="A96" s="1107" t="s">
        <v>237</v>
      </c>
      <c r="B96" s="874" t="s">
        <v>238</v>
      </c>
      <c r="C96" s="878">
        <f t="shared" si="5"/>
        <v>43678.44</v>
      </c>
      <c r="D96" s="879">
        <f t="shared" si="6"/>
        <v>0</v>
      </c>
      <c r="E96" s="880">
        <f t="shared" si="7"/>
        <v>43678.44</v>
      </c>
      <c r="F96" s="882">
        <f t="shared" si="8"/>
        <v>43678.44</v>
      </c>
      <c r="G96" s="880">
        <f t="shared" si="8"/>
        <v>0</v>
      </c>
      <c r="H96" s="887"/>
      <c r="I96" s="888"/>
      <c r="J96" s="888"/>
      <c r="K96" s="888"/>
      <c r="L96" s="888"/>
      <c r="M96" s="889"/>
      <c r="N96" s="887"/>
      <c r="O96" s="888"/>
      <c r="P96" s="888"/>
      <c r="Q96" s="888"/>
      <c r="R96" s="888"/>
      <c r="S96" s="889"/>
      <c r="T96" s="884">
        <v>43678.44</v>
      </c>
      <c r="U96" s="885">
        <v>0</v>
      </c>
      <c r="V96" s="885">
        <v>0</v>
      </c>
      <c r="W96" s="885">
        <v>43678.44</v>
      </c>
      <c r="X96" s="885">
        <v>0</v>
      </c>
      <c r="Y96" s="886">
        <v>87356.88</v>
      </c>
    </row>
    <row r="97" spans="1:25">
      <c r="A97" s="1107" t="s">
        <v>243</v>
      </c>
      <c r="B97" s="874" t="s">
        <v>244</v>
      </c>
      <c r="C97" s="878">
        <f t="shared" si="5"/>
        <v>72120.03</v>
      </c>
      <c r="D97" s="879">
        <f t="shared" si="6"/>
        <v>0</v>
      </c>
      <c r="E97" s="880">
        <f t="shared" si="7"/>
        <v>72120.02</v>
      </c>
      <c r="F97" s="882">
        <f t="shared" si="8"/>
        <v>72120.03</v>
      </c>
      <c r="G97" s="880">
        <f t="shared" si="8"/>
        <v>-0.01</v>
      </c>
      <c r="H97" s="890">
        <v>0</v>
      </c>
      <c r="I97" s="891">
        <v>0</v>
      </c>
      <c r="J97" s="891">
        <v>0</v>
      </c>
      <c r="K97" s="891">
        <v>0</v>
      </c>
      <c r="L97" s="891">
        <v>-0.01</v>
      </c>
      <c r="M97" s="892">
        <v>-0.01</v>
      </c>
      <c r="N97" s="887"/>
      <c r="O97" s="888"/>
      <c r="P97" s="888"/>
      <c r="Q97" s="888"/>
      <c r="R97" s="888"/>
      <c r="S97" s="889"/>
      <c r="T97" s="884">
        <v>72120.03</v>
      </c>
      <c r="U97" s="885">
        <v>0</v>
      </c>
      <c r="V97" s="885">
        <v>0</v>
      </c>
      <c r="W97" s="885">
        <v>72120.03</v>
      </c>
      <c r="X97" s="885">
        <v>0</v>
      </c>
      <c r="Y97" s="886">
        <v>144240.06</v>
      </c>
    </row>
    <row r="98" spans="1:25">
      <c r="A98" s="1107" t="s">
        <v>245</v>
      </c>
      <c r="B98" s="874" t="s">
        <v>246</v>
      </c>
      <c r="C98" s="878">
        <f t="shared" si="5"/>
        <v>98388.68</v>
      </c>
      <c r="D98" s="879">
        <f t="shared" si="6"/>
        <v>0</v>
      </c>
      <c r="E98" s="880">
        <f t="shared" si="7"/>
        <v>98388.68</v>
      </c>
      <c r="F98" s="882">
        <f t="shared" si="8"/>
        <v>98388.68</v>
      </c>
      <c r="G98" s="880">
        <f t="shared" si="8"/>
        <v>0</v>
      </c>
      <c r="H98" s="887"/>
      <c r="I98" s="888"/>
      <c r="J98" s="888"/>
      <c r="K98" s="888"/>
      <c r="L98" s="888"/>
      <c r="M98" s="889"/>
      <c r="N98" s="887"/>
      <c r="O98" s="888"/>
      <c r="P98" s="888"/>
      <c r="Q98" s="888"/>
      <c r="R98" s="888"/>
      <c r="S98" s="889"/>
      <c r="T98" s="884">
        <v>98388.68</v>
      </c>
      <c r="U98" s="885">
        <v>0</v>
      </c>
      <c r="V98" s="885">
        <v>0</v>
      </c>
      <c r="W98" s="885">
        <v>98388.68</v>
      </c>
      <c r="X98" s="885">
        <v>0</v>
      </c>
      <c r="Y98" s="886">
        <v>196777.36</v>
      </c>
    </row>
    <row r="99" spans="1:25">
      <c r="A99" s="1107" t="s">
        <v>247</v>
      </c>
      <c r="B99" s="874" t="s">
        <v>389</v>
      </c>
      <c r="C99" s="878">
        <f t="shared" si="5"/>
        <v>90553.39</v>
      </c>
      <c r="D99" s="879">
        <f t="shared" si="6"/>
        <v>0</v>
      </c>
      <c r="E99" s="880">
        <f t="shared" si="7"/>
        <v>90553.36</v>
      </c>
      <c r="F99" s="882">
        <f t="shared" si="8"/>
        <v>90553.39</v>
      </c>
      <c r="G99" s="880">
        <f t="shared" si="8"/>
        <v>-0.03</v>
      </c>
      <c r="H99" s="890">
        <v>0</v>
      </c>
      <c r="I99" s="891">
        <v>0</v>
      </c>
      <c r="J99" s="891">
        <v>0</v>
      </c>
      <c r="K99" s="891">
        <v>0</v>
      </c>
      <c r="L99" s="891">
        <v>-0.03</v>
      </c>
      <c r="M99" s="892">
        <v>-0.03</v>
      </c>
      <c r="N99" s="887"/>
      <c r="O99" s="888"/>
      <c r="P99" s="888"/>
      <c r="Q99" s="888"/>
      <c r="R99" s="888"/>
      <c r="S99" s="889"/>
      <c r="T99" s="884">
        <v>90553.39</v>
      </c>
      <c r="U99" s="885">
        <v>0</v>
      </c>
      <c r="V99" s="885">
        <v>0</v>
      </c>
      <c r="W99" s="885">
        <v>90553.39</v>
      </c>
      <c r="X99" s="885">
        <v>0</v>
      </c>
      <c r="Y99" s="886">
        <v>181106.78</v>
      </c>
    </row>
    <row r="100" spans="1:25">
      <c r="A100" s="1107" t="s">
        <v>14</v>
      </c>
      <c r="B100" s="874" t="s">
        <v>15</v>
      </c>
      <c r="C100" s="878">
        <f t="shared" si="5"/>
        <v>1185513.6299999999</v>
      </c>
      <c r="D100" s="879">
        <f t="shared" si="6"/>
        <v>0</v>
      </c>
      <c r="E100" s="880">
        <f t="shared" si="7"/>
        <v>1185513.6299999999</v>
      </c>
      <c r="F100" s="882">
        <f t="shared" si="8"/>
        <v>1185513.6299999999</v>
      </c>
      <c r="G100" s="880">
        <f t="shared" si="8"/>
        <v>0</v>
      </c>
      <c r="H100" s="887"/>
      <c r="I100" s="888"/>
      <c r="J100" s="888"/>
      <c r="K100" s="888"/>
      <c r="L100" s="888"/>
      <c r="M100" s="889"/>
      <c r="N100" s="887"/>
      <c r="O100" s="888"/>
      <c r="P100" s="888"/>
      <c r="Q100" s="888"/>
      <c r="R100" s="888"/>
      <c r="S100" s="889"/>
      <c r="T100" s="884">
        <v>1185513.6299999999</v>
      </c>
      <c r="U100" s="885">
        <v>0</v>
      </c>
      <c r="V100" s="885">
        <v>0</v>
      </c>
      <c r="W100" s="885">
        <v>1185513.6299999999</v>
      </c>
      <c r="X100" s="885">
        <v>0</v>
      </c>
      <c r="Y100" s="886">
        <v>2371027.2599999998</v>
      </c>
    </row>
    <row r="101" spans="1:25">
      <c r="A101" s="1107" t="s">
        <v>35</v>
      </c>
      <c r="B101" s="874" t="s">
        <v>36</v>
      </c>
      <c r="C101" s="878">
        <f t="shared" si="5"/>
        <v>39335.58</v>
      </c>
      <c r="D101" s="879">
        <f t="shared" si="6"/>
        <v>0</v>
      </c>
      <c r="E101" s="880">
        <f t="shared" si="7"/>
        <v>39335.58</v>
      </c>
      <c r="F101" s="882">
        <f t="shared" si="8"/>
        <v>39335.58</v>
      </c>
      <c r="G101" s="880">
        <f t="shared" si="8"/>
        <v>0</v>
      </c>
      <c r="H101" s="887"/>
      <c r="I101" s="888"/>
      <c r="J101" s="888"/>
      <c r="K101" s="888"/>
      <c r="L101" s="888"/>
      <c r="M101" s="889"/>
      <c r="N101" s="887"/>
      <c r="O101" s="888"/>
      <c r="P101" s="888"/>
      <c r="Q101" s="888"/>
      <c r="R101" s="888"/>
      <c r="S101" s="889"/>
      <c r="T101" s="884">
        <v>39335.58</v>
      </c>
      <c r="U101" s="885">
        <v>0</v>
      </c>
      <c r="V101" s="885">
        <v>0</v>
      </c>
      <c r="W101" s="885">
        <v>39335.58</v>
      </c>
      <c r="X101" s="885">
        <v>0</v>
      </c>
      <c r="Y101" s="886">
        <v>78671.16</v>
      </c>
    </row>
    <row r="102" spans="1:25">
      <c r="A102" s="1107" t="s">
        <v>53</v>
      </c>
      <c r="B102" s="874" t="s">
        <v>54</v>
      </c>
      <c r="C102" s="878">
        <f t="shared" si="5"/>
        <v>122400.62</v>
      </c>
      <c r="D102" s="879">
        <f t="shared" si="6"/>
        <v>0</v>
      </c>
      <c r="E102" s="880">
        <f t="shared" si="7"/>
        <v>122400.62</v>
      </c>
      <c r="F102" s="882">
        <f t="shared" si="8"/>
        <v>122400.62</v>
      </c>
      <c r="G102" s="880">
        <f t="shared" si="8"/>
        <v>0</v>
      </c>
      <c r="H102" s="887"/>
      <c r="I102" s="888"/>
      <c r="J102" s="888"/>
      <c r="K102" s="888"/>
      <c r="L102" s="888"/>
      <c r="M102" s="889"/>
      <c r="N102" s="887"/>
      <c r="O102" s="888"/>
      <c r="P102" s="888"/>
      <c r="Q102" s="888"/>
      <c r="R102" s="888"/>
      <c r="S102" s="889"/>
      <c r="T102" s="884">
        <v>122400.62</v>
      </c>
      <c r="U102" s="885">
        <v>0</v>
      </c>
      <c r="V102" s="885">
        <v>0</v>
      </c>
      <c r="W102" s="885">
        <v>122400.62</v>
      </c>
      <c r="X102" s="885">
        <v>0</v>
      </c>
      <c r="Y102" s="886">
        <v>244801.24</v>
      </c>
    </row>
    <row r="103" spans="1:25">
      <c r="A103" s="1107" t="s">
        <v>55</v>
      </c>
      <c r="B103" s="874" t="s">
        <v>56</v>
      </c>
      <c r="C103" s="878">
        <f t="shared" si="5"/>
        <v>386596.68</v>
      </c>
      <c r="D103" s="879">
        <f t="shared" si="6"/>
        <v>0</v>
      </c>
      <c r="E103" s="880">
        <f t="shared" si="7"/>
        <v>386596.68</v>
      </c>
      <c r="F103" s="882">
        <f t="shared" si="8"/>
        <v>386596.68</v>
      </c>
      <c r="G103" s="880">
        <f t="shared" si="8"/>
        <v>0</v>
      </c>
      <c r="H103" s="887"/>
      <c r="I103" s="888"/>
      <c r="J103" s="888"/>
      <c r="K103" s="888"/>
      <c r="L103" s="888"/>
      <c r="M103" s="889"/>
      <c r="N103" s="887"/>
      <c r="O103" s="888"/>
      <c r="P103" s="888"/>
      <c r="Q103" s="888"/>
      <c r="R103" s="888"/>
      <c r="S103" s="889"/>
      <c r="T103" s="884">
        <v>386596.68</v>
      </c>
      <c r="U103" s="885">
        <v>0</v>
      </c>
      <c r="V103" s="885">
        <v>0</v>
      </c>
      <c r="W103" s="885">
        <v>386596.68</v>
      </c>
      <c r="X103" s="885">
        <v>0</v>
      </c>
      <c r="Y103" s="886">
        <v>773193.36</v>
      </c>
    </row>
    <row r="104" spans="1:25">
      <c r="A104" s="1107" t="s">
        <v>67</v>
      </c>
      <c r="B104" s="874" t="s">
        <v>68</v>
      </c>
      <c r="C104" s="878">
        <f t="shared" si="5"/>
        <v>107030.99</v>
      </c>
      <c r="D104" s="879">
        <f t="shared" si="6"/>
        <v>0</v>
      </c>
      <c r="E104" s="880">
        <f t="shared" si="7"/>
        <v>107030.99</v>
      </c>
      <c r="F104" s="882">
        <f t="shared" si="8"/>
        <v>107030.99</v>
      </c>
      <c r="G104" s="880">
        <f t="shared" si="8"/>
        <v>0</v>
      </c>
      <c r="H104" s="887"/>
      <c r="I104" s="888"/>
      <c r="J104" s="888"/>
      <c r="K104" s="888"/>
      <c r="L104" s="888"/>
      <c r="M104" s="889"/>
      <c r="N104" s="887"/>
      <c r="O104" s="888"/>
      <c r="P104" s="888"/>
      <c r="Q104" s="888"/>
      <c r="R104" s="888"/>
      <c r="S104" s="889"/>
      <c r="T104" s="884">
        <v>107030.99</v>
      </c>
      <c r="U104" s="885">
        <v>0</v>
      </c>
      <c r="V104" s="885">
        <v>0</v>
      </c>
      <c r="W104" s="885">
        <v>107030.99</v>
      </c>
      <c r="X104" s="885">
        <v>0</v>
      </c>
      <c r="Y104" s="886">
        <v>214061.98</v>
      </c>
    </row>
    <row r="105" spans="1:25">
      <c r="A105" s="1107" t="s">
        <v>83</v>
      </c>
      <c r="B105" s="874" t="s">
        <v>390</v>
      </c>
      <c r="C105" s="878">
        <f t="shared" si="5"/>
        <v>36526.78</v>
      </c>
      <c r="D105" s="879">
        <f t="shared" si="6"/>
        <v>0</v>
      </c>
      <c r="E105" s="880">
        <f t="shared" si="7"/>
        <v>36526.78</v>
      </c>
      <c r="F105" s="882">
        <f t="shared" si="8"/>
        <v>36526.78</v>
      </c>
      <c r="G105" s="880">
        <f t="shared" si="8"/>
        <v>0</v>
      </c>
      <c r="H105" s="887"/>
      <c r="I105" s="888"/>
      <c r="J105" s="888"/>
      <c r="K105" s="888"/>
      <c r="L105" s="888"/>
      <c r="M105" s="889"/>
      <c r="N105" s="887"/>
      <c r="O105" s="888"/>
      <c r="P105" s="888"/>
      <c r="Q105" s="888"/>
      <c r="R105" s="888"/>
      <c r="S105" s="889"/>
      <c r="T105" s="884">
        <v>36526.78</v>
      </c>
      <c r="U105" s="885">
        <v>0</v>
      </c>
      <c r="V105" s="885">
        <v>0</v>
      </c>
      <c r="W105" s="885">
        <v>36526.78</v>
      </c>
      <c r="X105" s="885">
        <v>0</v>
      </c>
      <c r="Y105" s="886">
        <v>73053.56</v>
      </c>
    </row>
    <row r="106" spans="1:25">
      <c r="A106" s="1107" t="s">
        <v>89</v>
      </c>
      <c r="B106" s="874" t="s">
        <v>90</v>
      </c>
      <c r="C106" s="878">
        <f t="shared" si="5"/>
        <v>38319.519999999997</v>
      </c>
      <c r="D106" s="879">
        <f t="shared" si="6"/>
        <v>0</v>
      </c>
      <c r="E106" s="880">
        <f t="shared" si="7"/>
        <v>38319.519999999997</v>
      </c>
      <c r="F106" s="882">
        <f t="shared" si="8"/>
        <v>38319.519999999997</v>
      </c>
      <c r="G106" s="880">
        <f t="shared" si="8"/>
        <v>0</v>
      </c>
      <c r="H106" s="887"/>
      <c r="I106" s="888"/>
      <c r="J106" s="888"/>
      <c r="K106" s="888"/>
      <c r="L106" s="888"/>
      <c r="M106" s="889"/>
      <c r="N106" s="887"/>
      <c r="O106" s="888"/>
      <c r="P106" s="888"/>
      <c r="Q106" s="888"/>
      <c r="R106" s="888"/>
      <c r="S106" s="889"/>
      <c r="T106" s="884">
        <v>38319.519999999997</v>
      </c>
      <c r="U106" s="885">
        <v>0</v>
      </c>
      <c r="V106" s="885">
        <v>0</v>
      </c>
      <c r="W106" s="885">
        <v>38319.519999999997</v>
      </c>
      <c r="X106" s="885">
        <v>0</v>
      </c>
      <c r="Y106" s="886">
        <v>76639.039999999994</v>
      </c>
    </row>
    <row r="107" spans="1:25">
      <c r="A107" s="1107" t="s">
        <v>91</v>
      </c>
      <c r="B107" s="874" t="s">
        <v>92</v>
      </c>
      <c r="C107" s="878">
        <f t="shared" si="5"/>
        <v>17820.05</v>
      </c>
      <c r="D107" s="879">
        <f t="shared" si="6"/>
        <v>0</v>
      </c>
      <c r="E107" s="880">
        <f t="shared" si="7"/>
        <v>17820.05</v>
      </c>
      <c r="F107" s="882">
        <f t="shared" si="8"/>
        <v>17820.05</v>
      </c>
      <c r="G107" s="880">
        <f t="shared" si="8"/>
        <v>0</v>
      </c>
      <c r="H107" s="887"/>
      <c r="I107" s="888"/>
      <c r="J107" s="888"/>
      <c r="K107" s="888"/>
      <c r="L107" s="888"/>
      <c r="M107" s="889"/>
      <c r="N107" s="887"/>
      <c r="O107" s="888"/>
      <c r="P107" s="888"/>
      <c r="Q107" s="888"/>
      <c r="R107" s="888"/>
      <c r="S107" s="889"/>
      <c r="T107" s="884">
        <v>17820.05</v>
      </c>
      <c r="U107" s="885">
        <v>0</v>
      </c>
      <c r="V107" s="885">
        <v>0</v>
      </c>
      <c r="W107" s="885">
        <v>17820.05</v>
      </c>
      <c r="X107" s="885">
        <v>0</v>
      </c>
      <c r="Y107" s="886">
        <v>35640.1</v>
      </c>
    </row>
    <row r="108" spans="1:25">
      <c r="A108" s="1107" t="s">
        <v>107</v>
      </c>
      <c r="B108" s="874" t="s">
        <v>108</v>
      </c>
      <c r="C108" s="878">
        <f t="shared" si="5"/>
        <v>93810.74</v>
      </c>
      <c r="D108" s="879">
        <f t="shared" si="6"/>
        <v>0</v>
      </c>
      <c r="E108" s="880">
        <f t="shared" si="7"/>
        <v>93810.74</v>
      </c>
      <c r="F108" s="882">
        <f t="shared" si="8"/>
        <v>93810.74</v>
      </c>
      <c r="G108" s="880">
        <f t="shared" si="8"/>
        <v>0</v>
      </c>
      <c r="H108" s="887"/>
      <c r="I108" s="888"/>
      <c r="J108" s="888"/>
      <c r="K108" s="888"/>
      <c r="L108" s="888"/>
      <c r="M108" s="889"/>
      <c r="N108" s="887"/>
      <c r="O108" s="888"/>
      <c r="P108" s="888"/>
      <c r="Q108" s="888"/>
      <c r="R108" s="888"/>
      <c r="S108" s="889"/>
      <c r="T108" s="884">
        <v>93810.74</v>
      </c>
      <c r="U108" s="885">
        <v>0</v>
      </c>
      <c r="V108" s="885">
        <v>0</v>
      </c>
      <c r="W108" s="885">
        <v>93810.74</v>
      </c>
      <c r="X108" s="885">
        <v>0</v>
      </c>
      <c r="Y108" s="886">
        <v>187621.48</v>
      </c>
    </row>
    <row r="109" spans="1:25">
      <c r="A109" s="1107" t="s">
        <v>117</v>
      </c>
      <c r="B109" s="874" t="s">
        <v>118</v>
      </c>
      <c r="C109" s="878">
        <f t="shared" si="5"/>
        <v>73689.13</v>
      </c>
      <c r="D109" s="879">
        <f t="shared" si="6"/>
        <v>75647.53</v>
      </c>
      <c r="E109" s="880">
        <f t="shared" si="7"/>
        <v>73689.13</v>
      </c>
      <c r="F109" s="882">
        <f t="shared" si="8"/>
        <v>73689.13</v>
      </c>
      <c r="G109" s="880">
        <f t="shared" si="8"/>
        <v>0</v>
      </c>
      <c r="H109" s="887"/>
      <c r="I109" s="888"/>
      <c r="J109" s="888"/>
      <c r="K109" s="888"/>
      <c r="L109" s="888"/>
      <c r="M109" s="889"/>
      <c r="N109" s="890">
        <v>0</v>
      </c>
      <c r="O109" s="891">
        <v>0</v>
      </c>
      <c r="P109" s="891">
        <v>75647.53</v>
      </c>
      <c r="Q109" s="891">
        <v>0</v>
      </c>
      <c r="R109" s="891">
        <v>0</v>
      </c>
      <c r="S109" s="892">
        <v>75647.53</v>
      </c>
      <c r="T109" s="884">
        <v>73689.13</v>
      </c>
      <c r="U109" s="885">
        <v>0</v>
      </c>
      <c r="V109" s="885">
        <v>0</v>
      </c>
      <c r="W109" s="885">
        <v>73689.13</v>
      </c>
      <c r="X109" s="885">
        <v>0</v>
      </c>
      <c r="Y109" s="886">
        <v>147378.26</v>
      </c>
    </row>
    <row r="110" spans="1:25">
      <c r="A110" s="1107" t="s">
        <v>139</v>
      </c>
      <c r="B110" s="874" t="s">
        <v>140</v>
      </c>
      <c r="C110" s="878">
        <f t="shared" si="5"/>
        <v>412051.19</v>
      </c>
      <c r="D110" s="879">
        <f t="shared" si="6"/>
        <v>0</v>
      </c>
      <c r="E110" s="880">
        <f t="shared" si="7"/>
        <v>412051.19</v>
      </c>
      <c r="F110" s="882">
        <f t="shared" si="8"/>
        <v>412051.19</v>
      </c>
      <c r="G110" s="880">
        <f t="shared" si="8"/>
        <v>0</v>
      </c>
      <c r="H110" s="887"/>
      <c r="I110" s="888"/>
      <c r="J110" s="888"/>
      <c r="K110" s="888"/>
      <c r="L110" s="888"/>
      <c r="M110" s="889"/>
      <c r="N110" s="887"/>
      <c r="O110" s="888"/>
      <c r="P110" s="888"/>
      <c r="Q110" s="888"/>
      <c r="R110" s="888"/>
      <c r="S110" s="889"/>
      <c r="T110" s="884">
        <v>412051.19</v>
      </c>
      <c r="U110" s="885">
        <v>0</v>
      </c>
      <c r="V110" s="885">
        <v>0</v>
      </c>
      <c r="W110" s="885">
        <v>412051.19</v>
      </c>
      <c r="X110" s="885">
        <v>0</v>
      </c>
      <c r="Y110" s="886">
        <v>824102.38</v>
      </c>
    </row>
    <row r="111" spans="1:25">
      <c r="A111" s="1107" t="s">
        <v>143</v>
      </c>
      <c r="B111" s="874" t="s">
        <v>144</v>
      </c>
      <c r="C111" s="878">
        <f t="shared" si="5"/>
        <v>60090.04</v>
      </c>
      <c r="D111" s="879">
        <f t="shared" si="6"/>
        <v>0</v>
      </c>
      <c r="E111" s="880">
        <f t="shared" si="7"/>
        <v>60090.04</v>
      </c>
      <c r="F111" s="882">
        <f t="shared" si="8"/>
        <v>60090.04</v>
      </c>
      <c r="G111" s="880">
        <f t="shared" si="8"/>
        <v>0</v>
      </c>
      <c r="H111" s="887"/>
      <c r="I111" s="888"/>
      <c r="J111" s="888"/>
      <c r="K111" s="888"/>
      <c r="L111" s="888"/>
      <c r="M111" s="889"/>
      <c r="N111" s="887"/>
      <c r="O111" s="888"/>
      <c r="P111" s="888"/>
      <c r="Q111" s="888"/>
      <c r="R111" s="888"/>
      <c r="S111" s="889"/>
      <c r="T111" s="884">
        <v>60090.04</v>
      </c>
      <c r="U111" s="885">
        <v>0</v>
      </c>
      <c r="V111" s="885">
        <v>0</v>
      </c>
      <c r="W111" s="885">
        <v>60090.04</v>
      </c>
      <c r="X111" s="885">
        <v>0</v>
      </c>
      <c r="Y111" s="886">
        <v>120180.08</v>
      </c>
    </row>
    <row r="112" spans="1:25">
      <c r="A112" s="1107" t="s">
        <v>145</v>
      </c>
      <c r="B112" s="874" t="s">
        <v>146</v>
      </c>
      <c r="C112" s="878">
        <f t="shared" si="5"/>
        <v>77387.31</v>
      </c>
      <c r="D112" s="879">
        <f t="shared" si="6"/>
        <v>0</v>
      </c>
      <c r="E112" s="880">
        <f t="shared" si="7"/>
        <v>77387.31</v>
      </c>
      <c r="F112" s="882">
        <f t="shared" si="8"/>
        <v>77387.31</v>
      </c>
      <c r="G112" s="880">
        <f t="shared" si="8"/>
        <v>0</v>
      </c>
      <c r="H112" s="887"/>
      <c r="I112" s="888"/>
      <c r="J112" s="888"/>
      <c r="K112" s="888"/>
      <c r="L112" s="888"/>
      <c r="M112" s="889"/>
      <c r="N112" s="887"/>
      <c r="O112" s="888"/>
      <c r="P112" s="888"/>
      <c r="Q112" s="888"/>
      <c r="R112" s="888"/>
      <c r="S112" s="889"/>
      <c r="T112" s="884">
        <v>77387.31</v>
      </c>
      <c r="U112" s="885">
        <v>0</v>
      </c>
      <c r="V112" s="885">
        <v>0</v>
      </c>
      <c r="W112" s="885">
        <v>77387.31</v>
      </c>
      <c r="X112" s="885">
        <v>0</v>
      </c>
      <c r="Y112" s="886">
        <v>154774.62</v>
      </c>
    </row>
    <row r="113" spans="1:25">
      <c r="A113" s="1107" t="s">
        <v>159</v>
      </c>
      <c r="B113" s="874" t="s">
        <v>160</v>
      </c>
      <c r="C113" s="878">
        <f t="shared" si="5"/>
        <v>385557.51</v>
      </c>
      <c r="D113" s="879">
        <f t="shared" si="6"/>
        <v>0</v>
      </c>
      <c r="E113" s="880">
        <f t="shared" si="7"/>
        <v>562529.51</v>
      </c>
      <c r="F113" s="882">
        <f t="shared" si="8"/>
        <v>385557.51</v>
      </c>
      <c r="G113" s="880">
        <f t="shared" si="8"/>
        <v>176972</v>
      </c>
      <c r="H113" s="890">
        <v>0</v>
      </c>
      <c r="I113" s="891">
        <v>0</v>
      </c>
      <c r="J113" s="891">
        <v>0</v>
      </c>
      <c r="K113" s="891">
        <v>0</v>
      </c>
      <c r="L113" s="891">
        <v>176972</v>
      </c>
      <c r="M113" s="892">
        <v>176972</v>
      </c>
      <c r="N113" s="887"/>
      <c r="O113" s="888"/>
      <c r="P113" s="888"/>
      <c r="Q113" s="888"/>
      <c r="R113" s="888"/>
      <c r="S113" s="889"/>
      <c r="T113" s="884">
        <v>385557.51</v>
      </c>
      <c r="U113" s="885">
        <v>0</v>
      </c>
      <c r="V113" s="885">
        <v>0</v>
      </c>
      <c r="W113" s="885">
        <v>385557.51</v>
      </c>
      <c r="X113" s="885">
        <v>0</v>
      </c>
      <c r="Y113" s="886">
        <v>771115.02</v>
      </c>
    </row>
    <row r="114" spans="1:25">
      <c r="A114" s="1107" t="s">
        <v>161</v>
      </c>
      <c r="B114" s="874" t="s">
        <v>162</v>
      </c>
      <c r="C114" s="878">
        <f t="shared" si="5"/>
        <v>812600.57</v>
      </c>
      <c r="D114" s="879">
        <f t="shared" si="6"/>
        <v>0</v>
      </c>
      <c r="E114" s="880">
        <f t="shared" si="7"/>
        <v>812600.57</v>
      </c>
      <c r="F114" s="882">
        <f t="shared" si="8"/>
        <v>812600.57</v>
      </c>
      <c r="G114" s="880">
        <f t="shared" si="8"/>
        <v>0</v>
      </c>
      <c r="H114" s="887"/>
      <c r="I114" s="888"/>
      <c r="J114" s="888"/>
      <c r="K114" s="888"/>
      <c r="L114" s="888"/>
      <c r="M114" s="889"/>
      <c r="N114" s="887"/>
      <c r="O114" s="888"/>
      <c r="P114" s="888"/>
      <c r="Q114" s="888"/>
      <c r="R114" s="888"/>
      <c r="S114" s="889"/>
      <c r="T114" s="884">
        <v>812600.57</v>
      </c>
      <c r="U114" s="885">
        <v>0</v>
      </c>
      <c r="V114" s="885">
        <v>0</v>
      </c>
      <c r="W114" s="885">
        <v>812600.57</v>
      </c>
      <c r="X114" s="885">
        <v>0</v>
      </c>
      <c r="Y114" s="886">
        <v>1625201.14</v>
      </c>
    </row>
    <row r="115" spans="1:25">
      <c r="A115" s="1107" t="s">
        <v>167</v>
      </c>
      <c r="B115" s="874" t="s">
        <v>168</v>
      </c>
      <c r="C115" s="878">
        <f t="shared" si="5"/>
        <v>27087.74</v>
      </c>
      <c r="D115" s="879">
        <f t="shared" si="6"/>
        <v>0</v>
      </c>
      <c r="E115" s="880">
        <f t="shared" si="7"/>
        <v>27087.74</v>
      </c>
      <c r="F115" s="882">
        <f t="shared" si="8"/>
        <v>27087.74</v>
      </c>
      <c r="G115" s="880">
        <f t="shared" si="8"/>
        <v>0</v>
      </c>
      <c r="H115" s="887"/>
      <c r="I115" s="888"/>
      <c r="J115" s="888"/>
      <c r="K115" s="888"/>
      <c r="L115" s="888"/>
      <c r="M115" s="889"/>
      <c r="N115" s="887"/>
      <c r="O115" s="888"/>
      <c r="P115" s="888"/>
      <c r="Q115" s="888"/>
      <c r="R115" s="888"/>
      <c r="S115" s="889"/>
      <c r="T115" s="884">
        <v>27087.74</v>
      </c>
      <c r="U115" s="885">
        <v>0</v>
      </c>
      <c r="V115" s="885">
        <v>0</v>
      </c>
      <c r="W115" s="885">
        <v>27087.74</v>
      </c>
      <c r="X115" s="885">
        <v>0</v>
      </c>
      <c r="Y115" s="886">
        <v>54175.48</v>
      </c>
    </row>
    <row r="116" spans="1:25">
      <c r="A116" s="1107" t="s">
        <v>177</v>
      </c>
      <c r="B116" s="874" t="s">
        <v>178</v>
      </c>
      <c r="C116" s="878">
        <f t="shared" si="5"/>
        <v>218222.14</v>
      </c>
      <c r="D116" s="879">
        <f t="shared" si="6"/>
        <v>0</v>
      </c>
      <c r="E116" s="880">
        <f t="shared" si="7"/>
        <v>218222.14</v>
      </c>
      <c r="F116" s="882">
        <f t="shared" si="8"/>
        <v>218222.14</v>
      </c>
      <c r="G116" s="880">
        <f t="shared" si="8"/>
        <v>0</v>
      </c>
      <c r="H116" s="887"/>
      <c r="I116" s="888"/>
      <c r="J116" s="888"/>
      <c r="K116" s="888"/>
      <c r="L116" s="888"/>
      <c r="M116" s="889"/>
      <c r="N116" s="887"/>
      <c r="O116" s="888"/>
      <c r="P116" s="888"/>
      <c r="Q116" s="888"/>
      <c r="R116" s="888"/>
      <c r="S116" s="889"/>
      <c r="T116" s="884">
        <v>218222.14</v>
      </c>
      <c r="U116" s="885">
        <v>0</v>
      </c>
      <c r="V116" s="885">
        <v>0</v>
      </c>
      <c r="W116" s="885">
        <v>218222.14</v>
      </c>
      <c r="X116" s="885">
        <v>0</v>
      </c>
      <c r="Y116" s="886">
        <v>436444.28</v>
      </c>
    </row>
    <row r="117" spans="1:25">
      <c r="A117" s="1107" t="s">
        <v>181</v>
      </c>
      <c r="B117" s="874" t="s">
        <v>182</v>
      </c>
      <c r="C117" s="878">
        <f t="shared" si="5"/>
        <v>121554.13</v>
      </c>
      <c r="D117" s="879">
        <f t="shared" si="6"/>
        <v>0</v>
      </c>
      <c r="E117" s="880">
        <f t="shared" si="7"/>
        <v>121554.13</v>
      </c>
      <c r="F117" s="882">
        <f t="shared" si="8"/>
        <v>121554.13</v>
      </c>
      <c r="G117" s="880">
        <f t="shared" si="8"/>
        <v>0</v>
      </c>
      <c r="H117" s="887"/>
      <c r="I117" s="888"/>
      <c r="J117" s="888"/>
      <c r="K117" s="888"/>
      <c r="L117" s="888"/>
      <c r="M117" s="889"/>
      <c r="N117" s="887"/>
      <c r="O117" s="888"/>
      <c r="P117" s="888"/>
      <c r="Q117" s="888"/>
      <c r="R117" s="888"/>
      <c r="S117" s="889"/>
      <c r="T117" s="884">
        <v>121554.13</v>
      </c>
      <c r="U117" s="885">
        <v>0</v>
      </c>
      <c r="V117" s="885">
        <v>0</v>
      </c>
      <c r="W117" s="885">
        <v>121554.13</v>
      </c>
      <c r="X117" s="885">
        <v>0</v>
      </c>
      <c r="Y117" s="886">
        <v>243108.26</v>
      </c>
    </row>
    <row r="118" spans="1:25">
      <c r="A118" s="1107" t="s">
        <v>193</v>
      </c>
      <c r="B118" s="874" t="s">
        <v>194</v>
      </c>
      <c r="C118" s="878">
        <f t="shared" si="5"/>
        <v>19298.47</v>
      </c>
      <c r="D118" s="879">
        <f t="shared" si="6"/>
        <v>0</v>
      </c>
      <c r="E118" s="880">
        <f t="shared" si="7"/>
        <v>19298.47</v>
      </c>
      <c r="F118" s="882">
        <f t="shared" si="8"/>
        <v>19298.47</v>
      </c>
      <c r="G118" s="880">
        <f t="shared" si="8"/>
        <v>0</v>
      </c>
      <c r="H118" s="887"/>
      <c r="I118" s="888"/>
      <c r="J118" s="888"/>
      <c r="K118" s="888"/>
      <c r="L118" s="888"/>
      <c r="M118" s="889"/>
      <c r="N118" s="887"/>
      <c r="O118" s="888"/>
      <c r="P118" s="888"/>
      <c r="Q118" s="888"/>
      <c r="R118" s="888"/>
      <c r="S118" s="889"/>
      <c r="T118" s="884">
        <v>19298.47</v>
      </c>
      <c r="U118" s="885">
        <v>0</v>
      </c>
      <c r="V118" s="885">
        <v>0</v>
      </c>
      <c r="W118" s="885">
        <v>19298.47</v>
      </c>
      <c r="X118" s="885">
        <v>0</v>
      </c>
      <c r="Y118" s="886">
        <v>38596.94</v>
      </c>
    </row>
    <row r="119" spans="1:25">
      <c r="A119" s="1107" t="s">
        <v>197</v>
      </c>
      <c r="B119" s="874" t="s">
        <v>391</v>
      </c>
      <c r="C119" s="878">
        <f t="shared" si="5"/>
        <v>825182.3</v>
      </c>
      <c r="D119" s="879">
        <f t="shared" si="6"/>
        <v>0</v>
      </c>
      <c r="E119" s="880">
        <f t="shared" si="7"/>
        <v>844561.71000000008</v>
      </c>
      <c r="F119" s="882">
        <f t="shared" si="8"/>
        <v>825182.3</v>
      </c>
      <c r="G119" s="880">
        <f t="shared" si="8"/>
        <v>19379.41</v>
      </c>
      <c r="H119" s="890">
        <v>0</v>
      </c>
      <c r="I119" s="891">
        <v>0</v>
      </c>
      <c r="J119" s="891">
        <v>0</v>
      </c>
      <c r="K119" s="891">
        <v>0</v>
      </c>
      <c r="L119" s="891">
        <v>19379.41</v>
      </c>
      <c r="M119" s="892">
        <v>19379.41</v>
      </c>
      <c r="N119" s="887"/>
      <c r="O119" s="888"/>
      <c r="P119" s="888"/>
      <c r="Q119" s="888"/>
      <c r="R119" s="888"/>
      <c r="S119" s="889"/>
      <c r="T119" s="884">
        <v>825182.3</v>
      </c>
      <c r="U119" s="885">
        <v>0</v>
      </c>
      <c r="V119" s="885">
        <v>0</v>
      </c>
      <c r="W119" s="885">
        <v>825182.3</v>
      </c>
      <c r="X119" s="885">
        <v>0</v>
      </c>
      <c r="Y119" s="886">
        <v>1650364.6</v>
      </c>
    </row>
    <row r="120" spans="1:25">
      <c r="A120" s="1107" t="s">
        <v>201</v>
      </c>
      <c r="B120" s="874" t="s">
        <v>392</v>
      </c>
      <c r="C120" s="878">
        <f t="shared" si="5"/>
        <v>309493.83</v>
      </c>
      <c r="D120" s="879">
        <f t="shared" si="6"/>
        <v>0</v>
      </c>
      <c r="E120" s="880">
        <f t="shared" si="7"/>
        <v>309493.83</v>
      </c>
      <c r="F120" s="882">
        <f t="shared" si="8"/>
        <v>309493.83</v>
      </c>
      <c r="G120" s="880">
        <f t="shared" si="8"/>
        <v>0</v>
      </c>
      <c r="H120" s="887"/>
      <c r="I120" s="888"/>
      <c r="J120" s="888"/>
      <c r="K120" s="888"/>
      <c r="L120" s="888"/>
      <c r="M120" s="889"/>
      <c r="N120" s="887"/>
      <c r="O120" s="888"/>
      <c r="P120" s="888"/>
      <c r="Q120" s="888"/>
      <c r="R120" s="888"/>
      <c r="S120" s="889"/>
      <c r="T120" s="884">
        <v>309493.83</v>
      </c>
      <c r="U120" s="885">
        <v>0</v>
      </c>
      <c r="V120" s="885">
        <v>0</v>
      </c>
      <c r="W120" s="885">
        <v>309493.83</v>
      </c>
      <c r="X120" s="885">
        <v>0</v>
      </c>
      <c r="Y120" s="886">
        <v>618987.66</v>
      </c>
    </row>
    <row r="121" spans="1:25">
      <c r="A121" s="1107" t="s">
        <v>223</v>
      </c>
      <c r="B121" s="874" t="s">
        <v>224</v>
      </c>
      <c r="C121" s="878">
        <f t="shared" si="5"/>
        <v>133080.06</v>
      </c>
      <c r="D121" s="879">
        <f t="shared" si="6"/>
        <v>0</v>
      </c>
      <c r="E121" s="880">
        <f t="shared" si="7"/>
        <v>133080.06</v>
      </c>
      <c r="F121" s="882">
        <f t="shared" si="8"/>
        <v>133080.06</v>
      </c>
      <c r="G121" s="880">
        <f t="shared" si="8"/>
        <v>0</v>
      </c>
      <c r="H121" s="887"/>
      <c r="I121" s="888"/>
      <c r="J121" s="888"/>
      <c r="K121" s="888"/>
      <c r="L121" s="888"/>
      <c r="M121" s="889"/>
      <c r="N121" s="887"/>
      <c r="O121" s="888"/>
      <c r="P121" s="888"/>
      <c r="Q121" s="888"/>
      <c r="R121" s="888"/>
      <c r="S121" s="889"/>
      <c r="T121" s="884">
        <v>133080.06</v>
      </c>
      <c r="U121" s="885">
        <v>0</v>
      </c>
      <c r="V121" s="885">
        <v>0</v>
      </c>
      <c r="W121" s="885">
        <v>133080.06</v>
      </c>
      <c r="X121" s="885">
        <v>0</v>
      </c>
      <c r="Y121" s="886">
        <v>266160.12</v>
      </c>
    </row>
    <row r="122" spans="1:25">
      <c r="A122" s="1107" t="s">
        <v>231</v>
      </c>
      <c r="B122" s="874" t="s">
        <v>232</v>
      </c>
      <c r="C122" s="878">
        <f t="shared" si="5"/>
        <v>505492.87</v>
      </c>
      <c r="D122" s="879">
        <f t="shared" si="6"/>
        <v>0</v>
      </c>
      <c r="E122" s="880">
        <f t="shared" si="7"/>
        <v>505492.87</v>
      </c>
      <c r="F122" s="882">
        <f t="shared" si="8"/>
        <v>505492.87</v>
      </c>
      <c r="G122" s="880">
        <f t="shared" si="8"/>
        <v>0</v>
      </c>
      <c r="H122" s="887"/>
      <c r="I122" s="888"/>
      <c r="J122" s="888"/>
      <c r="K122" s="888"/>
      <c r="L122" s="888"/>
      <c r="M122" s="889"/>
      <c r="N122" s="887"/>
      <c r="O122" s="888"/>
      <c r="P122" s="888"/>
      <c r="Q122" s="888"/>
      <c r="R122" s="888"/>
      <c r="S122" s="889"/>
      <c r="T122" s="884">
        <v>505492.87</v>
      </c>
      <c r="U122" s="885">
        <v>0</v>
      </c>
      <c r="V122" s="885">
        <v>0</v>
      </c>
      <c r="W122" s="885">
        <v>505492.87</v>
      </c>
      <c r="X122" s="885">
        <v>0</v>
      </c>
      <c r="Y122" s="886">
        <v>1010985.74</v>
      </c>
    </row>
    <row r="123" spans="1:25">
      <c r="A123" s="1107" t="s">
        <v>239</v>
      </c>
      <c r="B123" s="874" t="s">
        <v>240</v>
      </c>
      <c r="C123" s="878">
        <f t="shared" si="5"/>
        <v>84631.76</v>
      </c>
      <c r="D123" s="879">
        <f t="shared" si="6"/>
        <v>0</v>
      </c>
      <c r="E123" s="880">
        <f t="shared" si="7"/>
        <v>84631.76</v>
      </c>
      <c r="F123" s="882">
        <f t="shared" si="8"/>
        <v>84631.76</v>
      </c>
      <c r="G123" s="880">
        <f t="shared" si="8"/>
        <v>0</v>
      </c>
      <c r="H123" s="887"/>
      <c r="I123" s="888"/>
      <c r="J123" s="888"/>
      <c r="K123" s="888"/>
      <c r="L123" s="888"/>
      <c r="M123" s="889"/>
      <c r="N123" s="887"/>
      <c r="O123" s="888"/>
      <c r="P123" s="888"/>
      <c r="Q123" s="888"/>
      <c r="R123" s="888"/>
      <c r="S123" s="889"/>
      <c r="T123" s="884">
        <v>84631.76</v>
      </c>
      <c r="U123" s="885">
        <v>0</v>
      </c>
      <c r="V123" s="885">
        <v>0</v>
      </c>
      <c r="W123" s="885">
        <v>84631.76</v>
      </c>
      <c r="X123" s="885">
        <v>0</v>
      </c>
      <c r="Y123" s="886">
        <v>169263.52</v>
      </c>
    </row>
    <row r="124" spans="1:25">
      <c r="A124" s="1107" t="s">
        <v>241</v>
      </c>
      <c r="B124" s="874" t="s">
        <v>242</v>
      </c>
      <c r="C124" s="878">
        <f t="shared" si="5"/>
        <v>70082.710000000006</v>
      </c>
      <c r="D124" s="879">
        <f t="shared" si="6"/>
        <v>0</v>
      </c>
      <c r="E124" s="880">
        <f t="shared" si="7"/>
        <v>70538.810000000012</v>
      </c>
      <c r="F124" s="882">
        <f t="shared" si="8"/>
        <v>70082.710000000006</v>
      </c>
      <c r="G124" s="880">
        <f t="shared" si="8"/>
        <v>456.1</v>
      </c>
      <c r="H124" s="890">
        <v>0</v>
      </c>
      <c r="I124" s="891">
        <v>0</v>
      </c>
      <c r="J124" s="891">
        <v>0</v>
      </c>
      <c r="K124" s="891">
        <v>0</v>
      </c>
      <c r="L124" s="891">
        <v>456.1</v>
      </c>
      <c r="M124" s="892">
        <v>456.1</v>
      </c>
      <c r="N124" s="887"/>
      <c r="O124" s="888"/>
      <c r="P124" s="888"/>
      <c r="Q124" s="888"/>
      <c r="R124" s="888"/>
      <c r="S124" s="889"/>
      <c r="T124" s="884">
        <v>70082.710000000006</v>
      </c>
      <c r="U124" s="885">
        <v>0</v>
      </c>
      <c r="V124" s="885">
        <v>0</v>
      </c>
      <c r="W124" s="885">
        <v>70082.710000000006</v>
      </c>
      <c r="X124" s="885">
        <v>0</v>
      </c>
      <c r="Y124" s="886">
        <v>140165.42000000001</v>
      </c>
    </row>
    <row r="126" spans="1:25" s="538" customFormat="1">
      <c r="A126" s="538" t="s">
        <v>1026</v>
      </c>
      <c r="B126" s="836"/>
      <c r="C126" s="540"/>
    </row>
    <row r="127" spans="1:25" s="538" customFormat="1"/>
    <row r="128" spans="1:25" s="519" customFormat="1">
      <c r="A128" s="519" t="s">
        <v>250</v>
      </c>
    </row>
    <row r="129" spans="1:2">
      <c r="A129" s="536" t="s">
        <v>251</v>
      </c>
      <c r="B129" s="407" t="s">
        <v>252</v>
      </c>
    </row>
  </sheetData>
  <hyperlinks>
    <hyperlink ref="B129" r:id="rId1"/>
  </hyperlinks>
  <pageMargins left="0.7" right="0.7" top="0.75" bottom="0.75" header="0.3" footer="0.3"/>
  <pageSetup orientation="portrait" r:id="rId2"/>
</worksheet>
</file>

<file path=xl/worksheets/sheet26.xml><?xml version="1.0" encoding="utf-8"?>
<worksheet xmlns="http://schemas.openxmlformats.org/spreadsheetml/2006/main" xmlns:r="http://schemas.openxmlformats.org/officeDocument/2006/relationships">
  <dimension ref="A1:DW130"/>
  <sheetViews>
    <sheetView zoomScale="106" zoomScaleNormal="106" workbookViewId="0">
      <pane ySplit="5" topLeftCell="A6" activePane="bottomLeft" state="frozen"/>
      <selection pane="bottomLeft" activeCell="B13" sqref="B13"/>
    </sheetView>
  </sheetViews>
  <sheetFormatPr defaultRowHeight="12.75"/>
  <cols>
    <col min="1" max="1" width="9.5" style="654" customWidth="1"/>
    <col min="2" max="2" width="30.75" style="654" customWidth="1"/>
    <col min="3" max="3" width="13" style="654" bestFit="1" customWidth="1"/>
    <col min="4" max="4" width="10.875" style="654" bestFit="1" customWidth="1"/>
    <col min="5" max="5" width="11.875" style="654" bestFit="1" customWidth="1"/>
    <col min="6" max="6" width="9.875" style="654" bestFit="1" customWidth="1"/>
    <col min="7" max="7" width="15.375" style="654" bestFit="1" customWidth="1"/>
    <col min="8" max="13" width="9.125" style="654" bestFit="1" customWidth="1"/>
    <col min="14" max="14" width="9.875" style="654" bestFit="1" customWidth="1"/>
    <col min="15" max="18" width="9.125" style="654" bestFit="1" customWidth="1"/>
    <col min="19" max="19" width="11.25" style="654" customWidth="1"/>
    <col min="20" max="24" width="9.125" style="654" bestFit="1" customWidth="1"/>
    <col min="25" max="26" width="9.875" style="654" bestFit="1" customWidth="1"/>
    <col min="27" max="28" width="9.125" style="654" bestFit="1" customWidth="1"/>
    <col min="29" max="31" width="9.875" style="654" bestFit="1" customWidth="1"/>
    <col min="32" max="61" width="9.125" style="654" bestFit="1" customWidth="1"/>
    <col min="62" max="62" width="9.875" style="654" bestFit="1" customWidth="1"/>
    <col min="63" max="63" width="9.125" style="654" bestFit="1" customWidth="1"/>
    <col min="64" max="64" width="8.75" style="654" bestFit="1" customWidth="1"/>
    <col min="65" max="67" width="9.125" style="654" bestFit="1" customWidth="1"/>
    <col min="68" max="68" width="10.875" style="654" bestFit="1" customWidth="1"/>
    <col min="69" max="69" width="10.125" style="654" bestFit="1" customWidth="1"/>
    <col min="70" max="70" width="10.875" style="654" bestFit="1" customWidth="1"/>
    <col min="71" max="71" width="9.875" style="654" bestFit="1" customWidth="1"/>
    <col min="72" max="72" width="9.125" style="654" bestFit="1" customWidth="1"/>
    <col min="73" max="73" width="12.5" style="654" customWidth="1"/>
    <col min="74" max="74" width="9.875" style="654" bestFit="1" customWidth="1"/>
    <col min="75" max="75" width="9.125" style="654" bestFit="1" customWidth="1"/>
    <col min="76" max="77" width="9.875" style="654" bestFit="1" customWidth="1"/>
    <col min="78" max="78" width="9.125" style="654" bestFit="1" customWidth="1"/>
    <col min="79" max="79" width="9.875" style="654" bestFit="1" customWidth="1"/>
    <col min="80" max="91" width="9.125" style="654" bestFit="1" customWidth="1"/>
    <col min="92" max="92" width="9.875" style="654" bestFit="1" customWidth="1"/>
    <col min="93" max="96" width="9.125" style="654" bestFit="1" customWidth="1"/>
    <col min="97" max="97" width="9.875" style="654" bestFit="1" customWidth="1"/>
    <col min="98" max="98" width="12.875" style="654" customWidth="1"/>
    <col min="99" max="99" width="9.125" style="654" bestFit="1" customWidth="1"/>
    <col min="100" max="100" width="11.75" style="654" customWidth="1"/>
    <col min="101" max="101" width="9.125" style="654" bestFit="1" customWidth="1"/>
    <col min="102" max="103" width="12.25" style="654" customWidth="1"/>
    <col min="104" max="105" width="10.875" style="654" bestFit="1" customWidth="1"/>
    <col min="106" max="107" width="9.125" style="654" bestFit="1" customWidth="1"/>
    <col min="108" max="108" width="11.75" style="654" customWidth="1"/>
    <col min="109" max="109" width="10.875" style="654" bestFit="1" customWidth="1"/>
    <col min="110" max="114" width="9.125" style="654" bestFit="1" customWidth="1"/>
    <col min="115" max="115" width="9.875" style="654" bestFit="1" customWidth="1"/>
    <col min="116" max="127" width="9.125" style="654" bestFit="1" customWidth="1"/>
    <col min="128" max="16384" width="9" style="654"/>
  </cols>
  <sheetData>
    <row r="1" spans="1:127" ht="15.75">
      <c r="A1" s="108" t="s">
        <v>1032</v>
      </c>
      <c r="C1" s="844"/>
    </row>
    <row r="2" spans="1:127">
      <c r="E2" s="844"/>
    </row>
    <row r="3" spans="1:127">
      <c r="C3" s="844"/>
      <c r="D3" s="844"/>
      <c r="E3" s="844"/>
      <c r="F3" s="844"/>
      <c r="G3" s="844"/>
    </row>
    <row r="4" spans="1:127" ht="24" customHeight="1">
      <c r="A4" s="1105" t="s">
        <v>372</v>
      </c>
      <c r="B4" s="926" t="s">
        <v>373</v>
      </c>
      <c r="C4" s="926" t="s">
        <v>553</v>
      </c>
      <c r="D4" s="926" t="s">
        <v>394</v>
      </c>
      <c r="E4" s="926" t="s">
        <v>554</v>
      </c>
      <c r="F4" s="926" t="s">
        <v>395</v>
      </c>
      <c r="G4" s="847" t="s">
        <v>595</v>
      </c>
      <c r="H4" s="927" t="s">
        <v>434</v>
      </c>
      <c r="I4" s="927" t="s">
        <v>435</v>
      </c>
      <c r="J4" s="927" t="s">
        <v>436</v>
      </c>
      <c r="K4" s="927" t="s">
        <v>437</v>
      </c>
      <c r="L4" s="927" t="s">
        <v>438</v>
      </c>
      <c r="M4" s="927" t="s">
        <v>439</v>
      </c>
      <c r="N4" s="927" t="s">
        <v>440</v>
      </c>
      <c r="O4" s="927" t="s">
        <v>441</v>
      </c>
      <c r="P4" s="927" t="s">
        <v>442</v>
      </c>
      <c r="Q4" s="927" t="s">
        <v>443</v>
      </c>
      <c r="R4" s="927" t="s">
        <v>444</v>
      </c>
      <c r="S4" s="927" t="s">
        <v>445</v>
      </c>
      <c r="T4" s="927" t="s">
        <v>446</v>
      </c>
      <c r="U4" s="927" t="s">
        <v>447</v>
      </c>
      <c r="V4" s="927" t="s">
        <v>448</v>
      </c>
      <c r="W4" s="927" t="s">
        <v>449</v>
      </c>
      <c r="X4" s="927" t="s">
        <v>450</v>
      </c>
      <c r="Y4" s="927" t="s">
        <v>451</v>
      </c>
      <c r="Z4" s="926" t="s">
        <v>452</v>
      </c>
      <c r="AA4" s="926" t="s">
        <v>453</v>
      </c>
      <c r="AB4" s="926" t="s">
        <v>454</v>
      </c>
      <c r="AC4" s="926" t="s">
        <v>455</v>
      </c>
      <c r="AD4" s="926" t="s">
        <v>456</v>
      </c>
      <c r="AE4" s="926" t="s">
        <v>457</v>
      </c>
      <c r="AF4" s="927" t="s">
        <v>428</v>
      </c>
      <c r="AG4" s="927" t="s">
        <v>458</v>
      </c>
      <c r="AH4" s="927" t="s">
        <v>459</v>
      </c>
      <c r="AI4" s="927" t="s">
        <v>460</v>
      </c>
      <c r="AJ4" s="927" t="s">
        <v>461</v>
      </c>
      <c r="AK4" s="927" t="s">
        <v>462</v>
      </c>
      <c r="AL4" s="927" t="s">
        <v>463</v>
      </c>
      <c r="AM4" s="927" t="s">
        <v>464</v>
      </c>
      <c r="AN4" s="927" t="s">
        <v>465</v>
      </c>
      <c r="AO4" s="927" t="s">
        <v>466</v>
      </c>
      <c r="AP4" s="927" t="s">
        <v>467</v>
      </c>
      <c r="AQ4" s="927" t="s">
        <v>468</v>
      </c>
      <c r="AR4" s="927" t="s">
        <v>469</v>
      </c>
      <c r="AS4" s="927" t="s">
        <v>470</v>
      </c>
      <c r="AT4" s="927" t="s">
        <v>471</v>
      </c>
      <c r="AU4" s="927" t="s">
        <v>472</v>
      </c>
      <c r="AV4" s="927" t="s">
        <v>473</v>
      </c>
      <c r="AW4" s="927" t="s">
        <v>474</v>
      </c>
      <c r="AX4" s="927" t="s">
        <v>475</v>
      </c>
      <c r="AY4" s="927" t="s">
        <v>476</v>
      </c>
      <c r="AZ4" s="927" t="s">
        <v>477</v>
      </c>
      <c r="BA4" s="927" t="s">
        <v>478</v>
      </c>
      <c r="BB4" s="927" t="s">
        <v>479</v>
      </c>
      <c r="BC4" s="927" t="s">
        <v>480</v>
      </c>
      <c r="BD4" s="927" t="s">
        <v>481</v>
      </c>
      <c r="BE4" s="927" t="s">
        <v>482</v>
      </c>
      <c r="BF4" s="927" t="s">
        <v>483</v>
      </c>
      <c r="BG4" s="927" t="s">
        <v>484</v>
      </c>
      <c r="BH4" s="927" t="s">
        <v>485</v>
      </c>
      <c r="BI4" s="927" t="s">
        <v>486</v>
      </c>
      <c r="BJ4" s="927" t="s">
        <v>487</v>
      </c>
      <c r="BK4" s="927" t="s">
        <v>488</v>
      </c>
      <c r="BL4" s="927" t="s">
        <v>489</v>
      </c>
      <c r="BM4" s="927" t="s">
        <v>490</v>
      </c>
      <c r="BN4" s="927" t="s">
        <v>491</v>
      </c>
      <c r="BO4" s="927" t="s">
        <v>492</v>
      </c>
      <c r="BP4" s="927" t="s">
        <v>493</v>
      </c>
      <c r="BQ4" s="927" t="s">
        <v>494</v>
      </c>
      <c r="BR4" s="927" t="s">
        <v>495</v>
      </c>
      <c r="BS4" s="927" t="s">
        <v>496</v>
      </c>
      <c r="BT4" s="927" t="s">
        <v>497</v>
      </c>
      <c r="BU4" s="927" t="s">
        <v>498</v>
      </c>
      <c r="BV4" s="927" t="s">
        <v>499</v>
      </c>
      <c r="BW4" s="927" t="s">
        <v>500</v>
      </c>
      <c r="BX4" s="927" t="s">
        <v>501</v>
      </c>
      <c r="BY4" s="927" t="s">
        <v>502</v>
      </c>
      <c r="BZ4" s="927" t="s">
        <v>503</v>
      </c>
      <c r="CA4" s="927" t="s">
        <v>504</v>
      </c>
      <c r="CB4" s="927" t="s">
        <v>505</v>
      </c>
      <c r="CC4" s="927" t="s">
        <v>506</v>
      </c>
      <c r="CD4" s="927" t="s">
        <v>507</v>
      </c>
      <c r="CE4" s="927" t="s">
        <v>508</v>
      </c>
      <c r="CF4" s="927" t="s">
        <v>509</v>
      </c>
      <c r="CG4" s="927" t="s">
        <v>510</v>
      </c>
      <c r="CH4" s="927" t="s">
        <v>511</v>
      </c>
      <c r="CI4" s="927" t="s">
        <v>512</v>
      </c>
      <c r="CJ4" s="927" t="s">
        <v>513</v>
      </c>
      <c r="CK4" s="927" t="s">
        <v>514</v>
      </c>
      <c r="CL4" s="927" t="s">
        <v>515</v>
      </c>
      <c r="CM4" s="927" t="s">
        <v>516</v>
      </c>
      <c r="CN4" s="927" t="s">
        <v>517</v>
      </c>
      <c r="CO4" s="927" t="s">
        <v>518</v>
      </c>
      <c r="CP4" s="927" t="s">
        <v>519</v>
      </c>
      <c r="CQ4" s="927" t="s">
        <v>520</v>
      </c>
      <c r="CR4" s="927" t="s">
        <v>521</v>
      </c>
      <c r="CS4" s="927" t="s">
        <v>522</v>
      </c>
      <c r="CT4" s="927" t="s">
        <v>523</v>
      </c>
      <c r="CU4" s="927" t="s">
        <v>524</v>
      </c>
      <c r="CV4" s="927" t="s">
        <v>525</v>
      </c>
      <c r="CW4" s="927" t="s">
        <v>526</v>
      </c>
      <c r="CX4" s="927" t="s">
        <v>527</v>
      </c>
      <c r="CY4" s="927" t="s">
        <v>528</v>
      </c>
      <c r="CZ4" s="927" t="s">
        <v>529</v>
      </c>
      <c r="DA4" s="927" t="s">
        <v>530</v>
      </c>
      <c r="DB4" s="927" t="s">
        <v>531</v>
      </c>
      <c r="DC4" s="927" t="s">
        <v>532</v>
      </c>
      <c r="DD4" s="927" t="s">
        <v>533</v>
      </c>
      <c r="DE4" s="927" t="s">
        <v>534</v>
      </c>
      <c r="DF4" s="927" t="s">
        <v>535</v>
      </c>
      <c r="DG4" s="927" t="s">
        <v>536</v>
      </c>
      <c r="DH4" s="927" t="s">
        <v>537</v>
      </c>
      <c r="DI4" s="927" t="s">
        <v>538</v>
      </c>
      <c r="DJ4" s="927" t="s">
        <v>539</v>
      </c>
      <c r="DK4" s="927" t="s">
        <v>540</v>
      </c>
      <c r="DL4" s="927" t="s">
        <v>541</v>
      </c>
      <c r="DM4" s="927" t="s">
        <v>542</v>
      </c>
      <c r="DN4" s="927" t="s">
        <v>543</v>
      </c>
      <c r="DO4" s="927" t="s">
        <v>544</v>
      </c>
      <c r="DP4" s="927" t="s">
        <v>545</v>
      </c>
      <c r="DQ4" s="927" t="s">
        <v>546</v>
      </c>
      <c r="DR4" s="927" t="s">
        <v>547</v>
      </c>
      <c r="DS4" s="927" t="s">
        <v>548</v>
      </c>
      <c r="DT4" s="927" t="s">
        <v>549</v>
      </c>
      <c r="DU4" s="927" t="s">
        <v>550</v>
      </c>
      <c r="DV4" s="927" t="s">
        <v>551</v>
      </c>
      <c r="DW4" s="927" t="s">
        <v>552</v>
      </c>
    </row>
    <row r="5" spans="1:127">
      <c r="A5" s="1106">
        <v>999</v>
      </c>
      <c r="B5" s="928" t="s">
        <v>9</v>
      </c>
      <c r="C5" s="929">
        <f t="shared" ref="C5:AH5" si="0">SUM(C6:C125)</f>
        <v>110586774.87999997</v>
      </c>
      <c r="D5" s="929">
        <f t="shared" si="0"/>
        <v>37280620.750000007</v>
      </c>
      <c r="E5" s="929">
        <f t="shared" si="0"/>
        <v>17146696.979999993</v>
      </c>
      <c r="F5" s="929">
        <f t="shared" si="0"/>
        <v>9307009.0599999987</v>
      </c>
      <c r="G5" s="929">
        <f t="shared" si="0"/>
        <v>7839687.9200000037</v>
      </c>
      <c r="H5" s="930">
        <f t="shared" si="0"/>
        <v>0</v>
      </c>
      <c r="I5" s="930">
        <f t="shared" si="0"/>
        <v>0</v>
      </c>
      <c r="J5" s="930">
        <f t="shared" si="0"/>
        <v>13897.56</v>
      </c>
      <c r="K5" s="930">
        <f t="shared" si="0"/>
        <v>0</v>
      </c>
      <c r="L5" s="930">
        <f t="shared" si="0"/>
        <v>-1113</v>
      </c>
      <c r="M5" s="930">
        <f t="shared" si="0"/>
        <v>12784.56</v>
      </c>
      <c r="N5" s="930">
        <f t="shared" si="0"/>
        <v>2316763.9000000008</v>
      </c>
      <c r="O5" s="930">
        <f t="shared" si="0"/>
        <v>0</v>
      </c>
      <c r="P5" s="930">
        <f t="shared" si="0"/>
        <v>0</v>
      </c>
      <c r="Q5" s="930">
        <f t="shared" si="0"/>
        <v>579191</v>
      </c>
      <c r="R5" s="930">
        <f t="shared" si="0"/>
        <v>1156006.6900000002</v>
      </c>
      <c r="S5" s="930">
        <f t="shared" si="0"/>
        <v>4051961.5900000012</v>
      </c>
      <c r="T5" s="930">
        <f t="shared" si="0"/>
        <v>823333.45000000019</v>
      </c>
      <c r="U5" s="930">
        <f t="shared" si="0"/>
        <v>0</v>
      </c>
      <c r="V5" s="930">
        <f t="shared" si="0"/>
        <v>4901.24</v>
      </c>
      <c r="W5" s="930">
        <f t="shared" si="0"/>
        <v>151925.11999999997</v>
      </c>
      <c r="X5" s="930">
        <f t="shared" si="0"/>
        <v>13025.409999999994</v>
      </c>
      <c r="Y5" s="930">
        <f t="shared" si="0"/>
        <v>993185.22000000009</v>
      </c>
      <c r="Z5" s="930">
        <f t="shared" si="0"/>
        <v>4874191.8099999987</v>
      </c>
      <c r="AA5" s="930">
        <f t="shared" si="0"/>
        <v>0</v>
      </c>
      <c r="AB5" s="930">
        <f t="shared" si="0"/>
        <v>0</v>
      </c>
      <c r="AC5" s="930">
        <f t="shared" si="0"/>
        <v>1218547.9500000002</v>
      </c>
      <c r="AD5" s="930">
        <f t="shared" si="0"/>
        <v>1192177.6599999999</v>
      </c>
      <c r="AE5" s="930">
        <f t="shared" si="0"/>
        <v>7284917.4199999971</v>
      </c>
      <c r="AF5" s="930">
        <f t="shared" si="0"/>
        <v>322005.64999999997</v>
      </c>
      <c r="AG5" s="930">
        <f t="shared" si="0"/>
        <v>0</v>
      </c>
      <c r="AH5" s="930">
        <f t="shared" si="0"/>
        <v>74278.450000000012</v>
      </c>
      <c r="AI5" s="930">
        <f t="shared" ref="AI5:BN5" si="1">SUM(AI6:AI125)</f>
        <v>72691.459999999992</v>
      </c>
      <c r="AJ5" s="930">
        <f t="shared" si="1"/>
        <v>5097.92</v>
      </c>
      <c r="AK5" s="930">
        <f t="shared" si="1"/>
        <v>474073.48</v>
      </c>
      <c r="AL5" s="930">
        <f t="shared" si="1"/>
        <v>694207.70999999985</v>
      </c>
      <c r="AM5" s="930">
        <f t="shared" si="1"/>
        <v>0</v>
      </c>
      <c r="AN5" s="930">
        <f t="shared" si="1"/>
        <v>173551.99999999994</v>
      </c>
      <c r="AO5" s="930">
        <f t="shared" si="1"/>
        <v>0</v>
      </c>
      <c r="AP5" s="930">
        <f t="shared" si="1"/>
        <v>11464.43</v>
      </c>
      <c r="AQ5" s="930">
        <f t="shared" si="1"/>
        <v>879224.14000000013</v>
      </c>
      <c r="AR5" s="930">
        <f t="shared" si="1"/>
        <v>826883.11999999976</v>
      </c>
      <c r="AS5" s="930">
        <f t="shared" si="1"/>
        <v>0</v>
      </c>
      <c r="AT5" s="930">
        <f t="shared" si="1"/>
        <v>206721.00999999998</v>
      </c>
      <c r="AU5" s="930">
        <f t="shared" si="1"/>
        <v>0</v>
      </c>
      <c r="AV5" s="930">
        <f t="shared" si="1"/>
        <v>4596.58</v>
      </c>
      <c r="AW5" s="930">
        <f t="shared" si="1"/>
        <v>1038200.7100000001</v>
      </c>
      <c r="AX5" s="930">
        <f t="shared" si="1"/>
        <v>0</v>
      </c>
      <c r="AY5" s="930">
        <f t="shared" si="1"/>
        <v>0</v>
      </c>
      <c r="AZ5" s="930">
        <f t="shared" si="1"/>
        <v>0</v>
      </c>
      <c r="BA5" s="930">
        <f t="shared" si="1"/>
        <v>0</v>
      </c>
      <c r="BB5" s="930">
        <f t="shared" si="1"/>
        <v>1359.86</v>
      </c>
      <c r="BC5" s="930">
        <f t="shared" si="1"/>
        <v>1359.86</v>
      </c>
      <c r="BD5" s="930">
        <f t="shared" si="1"/>
        <v>29890.37</v>
      </c>
      <c r="BE5" s="930">
        <f t="shared" si="1"/>
        <v>0</v>
      </c>
      <c r="BF5" s="930">
        <f t="shared" si="1"/>
        <v>176764.39</v>
      </c>
      <c r="BG5" s="930">
        <f t="shared" si="1"/>
        <v>0</v>
      </c>
      <c r="BH5" s="930">
        <f t="shared" si="1"/>
        <v>2208.19</v>
      </c>
      <c r="BI5" s="930">
        <f t="shared" si="1"/>
        <v>208862.95</v>
      </c>
      <c r="BJ5" s="930">
        <f t="shared" si="1"/>
        <v>2685608.12</v>
      </c>
      <c r="BK5" s="930">
        <f t="shared" si="1"/>
        <v>0</v>
      </c>
      <c r="BL5" s="930">
        <f t="shared" si="1"/>
        <v>340177.82999999996</v>
      </c>
      <c r="BM5" s="930">
        <f t="shared" si="1"/>
        <v>555026.30999999994</v>
      </c>
      <c r="BN5" s="930">
        <f t="shared" si="1"/>
        <v>19427.240000000002</v>
      </c>
      <c r="BO5" s="930">
        <f t="shared" ref="BO5:CT5" si="2">SUM(BO6:BO125)</f>
        <v>3600239.5000000009</v>
      </c>
      <c r="BP5" s="930">
        <f t="shared" si="2"/>
        <v>29678109.949999996</v>
      </c>
      <c r="BQ5" s="930">
        <f t="shared" si="2"/>
        <v>984082.99000000022</v>
      </c>
      <c r="BR5" s="930">
        <f t="shared" si="2"/>
        <v>24821765.880000003</v>
      </c>
      <c r="BS5" s="930">
        <f t="shared" si="2"/>
        <v>2920337.9699999988</v>
      </c>
      <c r="BT5" s="930">
        <f t="shared" si="2"/>
        <v>8806.8499999999967</v>
      </c>
      <c r="BU5" s="930">
        <f t="shared" si="2"/>
        <v>58413103.640000001</v>
      </c>
      <c r="BV5" s="930">
        <f t="shared" si="2"/>
        <v>7128024.5299999975</v>
      </c>
      <c r="BW5" s="930">
        <f t="shared" si="2"/>
        <v>0</v>
      </c>
      <c r="BX5" s="930">
        <f t="shared" si="2"/>
        <v>4439685.03</v>
      </c>
      <c r="BY5" s="930">
        <f t="shared" si="2"/>
        <v>2121890.34</v>
      </c>
      <c r="BZ5" s="930">
        <f t="shared" si="2"/>
        <v>40166.5</v>
      </c>
      <c r="CA5" s="930">
        <f t="shared" si="2"/>
        <v>13729766.399999999</v>
      </c>
      <c r="CB5" s="930">
        <f t="shared" si="2"/>
        <v>336250.86999999994</v>
      </c>
      <c r="CC5" s="930">
        <f t="shared" si="2"/>
        <v>0</v>
      </c>
      <c r="CD5" s="930">
        <f t="shared" si="2"/>
        <v>0</v>
      </c>
      <c r="CE5" s="930">
        <f t="shared" si="2"/>
        <v>579963.65</v>
      </c>
      <c r="CF5" s="930">
        <f t="shared" si="2"/>
        <v>55665.770000000011</v>
      </c>
      <c r="CG5" s="930">
        <f t="shared" si="2"/>
        <v>971880.29</v>
      </c>
      <c r="CH5" s="930">
        <f t="shared" si="2"/>
        <v>4810.2999999999993</v>
      </c>
      <c r="CI5" s="930">
        <f t="shared" si="2"/>
        <v>0</v>
      </c>
      <c r="CJ5" s="930">
        <f t="shared" si="2"/>
        <v>0</v>
      </c>
      <c r="CK5" s="930">
        <f t="shared" si="2"/>
        <v>14823.519999999999</v>
      </c>
      <c r="CL5" s="930">
        <f t="shared" si="2"/>
        <v>889.97</v>
      </c>
      <c r="CM5" s="930">
        <f t="shared" si="2"/>
        <v>20523.789999999997</v>
      </c>
      <c r="CN5" s="930">
        <f t="shared" si="2"/>
        <v>6062705.1400000015</v>
      </c>
      <c r="CO5" s="930">
        <f t="shared" si="2"/>
        <v>0</v>
      </c>
      <c r="CP5" s="930">
        <f t="shared" si="2"/>
        <v>0</v>
      </c>
      <c r="CQ5" s="930">
        <f t="shared" si="2"/>
        <v>0</v>
      </c>
      <c r="CR5" s="930">
        <f t="shared" si="2"/>
        <v>4127.62</v>
      </c>
      <c r="CS5" s="930">
        <f t="shared" si="2"/>
        <v>6066832.7600000016</v>
      </c>
      <c r="CT5" s="930">
        <f t="shared" si="2"/>
        <v>7874795.6199999973</v>
      </c>
      <c r="CU5" s="930">
        <f t="shared" ref="CU5:DW5" si="3">SUM(CU6:CU125)</f>
        <v>261231.30999999997</v>
      </c>
      <c r="CV5" s="930">
        <f t="shared" si="3"/>
        <v>6586307.8299999982</v>
      </c>
      <c r="CW5" s="930">
        <f t="shared" si="3"/>
        <v>774859.59000000008</v>
      </c>
      <c r="CX5" s="930">
        <f t="shared" si="3"/>
        <v>3185058.6900000027</v>
      </c>
      <c r="CY5" s="930">
        <f t="shared" si="3"/>
        <v>18682253.039999992</v>
      </c>
      <c r="CZ5" s="930">
        <f t="shared" si="3"/>
        <v>38274265.350000001</v>
      </c>
      <c r="DA5" s="930">
        <f t="shared" si="3"/>
        <v>6119924.1199999982</v>
      </c>
      <c r="DB5" s="930">
        <f t="shared" si="3"/>
        <v>0</v>
      </c>
      <c r="DC5" s="930">
        <f t="shared" si="3"/>
        <v>0</v>
      </c>
      <c r="DD5" s="930">
        <f t="shared" si="3"/>
        <v>2063325.9399999997</v>
      </c>
      <c r="DE5" s="930">
        <f t="shared" si="3"/>
        <v>46457515.410000004</v>
      </c>
      <c r="DF5" s="930">
        <f t="shared" si="3"/>
        <v>635764.12000000023</v>
      </c>
      <c r="DG5" s="930">
        <f t="shared" si="3"/>
        <v>0</v>
      </c>
      <c r="DH5" s="930">
        <f t="shared" si="3"/>
        <v>438676.98999999993</v>
      </c>
      <c r="DI5" s="930">
        <f t="shared" si="3"/>
        <v>197086.97999999998</v>
      </c>
      <c r="DJ5" s="930">
        <f t="shared" si="3"/>
        <v>13734.049999999994</v>
      </c>
      <c r="DK5" s="930">
        <f t="shared" si="3"/>
        <v>1285262.1399999999</v>
      </c>
      <c r="DL5" s="930">
        <f t="shared" si="3"/>
        <v>653926.45000000007</v>
      </c>
      <c r="DM5" s="930">
        <f t="shared" si="3"/>
        <v>0</v>
      </c>
      <c r="DN5" s="930">
        <f t="shared" si="3"/>
        <v>3892.5400000000004</v>
      </c>
      <c r="DO5" s="930">
        <f t="shared" si="3"/>
        <v>120665.17</v>
      </c>
      <c r="DP5" s="930">
        <f t="shared" si="3"/>
        <v>63661.55</v>
      </c>
      <c r="DQ5" s="930">
        <f t="shared" si="3"/>
        <v>842145.70999999985</v>
      </c>
      <c r="DR5" s="930">
        <f t="shared" si="3"/>
        <v>0</v>
      </c>
      <c r="DS5" s="930">
        <f t="shared" si="3"/>
        <v>0</v>
      </c>
      <c r="DT5" s="930">
        <f t="shared" si="3"/>
        <v>0</v>
      </c>
      <c r="DU5" s="930">
        <f t="shared" si="3"/>
        <v>0</v>
      </c>
      <c r="DV5" s="930">
        <f t="shared" si="3"/>
        <v>0</v>
      </c>
      <c r="DW5" s="930">
        <f t="shared" si="3"/>
        <v>0</v>
      </c>
    </row>
    <row r="6" spans="1:127">
      <c r="A6" s="1107" t="s">
        <v>10</v>
      </c>
      <c r="B6" s="918" t="s">
        <v>11</v>
      </c>
      <c r="C6" s="919">
        <f>+H6+I6+N6+O6+T6+U6+Z6+AA6+AF6+AG6+AL6+AM6+AR6+AS6+AX6+AY6+BD6+BE6+BJ6+BK6+BP6+BQ6+BV6+BW6+CB6+CC6+CH6+CI6+CN6+CO6+CT6+CU6+CZ6+DA6+DF6+DG6+DL6+DM6+DR6+DS6</f>
        <v>231062.56</v>
      </c>
      <c r="D6" s="920">
        <f t="shared" ref="D6:D69" si="4">+J6+P6+V6+AB6+AH6+AN6+AT6+AZ6+BF6+BL6+BR6+BX6+CD6+CJ6+CP6+CV6+DB6+DH6+DN6+DT6</f>
        <v>25157.61</v>
      </c>
      <c r="E6" s="921">
        <f>+F6+G6</f>
        <v>19188.550000000007</v>
      </c>
      <c r="F6" s="922">
        <f>+K6+Q6+W6+AC6+AI6+AO6+AU6+BA6+BG6+BM6+BS6+BY6+CE6+CK6+CQ6+CW6+DC6+DI6+DO6+DU6</f>
        <v>19188.850000000006</v>
      </c>
      <c r="G6" s="921">
        <f>+L6+R6+X6+AD6+AJ6+AP6+AV6+BB6+BH6+BN6+BT6+BZ6+CF6+CL6+CR6+CX6+DD6+DJ6+DP6+DV6</f>
        <v>-0.30000000000000004</v>
      </c>
      <c r="H6" s="909">
        <v>0</v>
      </c>
      <c r="I6" s="910">
        <v>0</v>
      </c>
      <c r="J6" s="910">
        <v>532</v>
      </c>
      <c r="K6" s="910">
        <v>0</v>
      </c>
      <c r="L6" s="910">
        <v>0</v>
      </c>
      <c r="M6" s="911">
        <v>532</v>
      </c>
      <c r="N6" s="909">
        <v>17055.98</v>
      </c>
      <c r="O6" s="910">
        <v>0</v>
      </c>
      <c r="P6" s="910">
        <v>0</v>
      </c>
      <c r="Q6" s="910">
        <v>4263.97</v>
      </c>
      <c r="R6" s="910">
        <v>0</v>
      </c>
      <c r="S6" s="911">
        <v>21319.95</v>
      </c>
      <c r="T6" s="909">
        <v>1274</v>
      </c>
      <c r="U6" s="910">
        <v>0</v>
      </c>
      <c r="V6" s="910">
        <v>7.58</v>
      </c>
      <c r="W6" s="910">
        <v>235.08</v>
      </c>
      <c r="X6" s="910">
        <v>0.01</v>
      </c>
      <c r="Y6" s="911">
        <v>1516.67</v>
      </c>
      <c r="Z6" s="923">
        <v>34391.74</v>
      </c>
      <c r="AA6" s="924">
        <v>0</v>
      </c>
      <c r="AB6" s="924">
        <v>0</v>
      </c>
      <c r="AC6" s="924">
        <v>8597.94</v>
      </c>
      <c r="AD6" s="924">
        <v>0</v>
      </c>
      <c r="AE6" s="925">
        <v>42989.68</v>
      </c>
      <c r="AF6" s="912"/>
      <c r="AG6" s="913"/>
      <c r="AH6" s="913"/>
      <c r="AI6" s="913"/>
      <c r="AJ6" s="913"/>
      <c r="AK6" s="914"/>
      <c r="AL6" s="912"/>
      <c r="AM6" s="913"/>
      <c r="AN6" s="913"/>
      <c r="AO6" s="913"/>
      <c r="AP6" s="913"/>
      <c r="AQ6" s="914"/>
      <c r="AR6" s="909">
        <v>301.42</v>
      </c>
      <c r="AS6" s="910">
        <v>0</v>
      </c>
      <c r="AT6" s="910">
        <v>75.36</v>
      </c>
      <c r="AU6" s="910">
        <v>0</v>
      </c>
      <c r="AV6" s="910">
        <v>0</v>
      </c>
      <c r="AW6" s="911">
        <v>376.78</v>
      </c>
      <c r="AX6" s="912"/>
      <c r="AY6" s="913"/>
      <c r="AZ6" s="913"/>
      <c r="BA6" s="913"/>
      <c r="BB6" s="913"/>
      <c r="BC6" s="914"/>
      <c r="BD6" s="909">
        <v>99.52</v>
      </c>
      <c r="BE6" s="910">
        <v>0</v>
      </c>
      <c r="BF6" s="910">
        <v>437.48</v>
      </c>
      <c r="BG6" s="910">
        <v>0</v>
      </c>
      <c r="BH6" s="910">
        <v>0</v>
      </c>
      <c r="BI6" s="911">
        <v>537</v>
      </c>
      <c r="BJ6" s="912"/>
      <c r="BK6" s="913"/>
      <c r="BL6" s="913"/>
      <c r="BM6" s="913"/>
      <c r="BN6" s="913"/>
      <c r="BO6" s="914"/>
      <c r="BP6" s="909">
        <v>18684.77</v>
      </c>
      <c r="BQ6" s="910">
        <v>750.24</v>
      </c>
      <c r="BR6" s="910">
        <v>15733.13</v>
      </c>
      <c r="BS6" s="910">
        <v>1850.94</v>
      </c>
      <c r="BT6" s="910">
        <v>-0.28000000000000003</v>
      </c>
      <c r="BU6" s="911">
        <v>37018.800000000003</v>
      </c>
      <c r="BV6" s="909">
        <v>6598.69</v>
      </c>
      <c r="BW6" s="910">
        <v>0</v>
      </c>
      <c r="BX6" s="910">
        <v>4535.2</v>
      </c>
      <c r="BY6" s="910">
        <v>2042.32</v>
      </c>
      <c r="BZ6" s="910">
        <v>-0.01</v>
      </c>
      <c r="CA6" s="911">
        <v>13176.2</v>
      </c>
      <c r="CB6" s="909">
        <v>36.409999999999997</v>
      </c>
      <c r="CC6" s="910">
        <v>0</v>
      </c>
      <c r="CD6" s="910">
        <v>0</v>
      </c>
      <c r="CE6" s="910">
        <v>62.79</v>
      </c>
      <c r="CF6" s="910">
        <v>0</v>
      </c>
      <c r="CG6" s="911">
        <v>99.2</v>
      </c>
      <c r="CH6" s="912"/>
      <c r="CI6" s="913"/>
      <c r="CJ6" s="913"/>
      <c r="CK6" s="913"/>
      <c r="CL6" s="913"/>
      <c r="CM6" s="914"/>
      <c r="CN6" s="909">
        <v>35380</v>
      </c>
      <c r="CO6" s="910">
        <v>0</v>
      </c>
      <c r="CP6" s="910">
        <v>0</v>
      </c>
      <c r="CQ6" s="910">
        <v>0</v>
      </c>
      <c r="CR6" s="910">
        <v>0</v>
      </c>
      <c r="CS6" s="911">
        <v>35380</v>
      </c>
      <c r="CT6" s="909">
        <v>248.85</v>
      </c>
      <c r="CU6" s="910">
        <v>0</v>
      </c>
      <c r="CV6" s="910">
        <v>201.45</v>
      </c>
      <c r="CW6" s="910">
        <v>23.7</v>
      </c>
      <c r="CX6" s="910">
        <v>0</v>
      </c>
      <c r="CY6" s="911">
        <v>474</v>
      </c>
      <c r="CZ6" s="909">
        <v>92073.33</v>
      </c>
      <c r="DA6" s="910">
        <v>16288.5</v>
      </c>
      <c r="DB6" s="910">
        <v>0</v>
      </c>
      <c r="DC6" s="910">
        <v>0</v>
      </c>
      <c r="DD6" s="910">
        <v>0</v>
      </c>
      <c r="DE6" s="911">
        <v>108361.83</v>
      </c>
      <c r="DF6" s="909">
        <v>5245.96</v>
      </c>
      <c r="DG6" s="910">
        <v>0</v>
      </c>
      <c r="DH6" s="910">
        <v>3619.72</v>
      </c>
      <c r="DI6" s="910">
        <v>1626.24</v>
      </c>
      <c r="DJ6" s="910">
        <v>-0.02</v>
      </c>
      <c r="DK6" s="911">
        <v>10491.9</v>
      </c>
      <c r="DL6" s="909">
        <v>2633.15</v>
      </c>
      <c r="DM6" s="910">
        <v>0</v>
      </c>
      <c r="DN6" s="910">
        <v>15.69</v>
      </c>
      <c r="DO6" s="910">
        <v>485.87</v>
      </c>
      <c r="DP6" s="910">
        <v>0</v>
      </c>
      <c r="DQ6" s="911">
        <v>3134.71</v>
      </c>
      <c r="DR6" s="912"/>
      <c r="DS6" s="913"/>
      <c r="DT6" s="913"/>
      <c r="DU6" s="913"/>
      <c r="DV6" s="913"/>
      <c r="DW6" s="914"/>
    </row>
    <row r="7" spans="1:127">
      <c r="A7" s="1107" t="s">
        <v>12</v>
      </c>
      <c r="B7" s="904" t="s">
        <v>13</v>
      </c>
      <c r="C7" s="905">
        <f t="shared" ref="C7:C70" si="5">+H7+I7+N7+O7+T7+U7+Z7+AA7+AF7+AG7+AL7+AM7+AR7+AS7+AX7+AY7+BD7+BE7+BJ7+BK7+BP7+BQ7+BV7+BW7+CB7+CC7+CH7+CI7+CN7+CO7+CT7+CU7+CZ7+DA7+DF7+DG7+DL7+DM7+DR7+DS7</f>
        <v>807724.75</v>
      </c>
      <c r="D7" s="906">
        <f t="shared" si="4"/>
        <v>187222</v>
      </c>
      <c r="E7" s="907">
        <f t="shared" ref="E7:E70" si="6">+F7+G7</f>
        <v>75563.5</v>
      </c>
      <c r="F7" s="908">
        <f t="shared" ref="F7:G69" si="7">+K7+Q7+W7+AC7+AI7+AO7+AU7+BA7+BG7+BM7+BS7+BY7+CE7+CK7+CQ7+CW7+DC7+DI7+DO7+DU7</f>
        <v>44661.549999999996</v>
      </c>
      <c r="G7" s="907">
        <f t="shared" si="7"/>
        <v>30901.95</v>
      </c>
      <c r="H7" s="912"/>
      <c r="I7" s="913"/>
      <c r="J7" s="913"/>
      <c r="K7" s="913"/>
      <c r="L7" s="913"/>
      <c r="M7" s="914"/>
      <c r="N7" s="909">
        <v>1070.94</v>
      </c>
      <c r="O7" s="910">
        <v>0</v>
      </c>
      <c r="P7" s="910">
        <v>0</v>
      </c>
      <c r="Q7" s="910">
        <v>267.73</v>
      </c>
      <c r="R7" s="910">
        <v>0</v>
      </c>
      <c r="S7" s="911">
        <v>1338.67</v>
      </c>
      <c r="T7" s="909">
        <v>6533.91</v>
      </c>
      <c r="U7" s="910">
        <v>0</v>
      </c>
      <c r="V7" s="910">
        <v>38.880000000000003</v>
      </c>
      <c r="W7" s="910">
        <v>1205.6500000000001</v>
      </c>
      <c r="X7" s="910">
        <v>0.02</v>
      </c>
      <c r="Y7" s="911">
        <v>7778.46</v>
      </c>
      <c r="Z7" s="915">
        <v>57282.76</v>
      </c>
      <c r="AA7" s="916">
        <v>0</v>
      </c>
      <c r="AB7" s="916">
        <v>0</v>
      </c>
      <c r="AC7" s="916">
        <v>14320.67</v>
      </c>
      <c r="AD7" s="916">
        <v>30825.09</v>
      </c>
      <c r="AE7" s="917">
        <v>102428.52</v>
      </c>
      <c r="AF7" s="912"/>
      <c r="AG7" s="913"/>
      <c r="AH7" s="913"/>
      <c r="AI7" s="913"/>
      <c r="AJ7" s="913"/>
      <c r="AK7" s="914"/>
      <c r="AL7" s="909">
        <v>20278.41</v>
      </c>
      <c r="AM7" s="910">
        <v>0</v>
      </c>
      <c r="AN7" s="910">
        <v>5069.6000000000004</v>
      </c>
      <c r="AO7" s="910">
        <v>0</v>
      </c>
      <c r="AP7" s="910">
        <v>0</v>
      </c>
      <c r="AQ7" s="911">
        <v>25348.01</v>
      </c>
      <c r="AR7" s="909">
        <v>17208</v>
      </c>
      <c r="AS7" s="910">
        <v>0</v>
      </c>
      <c r="AT7" s="910">
        <v>4302</v>
      </c>
      <c r="AU7" s="910">
        <v>0</v>
      </c>
      <c r="AV7" s="910">
        <v>77.3</v>
      </c>
      <c r="AW7" s="911">
        <v>21587.3</v>
      </c>
      <c r="AX7" s="912"/>
      <c r="AY7" s="913"/>
      <c r="AZ7" s="913"/>
      <c r="BA7" s="913"/>
      <c r="BB7" s="913"/>
      <c r="BC7" s="914"/>
      <c r="BD7" s="909">
        <v>384.91</v>
      </c>
      <c r="BE7" s="910">
        <v>0</v>
      </c>
      <c r="BF7" s="910">
        <v>2375.09</v>
      </c>
      <c r="BG7" s="910">
        <v>0</v>
      </c>
      <c r="BH7" s="910">
        <v>0</v>
      </c>
      <c r="BI7" s="911">
        <v>2760</v>
      </c>
      <c r="BJ7" s="912"/>
      <c r="BK7" s="913"/>
      <c r="BL7" s="913"/>
      <c r="BM7" s="913"/>
      <c r="BN7" s="913"/>
      <c r="BO7" s="914"/>
      <c r="BP7" s="909">
        <v>106288.72</v>
      </c>
      <c r="BQ7" s="910">
        <v>3139.02</v>
      </c>
      <c r="BR7" s="910">
        <v>88584.38</v>
      </c>
      <c r="BS7" s="910">
        <v>10421.69</v>
      </c>
      <c r="BT7" s="910">
        <v>-0.36</v>
      </c>
      <c r="BU7" s="911">
        <v>208433.45</v>
      </c>
      <c r="BV7" s="909">
        <v>23393.93</v>
      </c>
      <c r="BW7" s="910">
        <v>0</v>
      </c>
      <c r="BX7" s="910">
        <v>16141.81</v>
      </c>
      <c r="BY7" s="910">
        <v>7252.12</v>
      </c>
      <c r="BZ7" s="910">
        <v>-0.03</v>
      </c>
      <c r="CA7" s="911">
        <v>46787.83</v>
      </c>
      <c r="CB7" s="912"/>
      <c r="CC7" s="913"/>
      <c r="CD7" s="913"/>
      <c r="CE7" s="913"/>
      <c r="CF7" s="913"/>
      <c r="CG7" s="914"/>
      <c r="CH7" s="912"/>
      <c r="CI7" s="913"/>
      <c r="CJ7" s="913"/>
      <c r="CK7" s="913"/>
      <c r="CL7" s="913"/>
      <c r="CM7" s="914"/>
      <c r="CN7" s="912"/>
      <c r="CO7" s="913"/>
      <c r="CP7" s="913"/>
      <c r="CQ7" s="913"/>
      <c r="CR7" s="913"/>
      <c r="CS7" s="914"/>
      <c r="CT7" s="909">
        <v>76532.27</v>
      </c>
      <c r="CU7" s="910">
        <v>107.16</v>
      </c>
      <c r="CV7" s="910">
        <v>62041.440000000002</v>
      </c>
      <c r="CW7" s="910">
        <v>7298.99</v>
      </c>
      <c r="CX7" s="910">
        <v>-0.04</v>
      </c>
      <c r="CY7" s="911">
        <v>145979.82</v>
      </c>
      <c r="CZ7" s="909">
        <v>408186.95</v>
      </c>
      <c r="DA7" s="910">
        <v>74754.259999999995</v>
      </c>
      <c r="DB7" s="910">
        <v>0</v>
      </c>
      <c r="DC7" s="910">
        <v>0</v>
      </c>
      <c r="DD7" s="910">
        <v>-0.02</v>
      </c>
      <c r="DE7" s="911">
        <v>482941.19</v>
      </c>
      <c r="DF7" s="909">
        <v>12563.51</v>
      </c>
      <c r="DG7" s="910">
        <v>0</v>
      </c>
      <c r="DH7" s="910">
        <v>8668.7999999999993</v>
      </c>
      <c r="DI7" s="910">
        <v>3894.7</v>
      </c>
      <c r="DJ7" s="910">
        <v>-0.01</v>
      </c>
      <c r="DK7" s="911">
        <v>25127</v>
      </c>
      <c r="DL7" s="912"/>
      <c r="DM7" s="913"/>
      <c r="DN7" s="913"/>
      <c r="DO7" s="913"/>
      <c r="DP7" s="913"/>
      <c r="DQ7" s="914"/>
      <c r="DR7" s="912"/>
      <c r="DS7" s="913"/>
      <c r="DT7" s="913"/>
      <c r="DU7" s="913"/>
      <c r="DV7" s="913"/>
      <c r="DW7" s="914"/>
    </row>
    <row r="8" spans="1:127">
      <c r="A8" s="1107" t="s">
        <v>16</v>
      </c>
      <c r="B8" s="904" t="s">
        <v>364</v>
      </c>
      <c r="C8" s="905">
        <f t="shared" si="5"/>
        <v>285084.15000000002</v>
      </c>
      <c r="D8" s="906">
        <f t="shared" si="4"/>
        <v>49724.24</v>
      </c>
      <c r="E8" s="907">
        <f t="shared" si="6"/>
        <v>43907.45</v>
      </c>
      <c r="F8" s="908">
        <f t="shared" si="7"/>
        <v>43907.869999999995</v>
      </c>
      <c r="G8" s="907">
        <f t="shared" si="7"/>
        <v>-0.41999999999999993</v>
      </c>
      <c r="H8" s="912"/>
      <c r="I8" s="913"/>
      <c r="J8" s="913"/>
      <c r="K8" s="913"/>
      <c r="L8" s="913"/>
      <c r="M8" s="914"/>
      <c r="N8" s="909">
        <v>37455.800000000003</v>
      </c>
      <c r="O8" s="910">
        <v>0</v>
      </c>
      <c r="P8" s="910">
        <v>0</v>
      </c>
      <c r="Q8" s="910">
        <v>9363.94</v>
      </c>
      <c r="R8" s="910">
        <v>0</v>
      </c>
      <c r="S8" s="911">
        <v>46819.74</v>
      </c>
      <c r="T8" s="909">
        <v>5175.5200000000004</v>
      </c>
      <c r="U8" s="910">
        <v>0</v>
      </c>
      <c r="V8" s="910">
        <v>30.81</v>
      </c>
      <c r="W8" s="910">
        <v>955.01</v>
      </c>
      <c r="X8" s="910">
        <v>0</v>
      </c>
      <c r="Y8" s="911">
        <v>6161.34</v>
      </c>
      <c r="Z8" s="915">
        <v>45229.84</v>
      </c>
      <c r="AA8" s="916">
        <v>0</v>
      </c>
      <c r="AB8" s="916">
        <v>0</v>
      </c>
      <c r="AC8" s="916">
        <v>11307.46</v>
      </c>
      <c r="AD8" s="916">
        <v>0</v>
      </c>
      <c r="AE8" s="917">
        <v>56537.3</v>
      </c>
      <c r="AF8" s="912"/>
      <c r="AG8" s="913"/>
      <c r="AH8" s="913"/>
      <c r="AI8" s="913"/>
      <c r="AJ8" s="913"/>
      <c r="AK8" s="914"/>
      <c r="AL8" s="909">
        <v>5633.59</v>
      </c>
      <c r="AM8" s="910">
        <v>0</v>
      </c>
      <c r="AN8" s="910">
        <v>1408.41</v>
      </c>
      <c r="AO8" s="910">
        <v>0</v>
      </c>
      <c r="AP8" s="910">
        <v>0</v>
      </c>
      <c r="AQ8" s="911">
        <v>7042</v>
      </c>
      <c r="AR8" s="909">
        <v>4432.6099999999997</v>
      </c>
      <c r="AS8" s="910">
        <v>0</v>
      </c>
      <c r="AT8" s="910">
        <v>1108.1500000000001</v>
      </c>
      <c r="AU8" s="910">
        <v>0</v>
      </c>
      <c r="AV8" s="910">
        <v>0</v>
      </c>
      <c r="AW8" s="911">
        <v>5540.76</v>
      </c>
      <c r="AX8" s="912"/>
      <c r="AY8" s="913"/>
      <c r="AZ8" s="913"/>
      <c r="BA8" s="913"/>
      <c r="BB8" s="913"/>
      <c r="BC8" s="914"/>
      <c r="BD8" s="912"/>
      <c r="BE8" s="913"/>
      <c r="BF8" s="913"/>
      <c r="BG8" s="913"/>
      <c r="BH8" s="913"/>
      <c r="BI8" s="914"/>
      <c r="BJ8" s="909">
        <v>31808.97</v>
      </c>
      <c r="BK8" s="910">
        <v>0</v>
      </c>
      <c r="BL8" s="910">
        <v>4029.15</v>
      </c>
      <c r="BM8" s="910">
        <v>6573.86</v>
      </c>
      <c r="BN8" s="910">
        <v>-0.06</v>
      </c>
      <c r="BO8" s="911">
        <v>42411.92</v>
      </c>
      <c r="BP8" s="909">
        <v>29428.880000000001</v>
      </c>
      <c r="BQ8" s="910">
        <v>1172.1400000000001</v>
      </c>
      <c r="BR8" s="910">
        <v>24772.28</v>
      </c>
      <c r="BS8" s="910">
        <v>2914.37</v>
      </c>
      <c r="BT8" s="910">
        <v>-0.35</v>
      </c>
      <c r="BU8" s="911">
        <v>58287.32</v>
      </c>
      <c r="BV8" s="909">
        <v>27375.66</v>
      </c>
      <c r="BW8" s="910">
        <v>0</v>
      </c>
      <c r="BX8" s="910">
        <v>11178.38</v>
      </c>
      <c r="BY8" s="910">
        <v>7072.06</v>
      </c>
      <c r="BZ8" s="910">
        <v>0</v>
      </c>
      <c r="CA8" s="911">
        <v>45626.1</v>
      </c>
      <c r="CB8" s="912"/>
      <c r="CC8" s="913"/>
      <c r="CD8" s="913"/>
      <c r="CE8" s="913"/>
      <c r="CF8" s="913"/>
      <c r="CG8" s="914"/>
      <c r="CH8" s="912"/>
      <c r="CI8" s="913"/>
      <c r="CJ8" s="913"/>
      <c r="CK8" s="913"/>
      <c r="CL8" s="913"/>
      <c r="CM8" s="914"/>
      <c r="CN8" s="909">
        <v>3535</v>
      </c>
      <c r="CO8" s="910">
        <v>0</v>
      </c>
      <c r="CP8" s="910">
        <v>0</v>
      </c>
      <c r="CQ8" s="910">
        <v>0</v>
      </c>
      <c r="CR8" s="910">
        <v>0</v>
      </c>
      <c r="CS8" s="911">
        <v>3535</v>
      </c>
      <c r="CT8" s="912"/>
      <c r="CU8" s="913"/>
      <c r="CV8" s="913"/>
      <c r="CW8" s="913"/>
      <c r="CX8" s="913"/>
      <c r="CY8" s="914"/>
      <c r="CZ8" s="909">
        <v>62367.75</v>
      </c>
      <c r="DA8" s="910">
        <v>7475.75</v>
      </c>
      <c r="DB8" s="910">
        <v>0</v>
      </c>
      <c r="DC8" s="910">
        <v>0</v>
      </c>
      <c r="DD8" s="910">
        <v>0</v>
      </c>
      <c r="DE8" s="911">
        <v>69843.5</v>
      </c>
      <c r="DF8" s="909">
        <v>10312.52</v>
      </c>
      <c r="DG8" s="910">
        <v>0</v>
      </c>
      <c r="DH8" s="910">
        <v>7115.64</v>
      </c>
      <c r="DI8" s="910">
        <v>3196.88</v>
      </c>
      <c r="DJ8" s="910">
        <v>-0.04</v>
      </c>
      <c r="DK8" s="911">
        <v>20625</v>
      </c>
      <c r="DL8" s="909">
        <v>13680.12</v>
      </c>
      <c r="DM8" s="910">
        <v>0</v>
      </c>
      <c r="DN8" s="910">
        <v>81.42</v>
      </c>
      <c r="DO8" s="910">
        <v>2524.29</v>
      </c>
      <c r="DP8" s="910">
        <v>0.03</v>
      </c>
      <c r="DQ8" s="911">
        <v>16285.86</v>
      </c>
      <c r="DR8" s="912"/>
      <c r="DS8" s="913"/>
      <c r="DT8" s="913"/>
      <c r="DU8" s="913"/>
      <c r="DV8" s="913"/>
      <c r="DW8" s="914"/>
    </row>
    <row r="9" spans="1:127">
      <c r="A9" s="1107" t="s">
        <v>18</v>
      </c>
      <c r="B9" s="904" t="s">
        <v>19</v>
      </c>
      <c r="C9" s="905">
        <f t="shared" si="5"/>
        <v>116639.89</v>
      </c>
      <c r="D9" s="906">
        <f t="shared" si="4"/>
        <v>53988.76</v>
      </c>
      <c r="E9" s="907">
        <f t="shared" si="6"/>
        <v>14676.669999999998</v>
      </c>
      <c r="F9" s="908">
        <f t="shared" si="7"/>
        <v>14707.099999999999</v>
      </c>
      <c r="G9" s="907">
        <f t="shared" si="7"/>
        <v>-30.429999999999996</v>
      </c>
      <c r="H9" s="912"/>
      <c r="I9" s="913"/>
      <c r="J9" s="913"/>
      <c r="K9" s="913"/>
      <c r="L9" s="913"/>
      <c r="M9" s="914"/>
      <c r="N9" s="909">
        <v>4864.32</v>
      </c>
      <c r="O9" s="910">
        <v>0</v>
      </c>
      <c r="P9" s="910">
        <v>0</v>
      </c>
      <c r="Q9" s="910">
        <v>1216.07</v>
      </c>
      <c r="R9" s="910">
        <v>0</v>
      </c>
      <c r="S9" s="911">
        <v>6080.39</v>
      </c>
      <c r="T9" s="909">
        <v>142.80000000000001</v>
      </c>
      <c r="U9" s="910">
        <v>0</v>
      </c>
      <c r="V9" s="910">
        <v>0.85</v>
      </c>
      <c r="W9" s="910">
        <v>26.35</v>
      </c>
      <c r="X9" s="910">
        <v>0</v>
      </c>
      <c r="Y9" s="911">
        <v>170</v>
      </c>
      <c r="Z9" s="915">
        <v>8998.93</v>
      </c>
      <c r="AA9" s="916">
        <v>0</v>
      </c>
      <c r="AB9" s="916">
        <v>0</v>
      </c>
      <c r="AC9" s="916">
        <v>2249.7199999999998</v>
      </c>
      <c r="AD9" s="916">
        <v>0</v>
      </c>
      <c r="AE9" s="917">
        <v>11248.65</v>
      </c>
      <c r="AF9" s="912"/>
      <c r="AG9" s="913"/>
      <c r="AH9" s="913"/>
      <c r="AI9" s="913"/>
      <c r="AJ9" s="913"/>
      <c r="AK9" s="914"/>
      <c r="AL9" s="909">
        <v>2508.2199999999998</v>
      </c>
      <c r="AM9" s="910">
        <v>0</v>
      </c>
      <c r="AN9" s="910">
        <v>627.05999999999995</v>
      </c>
      <c r="AO9" s="910">
        <v>0</v>
      </c>
      <c r="AP9" s="910">
        <v>0</v>
      </c>
      <c r="AQ9" s="911">
        <v>3135.28</v>
      </c>
      <c r="AR9" s="909">
        <v>996.72</v>
      </c>
      <c r="AS9" s="910">
        <v>0</v>
      </c>
      <c r="AT9" s="910">
        <v>249.18</v>
      </c>
      <c r="AU9" s="910">
        <v>0</v>
      </c>
      <c r="AV9" s="910">
        <v>-30</v>
      </c>
      <c r="AW9" s="911">
        <v>1215.9000000000001</v>
      </c>
      <c r="AX9" s="912"/>
      <c r="AY9" s="913"/>
      <c r="AZ9" s="913"/>
      <c r="BA9" s="913"/>
      <c r="BB9" s="913"/>
      <c r="BC9" s="914"/>
      <c r="BD9" s="912"/>
      <c r="BE9" s="913"/>
      <c r="BF9" s="913"/>
      <c r="BG9" s="913"/>
      <c r="BH9" s="913"/>
      <c r="BI9" s="914"/>
      <c r="BJ9" s="909">
        <v>8833.7199999999993</v>
      </c>
      <c r="BK9" s="910">
        <v>0</v>
      </c>
      <c r="BL9" s="910">
        <v>1118.93</v>
      </c>
      <c r="BM9" s="910">
        <v>1825.63</v>
      </c>
      <c r="BN9" s="910">
        <v>0</v>
      </c>
      <c r="BO9" s="911">
        <v>11778.28</v>
      </c>
      <c r="BP9" s="909">
        <v>48212.28</v>
      </c>
      <c r="BQ9" s="910">
        <v>854.25</v>
      </c>
      <c r="BR9" s="910">
        <v>39720.550000000003</v>
      </c>
      <c r="BS9" s="910">
        <v>4672.99</v>
      </c>
      <c r="BT9" s="910">
        <v>-0.27</v>
      </c>
      <c r="BU9" s="911">
        <v>93459.8</v>
      </c>
      <c r="BV9" s="909">
        <v>9330.31</v>
      </c>
      <c r="BW9" s="910">
        <v>0</v>
      </c>
      <c r="BX9" s="910">
        <v>6422.06</v>
      </c>
      <c r="BY9" s="910">
        <v>2889.51</v>
      </c>
      <c r="BZ9" s="910">
        <v>-0.06</v>
      </c>
      <c r="CA9" s="911">
        <v>18641.82</v>
      </c>
      <c r="CB9" s="912"/>
      <c r="CC9" s="913"/>
      <c r="CD9" s="913"/>
      <c r="CE9" s="913"/>
      <c r="CF9" s="913"/>
      <c r="CG9" s="914"/>
      <c r="CH9" s="912"/>
      <c r="CI9" s="913"/>
      <c r="CJ9" s="913"/>
      <c r="CK9" s="913"/>
      <c r="CL9" s="913"/>
      <c r="CM9" s="914"/>
      <c r="CN9" s="909">
        <v>13435.6</v>
      </c>
      <c r="CO9" s="910">
        <v>0</v>
      </c>
      <c r="CP9" s="910">
        <v>0</v>
      </c>
      <c r="CQ9" s="910">
        <v>0</v>
      </c>
      <c r="CR9" s="910">
        <v>0</v>
      </c>
      <c r="CS9" s="911">
        <v>13435.6</v>
      </c>
      <c r="CT9" s="909">
        <v>3599.87</v>
      </c>
      <c r="CU9" s="910">
        <v>103</v>
      </c>
      <c r="CV9" s="910">
        <v>2997.57</v>
      </c>
      <c r="CW9" s="910">
        <v>352.65</v>
      </c>
      <c r="CX9" s="910">
        <v>-0.09</v>
      </c>
      <c r="CY9" s="911">
        <v>7053</v>
      </c>
      <c r="CZ9" s="909">
        <v>8116.7</v>
      </c>
      <c r="DA9" s="910">
        <v>1459.1</v>
      </c>
      <c r="DB9" s="910">
        <v>0</v>
      </c>
      <c r="DC9" s="910">
        <v>0</v>
      </c>
      <c r="DD9" s="910">
        <v>0</v>
      </c>
      <c r="DE9" s="911">
        <v>9575.7999999999993</v>
      </c>
      <c r="DF9" s="909">
        <v>4125</v>
      </c>
      <c r="DG9" s="910">
        <v>0</v>
      </c>
      <c r="DH9" s="910">
        <v>2846.26</v>
      </c>
      <c r="DI9" s="910">
        <v>1278.76</v>
      </c>
      <c r="DJ9" s="910">
        <v>-0.02</v>
      </c>
      <c r="DK9" s="911">
        <v>8250</v>
      </c>
      <c r="DL9" s="909">
        <v>1059.07</v>
      </c>
      <c r="DM9" s="910">
        <v>0</v>
      </c>
      <c r="DN9" s="910">
        <v>6.3</v>
      </c>
      <c r="DO9" s="910">
        <v>195.42</v>
      </c>
      <c r="DP9" s="910">
        <v>0.01</v>
      </c>
      <c r="DQ9" s="911">
        <v>1260.8</v>
      </c>
      <c r="DR9" s="912"/>
      <c r="DS9" s="913"/>
      <c r="DT9" s="913"/>
      <c r="DU9" s="913"/>
      <c r="DV9" s="913"/>
      <c r="DW9" s="914"/>
    </row>
    <row r="10" spans="1:127">
      <c r="A10" s="1107" t="s">
        <v>20</v>
      </c>
      <c r="B10" s="904" t="s">
        <v>21</v>
      </c>
      <c r="C10" s="905">
        <f t="shared" si="5"/>
        <v>370741.72000000003</v>
      </c>
      <c r="D10" s="906">
        <f t="shared" si="4"/>
        <v>75793.329999999987</v>
      </c>
      <c r="E10" s="907">
        <f t="shared" si="6"/>
        <v>27309.079999999994</v>
      </c>
      <c r="F10" s="908">
        <f t="shared" si="7"/>
        <v>26813.989999999994</v>
      </c>
      <c r="G10" s="907">
        <f t="shared" si="7"/>
        <v>495.09</v>
      </c>
      <c r="H10" s="912"/>
      <c r="I10" s="913"/>
      <c r="J10" s="913"/>
      <c r="K10" s="913"/>
      <c r="L10" s="913"/>
      <c r="M10" s="914"/>
      <c r="N10" s="909">
        <v>5908.22</v>
      </c>
      <c r="O10" s="910">
        <v>0</v>
      </c>
      <c r="P10" s="910">
        <v>0</v>
      </c>
      <c r="Q10" s="910">
        <v>1477.07</v>
      </c>
      <c r="R10" s="910">
        <v>0</v>
      </c>
      <c r="S10" s="911">
        <v>7385.29</v>
      </c>
      <c r="T10" s="909">
        <v>1951.54</v>
      </c>
      <c r="U10" s="910">
        <v>0</v>
      </c>
      <c r="V10" s="910">
        <v>11.61</v>
      </c>
      <c r="W10" s="910">
        <v>360.09</v>
      </c>
      <c r="X10" s="910">
        <v>0.02</v>
      </c>
      <c r="Y10" s="911">
        <v>2323.2600000000002</v>
      </c>
      <c r="Z10" s="915">
        <v>38855.42</v>
      </c>
      <c r="AA10" s="916">
        <v>0</v>
      </c>
      <c r="AB10" s="916">
        <v>0</v>
      </c>
      <c r="AC10" s="916">
        <v>9713.8799999999992</v>
      </c>
      <c r="AD10" s="916">
        <v>495.65</v>
      </c>
      <c r="AE10" s="917">
        <v>49064.95</v>
      </c>
      <c r="AF10" s="912"/>
      <c r="AG10" s="913"/>
      <c r="AH10" s="913"/>
      <c r="AI10" s="913"/>
      <c r="AJ10" s="913"/>
      <c r="AK10" s="914"/>
      <c r="AL10" s="909">
        <v>5936</v>
      </c>
      <c r="AM10" s="910">
        <v>0</v>
      </c>
      <c r="AN10" s="910">
        <v>1484</v>
      </c>
      <c r="AO10" s="910">
        <v>0</v>
      </c>
      <c r="AP10" s="910">
        <v>0</v>
      </c>
      <c r="AQ10" s="911">
        <v>7420</v>
      </c>
      <c r="AR10" s="909">
        <v>2382.33</v>
      </c>
      <c r="AS10" s="910">
        <v>0</v>
      </c>
      <c r="AT10" s="910">
        <v>595.59</v>
      </c>
      <c r="AU10" s="910">
        <v>0</v>
      </c>
      <c r="AV10" s="910">
        <v>0</v>
      </c>
      <c r="AW10" s="911">
        <v>2977.92</v>
      </c>
      <c r="AX10" s="912"/>
      <c r="AY10" s="913"/>
      <c r="AZ10" s="913"/>
      <c r="BA10" s="913"/>
      <c r="BB10" s="913"/>
      <c r="BC10" s="914"/>
      <c r="BD10" s="912"/>
      <c r="BE10" s="913"/>
      <c r="BF10" s="913"/>
      <c r="BG10" s="913"/>
      <c r="BH10" s="913"/>
      <c r="BI10" s="914"/>
      <c r="BJ10" s="909">
        <v>15174</v>
      </c>
      <c r="BK10" s="910">
        <v>0</v>
      </c>
      <c r="BL10" s="910">
        <v>1922.06</v>
      </c>
      <c r="BM10" s="910">
        <v>3135.98</v>
      </c>
      <c r="BN10" s="910">
        <v>-0.04</v>
      </c>
      <c r="BO10" s="911">
        <v>20232</v>
      </c>
      <c r="BP10" s="909">
        <v>54195.34</v>
      </c>
      <c r="BQ10" s="910">
        <v>2056.0100000000002</v>
      </c>
      <c r="BR10" s="910">
        <v>45536.83</v>
      </c>
      <c r="BS10" s="910">
        <v>5357.26</v>
      </c>
      <c r="BT10" s="910">
        <v>-0.28000000000000003</v>
      </c>
      <c r="BU10" s="911">
        <v>107145.16</v>
      </c>
      <c r="BV10" s="909">
        <v>8825.32</v>
      </c>
      <c r="BW10" s="910">
        <v>0</v>
      </c>
      <c r="BX10" s="910">
        <v>6031.41</v>
      </c>
      <c r="BY10" s="910">
        <v>2725.24</v>
      </c>
      <c r="BZ10" s="910">
        <v>-0.13</v>
      </c>
      <c r="CA10" s="911">
        <v>17581.84</v>
      </c>
      <c r="CB10" s="912"/>
      <c r="CC10" s="913"/>
      <c r="CD10" s="913"/>
      <c r="CE10" s="913"/>
      <c r="CF10" s="913"/>
      <c r="CG10" s="914"/>
      <c r="CH10" s="912"/>
      <c r="CI10" s="913"/>
      <c r="CJ10" s="913"/>
      <c r="CK10" s="913"/>
      <c r="CL10" s="913"/>
      <c r="CM10" s="914"/>
      <c r="CN10" s="909">
        <v>59103.35</v>
      </c>
      <c r="CO10" s="910">
        <v>0</v>
      </c>
      <c r="CP10" s="910">
        <v>0</v>
      </c>
      <c r="CQ10" s="910">
        <v>0</v>
      </c>
      <c r="CR10" s="910">
        <v>0</v>
      </c>
      <c r="CS10" s="911">
        <v>59103.35</v>
      </c>
      <c r="CT10" s="909">
        <v>20695.13</v>
      </c>
      <c r="CU10" s="910">
        <v>927</v>
      </c>
      <c r="CV10" s="910">
        <v>17503.64</v>
      </c>
      <c r="CW10" s="910">
        <v>2059.25</v>
      </c>
      <c r="CX10" s="910">
        <v>-0.1</v>
      </c>
      <c r="CY10" s="911">
        <v>41184.92</v>
      </c>
      <c r="CZ10" s="909">
        <v>127449.3</v>
      </c>
      <c r="DA10" s="910">
        <v>19168.3</v>
      </c>
      <c r="DB10" s="910">
        <v>0</v>
      </c>
      <c r="DC10" s="910">
        <v>0</v>
      </c>
      <c r="DD10" s="910">
        <v>0</v>
      </c>
      <c r="DE10" s="911">
        <v>146617.60000000001</v>
      </c>
      <c r="DF10" s="909">
        <v>3888.46</v>
      </c>
      <c r="DG10" s="910">
        <v>0</v>
      </c>
      <c r="DH10" s="910">
        <v>2683.04</v>
      </c>
      <c r="DI10" s="910">
        <v>1205.42</v>
      </c>
      <c r="DJ10" s="910">
        <v>-0.01</v>
      </c>
      <c r="DK10" s="911">
        <v>7776.91</v>
      </c>
      <c r="DL10" s="909">
        <v>4226</v>
      </c>
      <c r="DM10" s="910">
        <v>0</v>
      </c>
      <c r="DN10" s="910">
        <v>25.15</v>
      </c>
      <c r="DO10" s="910">
        <v>779.8</v>
      </c>
      <c r="DP10" s="910">
        <v>-0.02</v>
      </c>
      <c r="DQ10" s="911">
        <v>5030.93</v>
      </c>
      <c r="DR10" s="912"/>
      <c r="DS10" s="913"/>
      <c r="DT10" s="913"/>
      <c r="DU10" s="913"/>
      <c r="DV10" s="913"/>
      <c r="DW10" s="914"/>
    </row>
    <row r="11" spans="1:127">
      <c r="A11" s="1107" t="s">
        <v>22</v>
      </c>
      <c r="B11" s="904" t="s">
        <v>23</v>
      </c>
      <c r="C11" s="905">
        <f t="shared" si="5"/>
        <v>137035.61000000002</v>
      </c>
      <c r="D11" s="906">
        <f t="shared" si="4"/>
        <v>45569.770000000011</v>
      </c>
      <c r="E11" s="907">
        <f t="shared" si="6"/>
        <v>15694.019999999999</v>
      </c>
      <c r="F11" s="908">
        <f t="shared" si="7"/>
        <v>15694.409999999998</v>
      </c>
      <c r="G11" s="907">
        <f t="shared" si="7"/>
        <v>-0.39</v>
      </c>
      <c r="H11" s="912"/>
      <c r="I11" s="913"/>
      <c r="J11" s="913"/>
      <c r="K11" s="913"/>
      <c r="L11" s="913"/>
      <c r="M11" s="914"/>
      <c r="N11" s="912"/>
      <c r="O11" s="913"/>
      <c r="P11" s="913"/>
      <c r="Q11" s="913"/>
      <c r="R11" s="913"/>
      <c r="S11" s="914"/>
      <c r="T11" s="909">
        <v>1740.62</v>
      </c>
      <c r="U11" s="910">
        <v>0</v>
      </c>
      <c r="V11" s="910">
        <v>10.36</v>
      </c>
      <c r="W11" s="910">
        <v>321.19</v>
      </c>
      <c r="X11" s="910">
        <v>0</v>
      </c>
      <c r="Y11" s="911">
        <v>2072.17</v>
      </c>
      <c r="Z11" s="915">
        <v>1840.57</v>
      </c>
      <c r="AA11" s="916">
        <v>0</v>
      </c>
      <c r="AB11" s="916">
        <v>0</v>
      </c>
      <c r="AC11" s="916">
        <v>460.15</v>
      </c>
      <c r="AD11" s="916">
        <v>0</v>
      </c>
      <c r="AE11" s="917">
        <v>2300.7199999999998</v>
      </c>
      <c r="AF11" s="912"/>
      <c r="AG11" s="913"/>
      <c r="AH11" s="913"/>
      <c r="AI11" s="913"/>
      <c r="AJ11" s="913"/>
      <c r="AK11" s="914"/>
      <c r="AL11" s="909">
        <v>2483.7600000000002</v>
      </c>
      <c r="AM11" s="910">
        <v>0</v>
      </c>
      <c r="AN11" s="910">
        <v>620.94000000000005</v>
      </c>
      <c r="AO11" s="910">
        <v>0</v>
      </c>
      <c r="AP11" s="910">
        <v>0</v>
      </c>
      <c r="AQ11" s="911">
        <v>3104.7</v>
      </c>
      <c r="AR11" s="912"/>
      <c r="AS11" s="913"/>
      <c r="AT11" s="913"/>
      <c r="AU11" s="913"/>
      <c r="AV11" s="913"/>
      <c r="AW11" s="914"/>
      <c r="AX11" s="912"/>
      <c r="AY11" s="913"/>
      <c r="AZ11" s="913"/>
      <c r="BA11" s="913"/>
      <c r="BB11" s="913"/>
      <c r="BC11" s="914"/>
      <c r="BD11" s="912"/>
      <c r="BE11" s="913"/>
      <c r="BF11" s="913"/>
      <c r="BG11" s="913"/>
      <c r="BH11" s="913"/>
      <c r="BI11" s="914"/>
      <c r="BJ11" s="909">
        <v>11666.61</v>
      </c>
      <c r="BK11" s="910">
        <v>0</v>
      </c>
      <c r="BL11" s="910">
        <v>1477.78</v>
      </c>
      <c r="BM11" s="910">
        <v>2411.1</v>
      </c>
      <c r="BN11" s="910">
        <v>-0.01</v>
      </c>
      <c r="BO11" s="911">
        <v>15555.48</v>
      </c>
      <c r="BP11" s="909">
        <v>25760.32</v>
      </c>
      <c r="BQ11" s="910">
        <v>1050.29</v>
      </c>
      <c r="BR11" s="910">
        <v>21703.83</v>
      </c>
      <c r="BS11" s="910">
        <v>2553.42</v>
      </c>
      <c r="BT11" s="910">
        <v>-0.26</v>
      </c>
      <c r="BU11" s="911">
        <v>51067.6</v>
      </c>
      <c r="BV11" s="909">
        <v>28191.7</v>
      </c>
      <c r="BW11" s="910">
        <v>0</v>
      </c>
      <c r="BX11" s="910">
        <v>19137.490000000002</v>
      </c>
      <c r="BY11" s="910">
        <v>8681.69</v>
      </c>
      <c r="BZ11" s="910">
        <v>-0.06</v>
      </c>
      <c r="CA11" s="911">
        <v>56010.82</v>
      </c>
      <c r="CB11" s="912"/>
      <c r="CC11" s="913"/>
      <c r="CD11" s="913"/>
      <c r="CE11" s="913"/>
      <c r="CF11" s="913"/>
      <c r="CG11" s="914"/>
      <c r="CH11" s="912"/>
      <c r="CI11" s="913"/>
      <c r="CJ11" s="913"/>
      <c r="CK11" s="913"/>
      <c r="CL11" s="913"/>
      <c r="CM11" s="914"/>
      <c r="CN11" s="912"/>
      <c r="CO11" s="913"/>
      <c r="CP11" s="913"/>
      <c r="CQ11" s="913"/>
      <c r="CR11" s="913"/>
      <c r="CS11" s="914"/>
      <c r="CT11" s="909">
        <v>66.94</v>
      </c>
      <c r="CU11" s="910">
        <v>0</v>
      </c>
      <c r="CV11" s="910">
        <v>54.19</v>
      </c>
      <c r="CW11" s="910">
        <v>6.38</v>
      </c>
      <c r="CX11" s="910">
        <v>-0.01</v>
      </c>
      <c r="CY11" s="911">
        <v>127.5</v>
      </c>
      <c r="CZ11" s="909">
        <v>51918.95</v>
      </c>
      <c r="DA11" s="910">
        <v>8009.45</v>
      </c>
      <c r="DB11" s="910">
        <v>0</v>
      </c>
      <c r="DC11" s="910">
        <v>0</v>
      </c>
      <c r="DD11" s="910">
        <v>0</v>
      </c>
      <c r="DE11" s="911">
        <v>59928.4</v>
      </c>
      <c r="DF11" s="909">
        <v>3712.52</v>
      </c>
      <c r="DG11" s="910">
        <v>0</v>
      </c>
      <c r="DH11" s="910">
        <v>2561.64</v>
      </c>
      <c r="DI11" s="910">
        <v>1150.8900000000001</v>
      </c>
      <c r="DJ11" s="910">
        <v>-0.05</v>
      </c>
      <c r="DK11" s="911">
        <v>7425</v>
      </c>
      <c r="DL11" s="909">
        <v>593.88</v>
      </c>
      <c r="DM11" s="910">
        <v>0</v>
      </c>
      <c r="DN11" s="910">
        <v>3.54</v>
      </c>
      <c r="DO11" s="910">
        <v>109.59</v>
      </c>
      <c r="DP11" s="910">
        <v>0</v>
      </c>
      <c r="DQ11" s="911">
        <v>707.01</v>
      </c>
      <c r="DR11" s="912"/>
      <c r="DS11" s="913"/>
      <c r="DT11" s="913"/>
      <c r="DU11" s="913"/>
      <c r="DV11" s="913"/>
      <c r="DW11" s="914"/>
    </row>
    <row r="12" spans="1:127">
      <c r="A12" s="1107" t="s">
        <v>24</v>
      </c>
      <c r="B12" s="904" t="s">
        <v>25</v>
      </c>
      <c r="C12" s="905">
        <f t="shared" si="5"/>
        <v>2923042.08</v>
      </c>
      <c r="D12" s="906">
        <f t="shared" si="4"/>
        <v>554510.08000000007</v>
      </c>
      <c r="E12" s="907">
        <f t="shared" si="6"/>
        <v>639735.37000000011</v>
      </c>
      <c r="F12" s="908">
        <f t="shared" si="7"/>
        <v>247156.68000000002</v>
      </c>
      <c r="G12" s="907">
        <f t="shared" si="7"/>
        <v>392578.69000000006</v>
      </c>
      <c r="H12" s="912"/>
      <c r="I12" s="913"/>
      <c r="J12" s="913"/>
      <c r="K12" s="913"/>
      <c r="L12" s="913"/>
      <c r="M12" s="914"/>
      <c r="N12" s="909">
        <v>328571.95</v>
      </c>
      <c r="O12" s="910">
        <v>0</v>
      </c>
      <c r="P12" s="910">
        <v>0</v>
      </c>
      <c r="Q12" s="910">
        <v>82142.98</v>
      </c>
      <c r="R12" s="910">
        <v>215998.84</v>
      </c>
      <c r="S12" s="911">
        <v>626713.77</v>
      </c>
      <c r="T12" s="909">
        <v>12203.52</v>
      </c>
      <c r="U12" s="910">
        <v>0</v>
      </c>
      <c r="V12" s="910">
        <v>72.650000000000006</v>
      </c>
      <c r="W12" s="910">
        <v>2251.85</v>
      </c>
      <c r="X12" s="910">
        <v>3523.75</v>
      </c>
      <c r="Y12" s="911">
        <v>18051.77</v>
      </c>
      <c r="Z12" s="915">
        <v>244400.3</v>
      </c>
      <c r="AA12" s="916">
        <v>0</v>
      </c>
      <c r="AB12" s="916">
        <v>0</v>
      </c>
      <c r="AC12" s="916">
        <v>61100.08</v>
      </c>
      <c r="AD12" s="916">
        <v>160642.34</v>
      </c>
      <c r="AE12" s="917">
        <v>466142.71999999997</v>
      </c>
      <c r="AF12" s="909">
        <v>10152.15</v>
      </c>
      <c r="AG12" s="910">
        <v>0</v>
      </c>
      <c r="AH12" s="910">
        <v>4007.54</v>
      </c>
      <c r="AI12" s="910">
        <v>2597.37</v>
      </c>
      <c r="AJ12" s="910">
        <v>-0.06</v>
      </c>
      <c r="AK12" s="911">
        <v>16757</v>
      </c>
      <c r="AL12" s="909">
        <v>38473.93</v>
      </c>
      <c r="AM12" s="910">
        <v>0</v>
      </c>
      <c r="AN12" s="910">
        <v>9618.48</v>
      </c>
      <c r="AO12" s="910">
        <v>0</v>
      </c>
      <c r="AP12" s="910">
        <v>0</v>
      </c>
      <c r="AQ12" s="911">
        <v>48092.41</v>
      </c>
      <c r="AR12" s="909">
        <v>16122.15</v>
      </c>
      <c r="AS12" s="910">
        <v>0</v>
      </c>
      <c r="AT12" s="910">
        <v>4030.55</v>
      </c>
      <c r="AU12" s="910">
        <v>0</v>
      </c>
      <c r="AV12" s="910">
        <v>0</v>
      </c>
      <c r="AW12" s="911">
        <v>20152.7</v>
      </c>
      <c r="AX12" s="909">
        <v>0</v>
      </c>
      <c r="AY12" s="910">
        <v>0</v>
      </c>
      <c r="AZ12" s="910">
        <v>0</v>
      </c>
      <c r="BA12" s="910">
        <v>0</v>
      </c>
      <c r="BB12" s="910">
        <v>1359.86</v>
      </c>
      <c r="BC12" s="911">
        <v>1359.86</v>
      </c>
      <c r="BD12" s="909">
        <v>374.22</v>
      </c>
      <c r="BE12" s="910">
        <v>0</v>
      </c>
      <c r="BF12" s="910">
        <v>4730.78</v>
      </c>
      <c r="BG12" s="910">
        <v>0</v>
      </c>
      <c r="BH12" s="910">
        <v>0</v>
      </c>
      <c r="BI12" s="911">
        <v>5105</v>
      </c>
      <c r="BJ12" s="909">
        <v>9801.4699999999993</v>
      </c>
      <c r="BK12" s="910">
        <v>0</v>
      </c>
      <c r="BL12" s="910">
        <v>1241.54</v>
      </c>
      <c r="BM12" s="910">
        <v>2025.63</v>
      </c>
      <c r="BN12" s="910">
        <v>11054.49</v>
      </c>
      <c r="BO12" s="911">
        <v>24123.13</v>
      </c>
      <c r="BP12" s="909">
        <v>363992.66</v>
      </c>
      <c r="BQ12" s="910">
        <v>8945.76</v>
      </c>
      <c r="BR12" s="910">
        <v>301902.59000000003</v>
      </c>
      <c r="BS12" s="910">
        <v>35517.97</v>
      </c>
      <c r="BT12" s="910">
        <v>-0.28999999999999998</v>
      </c>
      <c r="BU12" s="911">
        <v>710358.69</v>
      </c>
      <c r="BV12" s="909">
        <v>35742.230000000003</v>
      </c>
      <c r="BW12" s="910">
        <v>0</v>
      </c>
      <c r="BX12" s="910">
        <v>20589.89</v>
      </c>
      <c r="BY12" s="910">
        <v>10333.16</v>
      </c>
      <c r="BZ12" s="910">
        <v>-0.11</v>
      </c>
      <c r="CA12" s="911">
        <v>66665.17</v>
      </c>
      <c r="CB12" s="909">
        <v>11353.91</v>
      </c>
      <c r="CC12" s="910">
        <v>0</v>
      </c>
      <c r="CD12" s="910">
        <v>0</v>
      </c>
      <c r="CE12" s="910">
        <v>19583.189999999999</v>
      </c>
      <c r="CF12" s="910">
        <v>0</v>
      </c>
      <c r="CG12" s="911">
        <v>30937.1</v>
      </c>
      <c r="CH12" s="909">
        <v>782.91</v>
      </c>
      <c r="CI12" s="910">
        <v>0</v>
      </c>
      <c r="CJ12" s="910">
        <v>0</v>
      </c>
      <c r="CK12" s="910">
        <v>2412.64</v>
      </c>
      <c r="CL12" s="910">
        <v>0</v>
      </c>
      <c r="CM12" s="911">
        <v>3195.55</v>
      </c>
      <c r="CN12" s="909">
        <v>409348.41</v>
      </c>
      <c r="CO12" s="910">
        <v>0</v>
      </c>
      <c r="CP12" s="910">
        <v>0</v>
      </c>
      <c r="CQ12" s="910">
        <v>0</v>
      </c>
      <c r="CR12" s="910">
        <v>0</v>
      </c>
      <c r="CS12" s="911">
        <v>409348.41</v>
      </c>
      <c r="CT12" s="909">
        <v>247594.01</v>
      </c>
      <c r="CU12" s="910">
        <v>0</v>
      </c>
      <c r="CV12" s="910">
        <v>200433.25</v>
      </c>
      <c r="CW12" s="910">
        <v>23580.38</v>
      </c>
      <c r="CX12" s="910">
        <v>-0.04</v>
      </c>
      <c r="CY12" s="911">
        <v>471607.6</v>
      </c>
      <c r="CZ12" s="909">
        <v>1002473.92</v>
      </c>
      <c r="DA12" s="910">
        <v>160000.12</v>
      </c>
      <c r="DB12" s="910">
        <v>0</v>
      </c>
      <c r="DC12" s="910">
        <v>0</v>
      </c>
      <c r="DD12" s="910">
        <v>-0.04</v>
      </c>
      <c r="DE12" s="911">
        <v>1162474</v>
      </c>
      <c r="DF12" s="909">
        <v>11326.17</v>
      </c>
      <c r="DG12" s="910">
        <v>0</v>
      </c>
      <c r="DH12" s="910">
        <v>7815.05</v>
      </c>
      <c r="DI12" s="910">
        <v>3511.12</v>
      </c>
      <c r="DJ12" s="910">
        <v>-0.05</v>
      </c>
      <c r="DK12" s="911">
        <v>22652.29</v>
      </c>
      <c r="DL12" s="909">
        <v>11382.29</v>
      </c>
      <c r="DM12" s="910">
        <v>0</v>
      </c>
      <c r="DN12" s="910">
        <v>67.760000000000005</v>
      </c>
      <c r="DO12" s="910">
        <v>2100.31</v>
      </c>
      <c r="DP12" s="910">
        <v>0</v>
      </c>
      <c r="DQ12" s="911">
        <v>13550.36</v>
      </c>
      <c r="DR12" s="912"/>
      <c r="DS12" s="913"/>
      <c r="DT12" s="913"/>
      <c r="DU12" s="913"/>
      <c r="DV12" s="913"/>
      <c r="DW12" s="914"/>
    </row>
    <row r="13" spans="1:127">
      <c r="A13" s="1107" t="s">
        <v>26</v>
      </c>
      <c r="B13" s="904" t="s">
        <v>1114</v>
      </c>
      <c r="C13" s="905">
        <f t="shared" si="5"/>
        <v>1223783.6499999999</v>
      </c>
      <c r="D13" s="906">
        <f t="shared" si="4"/>
        <v>469347.71000000008</v>
      </c>
      <c r="E13" s="907">
        <f t="shared" si="6"/>
        <v>134157.28</v>
      </c>
      <c r="F13" s="908">
        <f t="shared" si="7"/>
        <v>134152.17000000001</v>
      </c>
      <c r="G13" s="907">
        <f t="shared" si="7"/>
        <v>5.1100000000000012</v>
      </c>
      <c r="H13" s="909">
        <v>0</v>
      </c>
      <c r="I13" s="910">
        <v>0</v>
      </c>
      <c r="J13" s="910">
        <v>1437.5</v>
      </c>
      <c r="K13" s="910">
        <v>0</v>
      </c>
      <c r="L13" s="910">
        <v>0</v>
      </c>
      <c r="M13" s="911">
        <v>1437.5</v>
      </c>
      <c r="N13" s="909">
        <v>7120.1</v>
      </c>
      <c r="O13" s="910">
        <v>0</v>
      </c>
      <c r="P13" s="910">
        <v>0</v>
      </c>
      <c r="Q13" s="910">
        <v>1780.03</v>
      </c>
      <c r="R13" s="910">
        <v>0</v>
      </c>
      <c r="S13" s="911">
        <v>8900.1299999999992</v>
      </c>
      <c r="T13" s="909">
        <v>12111.3</v>
      </c>
      <c r="U13" s="910">
        <v>0</v>
      </c>
      <c r="V13" s="910">
        <v>72.11</v>
      </c>
      <c r="W13" s="910">
        <v>2234.84</v>
      </c>
      <c r="X13" s="910">
        <v>-0.04</v>
      </c>
      <c r="Y13" s="911">
        <v>14418.21</v>
      </c>
      <c r="Z13" s="915">
        <v>45122.79</v>
      </c>
      <c r="AA13" s="916">
        <v>0</v>
      </c>
      <c r="AB13" s="916">
        <v>0</v>
      </c>
      <c r="AC13" s="916">
        <v>11280.69</v>
      </c>
      <c r="AD13" s="916">
        <v>6.65</v>
      </c>
      <c r="AE13" s="917">
        <v>56410.13</v>
      </c>
      <c r="AF13" s="912"/>
      <c r="AG13" s="913"/>
      <c r="AH13" s="913"/>
      <c r="AI13" s="913"/>
      <c r="AJ13" s="913"/>
      <c r="AK13" s="914"/>
      <c r="AL13" s="909">
        <v>9420.3799999999992</v>
      </c>
      <c r="AM13" s="910">
        <v>0</v>
      </c>
      <c r="AN13" s="910">
        <v>2355.09</v>
      </c>
      <c r="AO13" s="910">
        <v>0</v>
      </c>
      <c r="AP13" s="910">
        <v>0</v>
      </c>
      <c r="AQ13" s="911">
        <v>11775.47</v>
      </c>
      <c r="AR13" s="909">
        <v>12728.81</v>
      </c>
      <c r="AS13" s="910">
        <v>0</v>
      </c>
      <c r="AT13" s="910">
        <v>3182.19</v>
      </c>
      <c r="AU13" s="910">
        <v>0</v>
      </c>
      <c r="AV13" s="910">
        <v>0</v>
      </c>
      <c r="AW13" s="911">
        <v>15911</v>
      </c>
      <c r="AX13" s="912"/>
      <c r="AY13" s="913"/>
      <c r="AZ13" s="913"/>
      <c r="BA13" s="913"/>
      <c r="BB13" s="913"/>
      <c r="BC13" s="914"/>
      <c r="BD13" s="909">
        <v>1370.29</v>
      </c>
      <c r="BE13" s="910">
        <v>0</v>
      </c>
      <c r="BF13" s="910">
        <v>4659.5200000000004</v>
      </c>
      <c r="BG13" s="910">
        <v>0</v>
      </c>
      <c r="BH13" s="910">
        <v>-0.01</v>
      </c>
      <c r="BI13" s="911">
        <v>6029.8</v>
      </c>
      <c r="BJ13" s="909">
        <v>20487.61</v>
      </c>
      <c r="BK13" s="910">
        <v>0</v>
      </c>
      <c r="BL13" s="910">
        <v>2595.11</v>
      </c>
      <c r="BM13" s="910">
        <v>4234.12</v>
      </c>
      <c r="BN13" s="910">
        <v>-0.09</v>
      </c>
      <c r="BO13" s="911">
        <v>27316.75</v>
      </c>
      <c r="BP13" s="909">
        <v>340799.03</v>
      </c>
      <c r="BQ13" s="910">
        <v>11954.23</v>
      </c>
      <c r="BR13" s="910">
        <v>285562.27</v>
      </c>
      <c r="BS13" s="910">
        <v>33595.49</v>
      </c>
      <c r="BT13" s="910">
        <v>-1.1599999999999999</v>
      </c>
      <c r="BU13" s="911">
        <v>671909.86</v>
      </c>
      <c r="BV13" s="909">
        <v>236626.16</v>
      </c>
      <c r="BW13" s="910">
        <v>0</v>
      </c>
      <c r="BX13" s="910">
        <v>159437.75</v>
      </c>
      <c r="BY13" s="910">
        <v>72650.720000000001</v>
      </c>
      <c r="BZ13" s="910">
        <v>-0.1</v>
      </c>
      <c r="CA13" s="911">
        <v>468714.53</v>
      </c>
      <c r="CB13" s="909">
        <v>2390.3200000000002</v>
      </c>
      <c r="CC13" s="910">
        <v>0</v>
      </c>
      <c r="CD13" s="910">
        <v>0</v>
      </c>
      <c r="CE13" s="910">
        <v>4122.79</v>
      </c>
      <c r="CF13" s="910">
        <v>-0.01</v>
      </c>
      <c r="CG13" s="911">
        <v>6513.1</v>
      </c>
      <c r="CH13" s="912"/>
      <c r="CI13" s="913"/>
      <c r="CJ13" s="913"/>
      <c r="CK13" s="913"/>
      <c r="CL13" s="913"/>
      <c r="CM13" s="914"/>
      <c r="CN13" s="909">
        <v>26748</v>
      </c>
      <c r="CO13" s="910">
        <v>0</v>
      </c>
      <c r="CP13" s="910">
        <v>0</v>
      </c>
      <c r="CQ13" s="910">
        <v>0</v>
      </c>
      <c r="CR13" s="910">
        <v>0</v>
      </c>
      <c r="CS13" s="911">
        <v>26748</v>
      </c>
      <c r="CT13" s="909">
        <v>3794.59</v>
      </c>
      <c r="CU13" s="910">
        <v>114.05</v>
      </c>
      <c r="CV13" s="910">
        <v>3164.14</v>
      </c>
      <c r="CW13" s="910">
        <v>372.25</v>
      </c>
      <c r="CX13" s="910">
        <v>-0.03</v>
      </c>
      <c r="CY13" s="911">
        <v>7445</v>
      </c>
      <c r="CZ13" s="909">
        <v>410087.72</v>
      </c>
      <c r="DA13" s="910">
        <v>68631.399999999994</v>
      </c>
      <c r="DB13" s="910">
        <v>0</v>
      </c>
      <c r="DC13" s="910">
        <v>0</v>
      </c>
      <c r="DD13" s="910">
        <v>-0.01</v>
      </c>
      <c r="DE13" s="911">
        <v>478719.11</v>
      </c>
      <c r="DF13" s="909">
        <v>9936.58</v>
      </c>
      <c r="DG13" s="910">
        <v>0</v>
      </c>
      <c r="DH13" s="910">
        <v>6856.2</v>
      </c>
      <c r="DI13" s="910">
        <v>3080.35</v>
      </c>
      <c r="DJ13" s="910">
        <v>-0.08</v>
      </c>
      <c r="DK13" s="911">
        <v>19873.05</v>
      </c>
      <c r="DL13" s="909">
        <v>4340.29</v>
      </c>
      <c r="DM13" s="910">
        <v>0</v>
      </c>
      <c r="DN13" s="910">
        <v>25.83</v>
      </c>
      <c r="DO13" s="910">
        <v>800.89</v>
      </c>
      <c r="DP13" s="910">
        <v>-0.01</v>
      </c>
      <c r="DQ13" s="911">
        <v>5167</v>
      </c>
      <c r="DR13" s="912"/>
      <c r="DS13" s="913"/>
      <c r="DT13" s="913"/>
      <c r="DU13" s="913"/>
      <c r="DV13" s="913"/>
      <c r="DW13" s="914"/>
    </row>
    <row r="14" spans="1:127">
      <c r="A14" s="1107" t="s">
        <v>27</v>
      </c>
      <c r="B14" s="904" t="s">
        <v>28</v>
      </c>
      <c r="C14" s="905">
        <f t="shared" si="5"/>
        <v>14237.639999999998</v>
      </c>
      <c r="D14" s="906">
        <f t="shared" si="4"/>
        <v>1657.39</v>
      </c>
      <c r="E14" s="907">
        <f t="shared" si="6"/>
        <v>2760.6099999999997</v>
      </c>
      <c r="F14" s="908">
        <f t="shared" si="7"/>
        <v>2760.62</v>
      </c>
      <c r="G14" s="907">
        <f t="shared" si="7"/>
        <v>-0.01</v>
      </c>
      <c r="H14" s="912"/>
      <c r="I14" s="913"/>
      <c r="J14" s="913"/>
      <c r="K14" s="913"/>
      <c r="L14" s="913"/>
      <c r="M14" s="914"/>
      <c r="N14" s="909">
        <v>2398.52</v>
      </c>
      <c r="O14" s="910">
        <v>0</v>
      </c>
      <c r="P14" s="910">
        <v>0</v>
      </c>
      <c r="Q14" s="910">
        <v>599.63</v>
      </c>
      <c r="R14" s="910">
        <v>0</v>
      </c>
      <c r="S14" s="911">
        <v>2998.15</v>
      </c>
      <c r="T14" s="909">
        <v>49.24</v>
      </c>
      <c r="U14" s="910">
        <v>0</v>
      </c>
      <c r="V14" s="910">
        <v>0.28999999999999998</v>
      </c>
      <c r="W14" s="910">
        <v>9.09</v>
      </c>
      <c r="X14" s="910">
        <v>0</v>
      </c>
      <c r="Y14" s="911">
        <v>58.62</v>
      </c>
      <c r="Z14" s="915">
        <v>5318.14</v>
      </c>
      <c r="AA14" s="916">
        <v>0</v>
      </c>
      <c r="AB14" s="916">
        <v>0</v>
      </c>
      <c r="AC14" s="916">
        <v>1329.53</v>
      </c>
      <c r="AD14" s="916">
        <v>0</v>
      </c>
      <c r="AE14" s="917">
        <v>6647.67</v>
      </c>
      <c r="AF14" s="912"/>
      <c r="AG14" s="913"/>
      <c r="AH14" s="913"/>
      <c r="AI14" s="913"/>
      <c r="AJ14" s="913"/>
      <c r="AK14" s="914"/>
      <c r="AL14" s="912"/>
      <c r="AM14" s="913"/>
      <c r="AN14" s="913"/>
      <c r="AO14" s="913"/>
      <c r="AP14" s="913"/>
      <c r="AQ14" s="914"/>
      <c r="AR14" s="912"/>
      <c r="AS14" s="913"/>
      <c r="AT14" s="913"/>
      <c r="AU14" s="913"/>
      <c r="AV14" s="913"/>
      <c r="AW14" s="914"/>
      <c r="AX14" s="912"/>
      <c r="AY14" s="913"/>
      <c r="AZ14" s="913"/>
      <c r="BA14" s="913"/>
      <c r="BB14" s="913"/>
      <c r="BC14" s="914"/>
      <c r="BD14" s="912"/>
      <c r="BE14" s="913"/>
      <c r="BF14" s="913"/>
      <c r="BG14" s="913"/>
      <c r="BH14" s="913"/>
      <c r="BI14" s="914"/>
      <c r="BJ14" s="909">
        <v>3228.56</v>
      </c>
      <c r="BK14" s="910">
        <v>0</v>
      </c>
      <c r="BL14" s="910">
        <v>408.95</v>
      </c>
      <c r="BM14" s="910">
        <v>667.24</v>
      </c>
      <c r="BN14" s="910">
        <v>0</v>
      </c>
      <c r="BO14" s="911">
        <v>4304.75</v>
      </c>
      <c r="BP14" s="909">
        <v>1447.65</v>
      </c>
      <c r="BQ14" s="910">
        <v>63.3</v>
      </c>
      <c r="BR14" s="910">
        <v>1223.1500000000001</v>
      </c>
      <c r="BS14" s="910">
        <v>143.9</v>
      </c>
      <c r="BT14" s="910">
        <v>0</v>
      </c>
      <c r="BU14" s="911">
        <v>2878</v>
      </c>
      <c r="BV14" s="909">
        <v>36.229999999999997</v>
      </c>
      <c r="BW14" s="910">
        <v>0</v>
      </c>
      <c r="BX14" s="910">
        <v>25</v>
      </c>
      <c r="BY14" s="910">
        <v>11.23</v>
      </c>
      <c r="BZ14" s="910">
        <v>-0.01</v>
      </c>
      <c r="CA14" s="911">
        <v>72.45</v>
      </c>
      <c r="CB14" s="912"/>
      <c r="CC14" s="913"/>
      <c r="CD14" s="913"/>
      <c r="CE14" s="913"/>
      <c r="CF14" s="913"/>
      <c r="CG14" s="914"/>
      <c r="CH14" s="912"/>
      <c r="CI14" s="913"/>
      <c r="CJ14" s="913"/>
      <c r="CK14" s="913"/>
      <c r="CL14" s="913"/>
      <c r="CM14" s="914"/>
      <c r="CN14" s="912"/>
      <c r="CO14" s="913"/>
      <c r="CP14" s="913"/>
      <c r="CQ14" s="913"/>
      <c r="CR14" s="913"/>
      <c r="CS14" s="914"/>
      <c r="CT14" s="912"/>
      <c r="CU14" s="913"/>
      <c r="CV14" s="913"/>
      <c r="CW14" s="913"/>
      <c r="CX14" s="913"/>
      <c r="CY14" s="914"/>
      <c r="CZ14" s="909">
        <v>1415</v>
      </c>
      <c r="DA14" s="910">
        <v>281</v>
      </c>
      <c r="DB14" s="910">
        <v>0</v>
      </c>
      <c r="DC14" s="910">
        <v>0</v>
      </c>
      <c r="DD14" s="910">
        <v>0</v>
      </c>
      <c r="DE14" s="911">
        <v>1696</v>
      </c>
      <c r="DF14" s="912"/>
      <c r="DG14" s="913"/>
      <c r="DH14" s="913"/>
      <c r="DI14" s="913"/>
      <c r="DJ14" s="913"/>
      <c r="DK14" s="914"/>
      <c r="DL14" s="912"/>
      <c r="DM14" s="913"/>
      <c r="DN14" s="913"/>
      <c r="DO14" s="913"/>
      <c r="DP14" s="913"/>
      <c r="DQ14" s="914"/>
      <c r="DR14" s="912"/>
      <c r="DS14" s="913"/>
      <c r="DT14" s="913"/>
      <c r="DU14" s="913"/>
      <c r="DV14" s="913"/>
      <c r="DW14" s="914"/>
    </row>
    <row r="15" spans="1:127">
      <c r="A15" s="1107" t="s">
        <v>29</v>
      </c>
      <c r="B15" s="904" t="s">
        <v>386</v>
      </c>
      <c r="C15" s="905">
        <f t="shared" si="5"/>
        <v>514506.00000000006</v>
      </c>
      <c r="D15" s="906">
        <f t="shared" si="4"/>
        <v>120690.92999999998</v>
      </c>
      <c r="E15" s="907">
        <f t="shared" si="6"/>
        <v>48215.790000000008</v>
      </c>
      <c r="F15" s="908">
        <f t="shared" si="7"/>
        <v>48216.19000000001</v>
      </c>
      <c r="G15" s="907">
        <f t="shared" si="7"/>
        <v>-0.4</v>
      </c>
      <c r="H15" s="912"/>
      <c r="I15" s="913"/>
      <c r="J15" s="913"/>
      <c r="K15" s="913"/>
      <c r="L15" s="913"/>
      <c r="M15" s="914"/>
      <c r="N15" s="909">
        <v>2663.88</v>
      </c>
      <c r="O15" s="910">
        <v>0</v>
      </c>
      <c r="P15" s="910">
        <v>0</v>
      </c>
      <c r="Q15" s="910">
        <v>665.97</v>
      </c>
      <c r="R15" s="910">
        <v>0</v>
      </c>
      <c r="S15" s="911">
        <v>3329.85</v>
      </c>
      <c r="T15" s="909">
        <v>5779.45</v>
      </c>
      <c r="U15" s="910">
        <v>0</v>
      </c>
      <c r="V15" s="910">
        <v>34.409999999999997</v>
      </c>
      <c r="W15" s="910">
        <v>1066.45</v>
      </c>
      <c r="X15" s="910">
        <v>0.01</v>
      </c>
      <c r="Y15" s="911">
        <v>6880.32</v>
      </c>
      <c r="Z15" s="915">
        <v>26505.75</v>
      </c>
      <c r="AA15" s="916">
        <v>0</v>
      </c>
      <c r="AB15" s="916">
        <v>0</v>
      </c>
      <c r="AC15" s="916">
        <v>6626.47</v>
      </c>
      <c r="AD15" s="916">
        <v>0</v>
      </c>
      <c r="AE15" s="917">
        <v>33132.22</v>
      </c>
      <c r="AF15" s="912"/>
      <c r="AG15" s="913"/>
      <c r="AH15" s="913"/>
      <c r="AI15" s="913"/>
      <c r="AJ15" s="913"/>
      <c r="AK15" s="914"/>
      <c r="AL15" s="909">
        <v>12225.6</v>
      </c>
      <c r="AM15" s="910">
        <v>0</v>
      </c>
      <c r="AN15" s="910">
        <v>3056.4</v>
      </c>
      <c r="AO15" s="910">
        <v>0</v>
      </c>
      <c r="AP15" s="910">
        <v>0</v>
      </c>
      <c r="AQ15" s="911">
        <v>15282</v>
      </c>
      <c r="AR15" s="909">
        <v>9107.24</v>
      </c>
      <c r="AS15" s="910">
        <v>0</v>
      </c>
      <c r="AT15" s="910">
        <v>2276.81</v>
      </c>
      <c r="AU15" s="910">
        <v>0</v>
      </c>
      <c r="AV15" s="910">
        <v>0</v>
      </c>
      <c r="AW15" s="911">
        <v>11384.05</v>
      </c>
      <c r="AX15" s="912"/>
      <c r="AY15" s="913"/>
      <c r="AZ15" s="913"/>
      <c r="BA15" s="913"/>
      <c r="BB15" s="913"/>
      <c r="BC15" s="914"/>
      <c r="BD15" s="909">
        <v>622.72</v>
      </c>
      <c r="BE15" s="910">
        <v>0</v>
      </c>
      <c r="BF15" s="910">
        <v>2660.28</v>
      </c>
      <c r="BG15" s="910">
        <v>0</v>
      </c>
      <c r="BH15" s="910">
        <v>0</v>
      </c>
      <c r="BI15" s="911">
        <v>3283</v>
      </c>
      <c r="BJ15" s="909">
        <v>30000</v>
      </c>
      <c r="BK15" s="910">
        <v>0</v>
      </c>
      <c r="BL15" s="910">
        <v>3800.01</v>
      </c>
      <c r="BM15" s="910">
        <v>6200.01</v>
      </c>
      <c r="BN15" s="910">
        <v>-0.02</v>
      </c>
      <c r="BO15" s="911">
        <v>40000</v>
      </c>
      <c r="BP15" s="909">
        <v>85200.86</v>
      </c>
      <c r="BQ15" s="910">
        <v>3181.56</v>
      </c>
      <c r="BR15" s="910">
        <v>71547.7</v>
      </c>
      <c r="BS15" s="910">
        <v>8417.36</v>
      </c>
      <c r="BT15" s="910">
        <v>-0.28000000000000003</v>
      </c>
      <c r="BU15" s="911">
        <v>168347.2</v>
      </c>
      <c r="BV15" s="909">
        <v>79366.649999999994</v>
      </c>
      <c r="BW15" s="910">
        <v>0</v>
      </c>
      <c r="BX15" s="910">
        <v>34226.839999999997</v>
      </c>
      <c r="BY15" s="910">
        <v>20836.7</v>
      </c>
      <c r="BZ15" s="910">
        <v>-0.14000000000000001</v>
      </c>
      <c r="CA15" s="911">
        <v>134430.04999999999</v>
      </c>
      <c r="CB15" s="909">
        <v>1160.1400000000001</v>
      </c>
      <c r="CC15" s="910">
        <v>0</v>
      </c>
      <c r="CD15" s="910">
        <v>0</v>
      </c>
      <c r="CE15" s="910">
        <v>2001.05</v>
      </c>
      <c r="CF15" s="910">
        <v>0</v>
      </c>
      <c r="CG15" s="911">
        <v>3161.19</v>
      </c>
      <c r="CH15" s="912"/>
      <c r="CI15" s="913"/>
      <c r="CJ15" s="913"/>
      <c r="CK15" s="913"/>
      <c r="CL15" s="913"/>
      <c r="CM15" s="914"/>
      <c r="CN15" s="909">
        <v>12129.6</v>
      </c>
      <c r="CO15" s="910">
        <v>0</v>
      </c>
      <c r="CP15" s="910">
        <v>0</v>
      </c>
      <c r="CQ15" s="910">
        <v>0</v>
      </c>
      <c r="CR15" s="910">
        <v>0</v>
      </c>
      <c r="CS15" s="911">
        <v>12129.6</v>
      </c>
      <c r="CT15" s="909">
        <v>-3.87</v>
      </c>
      <c r="CU15" s="910">
        <v>-0.41</v>
      </c>
      <c r="CV15" s="910">
        <v>-3.46</v>
      </c>
      <c r="CW15" s="910">
        <v>-0.41</v>
      </c>
      <c r="CX15" s="910">
        <v>0.01</v>
      </c>
      <c r="CY15" s="911">
        <v>-8.14</v>
      </c>
      <c r="CZ15" s="909">
        <v>207557.45</v>
      </c>
      <c r="DA15" s="910">
        <v>29003.19</v>
      </c>
      <c r="DB15" s="910">
        <v>0</v>
      </c>
      <c r="DC15" s="910">
        <v>0</v>
      </c>
      <c r="DD15" s="910">
        <v>0.02</v>
      </c>
      <c r="DE15" s="911">
        <v>236560.66</v>
      </c>
      <c r="DF15" s="909">
        <v>4433.03</v>
      </c>
      <c r="DG15" s="910">
        <v>0</v>
      </c>
      <c r="DH15" s="910">
        <v>3058.76</v>
      </c>
      <c r="DI15" s="910">
        <v>1374.22</v>
      </c>
      <c r="DJ15" s="910">
        <v>-0.01</v>
      </c>
      <c r="DK15" s="911">
        <v>8866</v>
      </c>
      <c r="DL15" s="909">
        <v>5573.16</v>
      </c>
      <c r="DM15" s="910">
        <v>0</v>
      </c>
      <c r="DN15" s="910">
        <v>33.18</v>
      </c>
      <c r="DO15" s="910">
        <v>1028.3699999999999</v>
      </c>
      <c r="DP15" s="910">
        <v>0.01</v>
      </c>
      <c r="DQ15" s="911">
        <v>6634.72</v>
      </c>
      <c r="DR15" s="912"/>
      <c r="DS15" s="913"/>
      <c r="DT15" s="913"/>
      <c r="DU15" s="913"/>
      <c r="DV15" s="913"/>
      <c r="DW15" s="914"/>
    </row>
    <row r="16" spans="1:127">
      <c r="A16" s="1107" t="s">
        <v>31</v>
      </c>
      <c r="B16" s="904" t="s">
        <v>32</v>
      </c>
      <c r="C16" s="905">
        <f t="shared" si="5"/>
        <v>34905.9</v>
      </c>
      <c r="D16" s="906">
        <f t="shared" si="4"/>
        <v>7481.8899999999994</v>
      </c>
      <c r="E16" s="907">
        <f t="shared" si="6"/>
        <v>7677.880000000001</v>
      </c>
      <c r="F16" s="908">
        <f t="shared" si="7"/>
        <v>7644.7500000000009</v>
      </c>
      <c r="G16" s="907">
        <f t="shared" si="7"/>
        <v>33.130000000000003</v>
      </c>
      <c r="H16" s="912"/>
      <c r="I16" s="913"/>
      <c r="J16" s="913"/>
      <c r="K16" s="913"/>
      <c r="L16" s="913"/>
      <c r="M16" s="914"/>
      <c r="N16" s="909">
        <v>2378.33</v>
      </c>
      <c r="O16" s="910">
        <v>0</v>
      </c>
      <c r="P16" s="910">
        <v>0</v>
      </c>
      <c r="Q16" s="910">
        <v>594.6</v>
      </c>
      <c r="R16" s="910">
        <v>0</v>
      </c>
      <c r="S16" s="911">
        <v>2972.93</v>
      </c>
      <c r="T16" s="912"/>
      <c r="U16" s="913"/>
      <c r="V16" s="913"/>
      <c r="W16" s="913"/>
      <c r="X16" s="913"/>
      <c r="Y16" s="914"/>
      <c r="Z16" s="915">
        <v>14276.6</v>
      </c>
      <c r="AA16" s="916">
        <v>0</v>
      </c>
      <c r="AB16" s="916">
        <v>0</v>
      </c>
      <c r="AC16" s="916">
        <v>3569.12</v>
      </c>
      <c r="AD16" s="916">
        <v>0</v>
      </c>
      <c r="AE16" s="917">
        <v>17845.72</v>
      </c>
      <c r="AF16" s="912"/>
      <c r="AG16" s="913"/>
      <c r="AH16" s="913"/>
      <c r="AI16" s="913"/>
      <c r="AJ16" s="913"/>
      <c r="AK16" s="914"/>
      <c r="AL16" s="912"/>
      <c r="AM16" s="913"/>
      <c r="AN16" s="913"/>
      <c r="AO16" s="913"/>
      <c r="AP16" s="913"/>
      <c r="AQ16" s="914"/>
      <c r="AR16" s="909">
        <v>315.38</v>
      </c>
      <c r="AS16" s="910">
        <v>0</v>
      </c>
      <c r="AT16" s="910">
        <v>78.84</v>
      </c>
      <c r="AU16" s="910">
        <v>0</v>
      </c>
      <c r="AV16" s="910">
        <v>0</v>
      </c>
      <c r="AW16" s="911">
        <v>394.22</v>
      </c>
      <c r="AX16" s="912"/>
      <c r="AY16" s="913"/>
      <c r="AZ16" s="913"/>
      <c r="BA16" s="913"/>
      <c r="BB16" s="913"/>
      <c r="BC16" s="914"/>
      <c r="BD16" s="909">
        <v>71</v>
      </c>
      <c r="BE16" s="910">
        <v>0</v>
      </c>
      <c r="BF16" s="910">
        <v>770.74</v>
      </c>
      <c r="BG16" s="910">
        <v>0</v>
      </c>
      <c r="BH16" s="910">
        <v>33.200000000000003</v>
      </c>
      <c r="BI16" s="911">
        <v>874.94</v>
      </c>
      <c r="BJ16" s="909">
        <v>5472.08</v>
      </c>
      <c r="BK16" s="910">
        <v>0</v>
      </c>
      <c r="BL16" s="910">
        <v>693.15</v>
      </c>
      <c r="BM16" s="910">
        <v>1130.9000000000001</v>
      </c>
      <c r="BN16" s="910">
        <v>-0.04</v>
      </c>
      <c r="BO16" s="911">
        <v>7296.09</v>
      </c>
      <c r="BP16" s="909">
        <v>1242.45</v>
      </c>
      <c r="BQ16" s="910">
        <v>62.7</v>
      </c>
      <c r="BR16" s="910">
        <v>1056.55</v>
      </c>
      <c r="BS16" s="910">
        <v>124.3</v>
      </c>
      <c r="BT16" s="910">
        <v>0</v>
      </c>
      <c r="BU16" s="911">
        <v>2486</v>
      </c>
      <c r="BV16" s="909">
        <v>4467.6499999999996</v>
      </c>
      <c r="BW16" s="910">
        <v>0</v>
      </c>
      <c r="BX16" s="910">
        <v>3082.66</v>
      </c>
      <c r="BY16" s="910">
        <v>1384.97</v>
      </c>
      <c r="BZ16" s="910">
        <v>-0.03</v>
      </c>
      <c r="CA16" s="911">
        <v>8935.25</v>
      </c>
      <c r="CB16" s="912"/>
      <c r="CC16" s="913"/>
      <c r="CD16" s="913"/>
      <c r="CE16" s="913"/>
      <c r="CF16" s="913"/>
      <c r="CG16" s="914"/>
      <c r="CH16" s="912"/>
      <c r="CI16" s="913"/>
      <c r="CJ16" s="913"/>
      <c r="CK16" s="913"/>
      <c r="CL16" s="913"/>
      <c r="CM16" s="914"/>
      <c r="CN16" s="912"/>
      <c r="CO16" s="913"/>
      <c r="CP16" s="913"/>
      <c r="CQ16" s="913"/>
      <c r="CR16" s="913"/>
      <c r="CS16" s="914"/>
      <c r="CT16" s="909">
        <v>-126.25</v>
      </c>
      <c r="CU16" s="910">
        <v>-5</v>
      </c>
      <c r="CV16" s="910">
        <v>-106.25</v>
      </c>
      <c r="CW16" s="910">
        <v>-12.5</v>
      </c>
      <c r="CX16" s="910">
        <v>0</v>
      </c>
      <c r="CY16" s="911">
        <v>-250</v>
      </c>
      <c r="CZ16" s="909">
        <v>3910.5</v>
      </c>
      <c r="DA16" s="910">
        <v>94.5</v>
      </c>
      <c r="DB16" s="910">
        <v>0</v>
      </c>
      <c r="DC16" s="910">
        <v>0</v>
      </c>
      <c r="DD16" s="910">
        <v>0</v>
      </c>
      <c r="DE16" s="911">
        <v>4005</v>
      </c>
      <c r="DF16" s="909">
        <v>2762.76</v>
      </c>
      <c r="DG16" s="910">
        <v>0</v>
      </c>
      <c r="DH16" s="910">
        <v>1906.3</v>
      </c>
      <c r="DI16" s="910">
        <v>856.46</v>
      </c>
      <c r="DJ16" s="910">
        <v>0</v>
      </c>
      <c r="DK16" s="911">
        <v>5525.52</v>
      </c>
      <c r="DL16" s="909">
        <v>-16.8</v>
      </c>
      <c r="DM16" s="910">
        <v>0</v>
      </c>
      <c r="DN16" s="910">
        <v>-0.1</v>
      </c>
      <c r="DO16" s="910">
        <v>-3.1</v>
      </c>
      <c r="DP16" s="910">
        <v>0</v>
      </c>
      <c r="DQ16" s="911">
        <v>-20</v>
      </c>
      <c r="DR16" s="912"/>
      <c r="DS16" s="913"/>
      <c r="DT16" s="913"/>
      <c r="DU16" s="913"/>
      <c r="DV16" s="913"/>
      <c r="DW16" s="914"/>
    </row>
    <row r="17" spans="1:127">
      <c r="A17" s="1107" t="s">
        <v>33</v>
      </c>
      <c r="B17" s="904" t="s">
        <v>34</v>
      </c>
      <c r="C17" s="905">
        <f t="shared" si="5"/>
        <v>274756.7</v>
      </c>
      <c r="D17" s="906">
        <f t="shared" si="4"/>
        <v>75211.3</v>
      </c>
      <c r="E17" s="907">
        <f t="shared" si="6"/>
        <v>23260.21</v>
      </c>
      <c r="F17" s="908">
        <f t="shared" si="7"/>
        <v>23260.54</v>
      </c>
      <c r="G17" s="907">
        <f t="shared" si="7"/>
        <v>-0.32999999999999996</v>
      </c>
      <c r="H17" s="912"/>
      <c r="I17" s="913"/>
      <c r="J17" s="913"/>
      <c r="K17" s="913"/>
      <c r="L17" s="913"/>
      <c r="M17" s="914"/>
      <c r="N17" s="909">
        <v>10211.299999999999</v>
      </c>
      <c r="O17" s="910">
        <v>0</v>
      </c>
      <c r="P17" s="910">
        <v>0</v>
      </c>
      <c r="Q17" s="910">
        <v>2552.84</v>
      </c>
      <c r="R17" s="910">
        <v>0</v>
      </c>
      <c r="S17" s="911">
        <v>12764.14</v>
      </c>
      <c r="T17" s="909">
        <v>2478.7600000000002</v>
      </c>
      <c r="U17" s="910">
        <v>0</v>
      </c>
      <c r="V17" s="910">
        <v>14.76</v>
      </c>
      <c r="W17" s="910">
        <v>457.39</v>
      </c>
      <c r="X17" s="910">
        <v>-0.01</v>
      </c>
      <c r="Y17" s="911">
        <v>2950.9</v>
      </c>
      <c r="Z17" s="915">
        <v>27331.87</v>
      </c>
      <c r="AA17" s="916">
        <v>0</v>
      </c>
      <c r="AB17" s="916">
        <v>0</v>
      </c>
      <c r="AC17" s="916">
        <v>6833.03</v>
      </c>
      <c r="AD17" s="916">
        <v>0</v>
      </c>
      <c r="AE17" s="917">
        <v>34164.9</v>
      </c>
      <c r="AF17" s="912"/>
      <c r="AG17" s="913"/>
      <c r="AH17" s="913"/>
      <c r="AI17" s="913"/>
      <c r="AJ17" s="913"/>
      <c r="AK17" s="914"/>
      <c r="AL17" s="909">
        <v>1408.47</v>
      </c>
      <c r="AM17" s="910">
        <v>0</v>
      </c>
      <c r="AN17" s="910">
        <v>352.12</v>
      </c>
      <c r="AO17" s="910">
        <v>0</v>
      </c>
      <c r="AP17" s="910">
        <v>0</v>
      </c>
      <c r="AQ17" s="911">
        <v>1760.59</v>
      </c>
      <c r="AR17" s="909">
        <v>2626.01</v>
      </c>
      <c r="AS17" s="910">
        <v>0</v>
      </c>
      <c r="AT17" s="910">
        <v>656.5</v>
      </c>
      <c r="AU17" s="910">
        <v>0</v>
      </c>
      <c r="AV17" s="910">
        <v>0</v>
      </c>
      <c r="AW17" s="911">
        <v>3282.51</v>
      </c>
      <c r="AX17" s="912"/>
      <c r="AY17" s="913"/>
      <c r="AZ17" s="913"/>
      <c r="BA17" s="913"/>
      <c r="BB17" s="913"/>
      <c r="BC17" s="914"/>
      <c r="BD17" s="912"/>
      <c r="BE17" s="913"/>
      <c r="BF17" s="913"/>
      <c r="BG17" s="913"/>
      <c r="BH17" s="913"/>
      <c r="BI17" s="914"/>
      <c r="BJ17" s="909">
        <v>11374.45</v>
      </c>
      <c r="BK17" s="910">
        <v>0</v>
      </c>
      <c r="BL17" s="910">
        <v>1440.75</v>
      </c>
      <c r="BM17" s="910">
        <v>2350.73</v>
      </c>
      <c r="BN17" s="910">
        <v>-0.02</v>
      </c>
      <c r="BO17" s="911">
        <v>15165.91</v>
      </c>
      <c r="BP17" s="909">
        <v>49377.35</v>
      </c>
      <c r="BQ17" s="910">
        <v>1489.78</v>
      </c>
      <c r="BR17" s="910">
        <v>41178.17</v>
      </c>
      <c r="BS17" s="910">
        <v>4844.4799999999996</v>
      </c>
      <c r="BT17" s="910">
        <v>-0.18</v>
      </c>
      <c r="BU17" s="911">
        <v>96889.600000000006</v>
      </c>
      <c r="BV17" s="909">
        <v>2598.75</v>
      </c>
      <c r="BW17" s="910">
        <v>0</v>
      </c>
      <c r="BX17" s="910">
        <v>1641.31</v>
      </c>
      <c r="BY17" s="910">
        <v>777.79</v>
      </c>
      <c r="BZ17" s="910">
        <v>-0.04</v>
      </c>
      <c r="CA17" s="911">
        <v>5017.8100000000004</v>
      </c>
      <c r="CB17" s="912"/>
      <c r="CC17" s="913"/>
      <c r="CD17" s="913"/>
      <c r="CE17" s="913"/>
      <c r="CF17" s="913"/>
      <c r="CG17" s="914"/>
      <c r="CH17" s="912"/>
      <c r="CI17" s="913"/>
      <c r="CJ17" s="913"/>
      <c r="CK17" s="913"/>
      <c r="CL17" s="913"/>
      <c r="CM17" s="914"/>
      <c r="CN17" s="909">
        <v>2200</v>
      </c>
      <c r="CO17" s="910">
        <v>0</v>
      </c>
      <c r="CP17" s="910">
        <v>0</v>
      </c>
      <c r="CQ17" s="910">
        <v>0</v>
      </c>
      <c r="CR17" s="910">
        <v>0</v>
      </c>
      <c r="CS17" s="911">
        <v>2200</v>
      </c>
      <c r="CT17" s="909">
        <v>33705.26</v>
      </c>
      <c r="CU17" s="910">
        <v>137.02000000000001</v>
      </c>
      <c r="CV17" s="910">
        <v>27396.14</v>
      </c>
      <c r="CW17" s="910">
        <v>3223.07</v>
      </c>
      <c r="CX17" s="910">
        <v>-0.09</v>
      </c>
      <c r="CY17" s="911">
        <v>64461.4</v>
      </c>
      <c r="CZ17" s="909">
        <v>103213.8</v>
      </c>
      <c r="DA17" s="910">
        <v>17026.2</v>
      </c>
      <c r="DB17" s="910">
        <v>0</v>
      </c>
      <c r="DC17" s="910">
        <v>0</v>
      </c>
      <c r="DD17" s="910">
        <v>0</v>
      </c>
      <c r="DE17" s="911">
        <v>120240</v>
      </c>
      <c r="DF17" s="909">
        <v>3617.5</v>
      </c>
      <c r="DG17" s="910">
        <v>0</v>
      </c>
      <c r="DH17" s="910">
        <v>2496.08</v>
      </c>
      <c r="DI17" s="910">
        <v>1121.43</v>
      </c>
      <c r="DJ17" s="910">
        <v>-0.01</v>
      </c>
      <c r="DK17" s="911">
        <v>7235</v>
      </c>
      <c r="DL17" s="909">
        <v>5960.18</v>
      </c>
      <c r="DM17" s="910">
        <v>0</v>
      </c>
      <c r="DN17" s="910">
        <v>35.47</v>
      </c>
      <c r="DO17" s="910">
        <v>1099.78</v>
      </c>
      <c r="DP17" s="910">
        <v>0.02</v>
      </c>
      <c r="DQ17" s="911">
        <v>7095.45</v>
      </c>
      <c r="DR17" s="912"/>
      <c r="DS17" s="913"/>
      <c r="DT17" s="913"/>
      <c r="DU17" s="913"/>
      <c r="DV17" s="913"/>
      <c r="DW17" s="914"/>
    </row>
    <row r="18" spans="1:127">
      <c r="A18" s="1107" t="s">
        <v>37</v>
      </c>
      <c r="B18" s="904" t="s">
        <v>38</v>
      </c>
      <c r="C18" s="905">
        <f t="shared" si="5"/>
        <v>195459.28999999998</v>
      </c>
      <c r="D18" s="906">
        <f t="shared" si="4"/>
        <v>41874.54</v>
      </c>
      <c r="E18" s="907">
        <f t="shared" si="6"/>
        <v>24849.69</v>
      </c>
      <c r="F18" s="908">
        <f t="shared" si="7"/>
        <v>24850.1</v>
      </c>
      <c r="G18" s="907">
        <f t="shared" si="7"/>
        <v>-0.41000000000000003</v>
      </c>
      <c r="H18" s="912"/>
      <c r="I18" s="913"/>
      <c r="J18" s="913"/>
      <c r="K18" s="913"/>
      <c r="L18" s="913"/>
      <c r="M18" s="914"/>
      <c r="N18" s="909">
        <v>8973.89</v>
      </c>
      <c r="O18" s="910">
        <v>0</v>
      </c>
      <c r="P18" s="910">
        <v>0</v>
      </c>
      <c r="Q18" s="910">
        <v>2243.48</v>
      </c>
      <c r="R18" s="910">
        <v>0</v>
      </c>
      <c r="S18" s="911">
        <v>11217.37</v>
      </c>
      <c r="T18" s="909">
        <v>4584.07</v>
      </c>
      <c r="U18" s="910">
        <v>0</v>
      </c>
      <c r="V18" s="910">
        <v>27.3</v>
      </c>
      <c r="W18" s="910">
        <v>845.87</v>
      </c>
      <c r="X18" s="910">
        <v>-0.01</v>
      </c>
      <c r="Y18" s="911">
        <v>5457.23</v>
      </c>
      <c r="Z18" s="915">
        <v>35178.879999999997</v>
      </c>
      <c r="AA18" s="916">
        <v>0</v>
      </c>
      <c r="AB18" s="916">
        <v>0</v>
      </c>
      <c r="AC18" s="916">
        <v>8794.7199999999993</v>
      </c>
      <c r="AD18" s="916">
        <v>0</v>
      </c>
      <c r="AE18" s="917">
        <v>43973.599999999999</v>
      </c>
      <c r="AF18" s="909">
        <v>3814</v>
      </c>
      <c r="AG18" s="910">
        <v>0</v>
      </c>
      <c r="AH18" s="910">
        <v>2631.67</v>
      </c>
      <c r="AI18" s="910">
        <v>1182.3499999999999</v>
      </c>
      <c r="AJ18" s="910">
        <v>-0.02</v>
      </c>
      <c r="AK18" s="911">
        <v>7628</v>
      </c>
      <c r="AL18" s="909">
        <v>4000</v>
      </c>
      <c r="AM18" s="910">
        <v>0</v>
      </c>
      <c r="AN18" s="910">
        <v>1000</v>
      </c>
      <c r="AO18" s="910">
        <v>0</v>
      </c>
      <c r="AP18" s="910">
        <v>0</v>
      </c>
      <c r="AQ18" s="911">
        <v>5000</v>
      </c>
      <c r="AR18" s="909">
        <v>1501.75</v>
      </c>
      <c r="AS18" s="910">
        <v>0</v>
      </c>
      <c r="AT18" s="910">
        <v>375.44</v>
      </c>
      <c r="AU18" s="910">
        <v>0</v>
      </c>
      <c r="AV18" s="910">
        <v>0</v>
      </c>
      <c r="AW18" s="911">
        <v>1877.19</v>
      </c>
      <c r="AX18" s="912"/>
      <c r="AY18" s="913"/>
      <c r="AZ18" s="913"/>
      <c r="BA18" s="913"/>
      <c r="BB18" s="913"/>
      <c r="BC18" s="914"/>
      <c r="BD18" s="912"/>
      <c r="BE18" s="913"/>
      <c r="BF18" s="913"/>
      <c r="BG18" s="913"/>
      <c r="BH18" s="913"/>
      <c r="BI18" s="914"/>
      <c r="BJ18" s="909">
        <v>13048.73</v>
      </c>
      <c r="BK18" s="910">
        <v>0</v>
      </c>
      <c r="BL18" s="910">
        <v>1652.85</v>
      </c>
      <c r="BM18" s="910">
        <v>2696.74</v>
      </c>
      <c r="BN18" s="910">
        <v>-0.01</v>
      </c>
      <c r="BO18" s="911">
        <v>17398.310000000001</v>
      </c>
      <c r="BP18" s="909">
        <v>29505.64</v>
      </c>
      <c r="BQ18" s="910">
        <v>849.45</v>
      </c>
      <c r="BR18" s="910">
        <v>24573.19</v>
      </c>
      <c r="BS18" s="910">
        <v>2890.95</v>
      </c>
      <c r="BT18" s="910">
        <v>-0.23</v>
      </c>
      <c r="BU18" s="911">
        <v>57819</v>
      </c>
      <c r="BV18" s="909">
        <v>14501.13</v>
      </c>
      <c r="BW18" s="910">
        <v>0</v>
      </c>
      <c r="BX18" s="910">
        <v>10005.82</v>
      </c>
      <c r="BY18" s="910">
        <v>4495.3999999999996</v>
      </c>
      <c r="BZ18" s="910">
        <v>-0.08</v>
      </c>
      <c r="CA18" s="911">
        <v>29002.27</v>
      </c>
      <c r="CB18" s="912"/>
      <c r="CC18" s="913"/>
      <c r="CD18" s="913"/>
      <c r="CE18" s="913"/>
      <c r="CF18" s="913"/>
      <c r="CG18" s="914"/>
      <c r="CH18" s="912"/>
      <c r="CI18" s="913"/>
      <c r="CJ18" s="913"/>
      <c r="CK18" s="913"/>
      <c r="CL18" s="913"/>
      <c r="CM18" s="914"/>
      <c r="CN18" s="912"/>
      <c r="CO18" s="913"/>
      <c r="CP18" s="913"/>
      <c r="CQ18" s="913"/>
      <c r="CR18" s="913"/>
      <c r="CS18" s="914"/>
      <c r="CT18" s="912"/>
      <c r="CU18" s="913"/>
      <c r="CV18" s="913"/>
      <c r="CW18" s="913"/>
      <c r="CX18" s="913"/>
      <c r="CY18" s="914"/>
      <c r="CZ18" s="909">
        <v>64967</v>
      </c>
      <c r="DA18" s="910">
        <v>6872</v>
      </c>
      <c r="DB18" s="910">
        <v>0</v>
      </c>
      <c r="DC18" s="910">
        <v>0</v>
      </c>
      <c r="DD18" s="910">
        <v>0</v>
      </c>
      <c r="DE18" s="911">
        <v>71839</v>
      </c>
      <c r="DF18" s="909">
        <v>2284.42</v>
      </c>
      <c r="DG18" s="910">
        <v>0</v>
      </c>
      <c r="DH18" s="910">
        <v>1576.26</v>
      </c>
      <c r="DI18" s="910">
        <v>708.17</v>
      </c>
      <c r="DJ18" s="910">
        <v>-7.0000000000000007E-2</v>
      </c>
      <c r="DK18" s="911">
        <v>4568.78</v>
      </c>
      <c r="DL18" s="909">
        <v>5378.33</v>
      </c>
      <c r="DM18" s="910">
        <v>0</v>
      </c>
      <c r="DN18" s="910">
        <v>32.01</v>
      </c>
      <c r="DO18" s="910">
        <v>992.42</v>
      </c>
      <c r="DP18" s="910">
        <v>0.01</v>
      </c>
      <c r="DQ18" s="911">
        <v>6402.77</v>
      </c>
      <c r="DR18" s="912"/>
      <c r="DS18" s="913"/>
      <c r="DT18" s="913"/>
      <c r="DU18" s="913"/>
      <c r="DV18" s="913"/>
      <c r="DW18" s="914"/>
    </row>
    <row r="19" spans="1:127">
      <c r="A19" s="1107" t="s">
        <v>39</v>
      </c>
      <c r="B19" s="904" t="s">
        <v>40</v>
      </c>
      <c r="C19" s="905">
        <f t="shared" si="5"/>
        <v>250720.76000000004</v>
      </c>
      <c r="D19" s="906">
        <f t="shared" si="4"/>
        <v>29854.979999999996</v>
      </c>
      <c r="E19" s="907">
        <f t="shared" si="6"/>
        <v>35336.720000000001</v>
      </c>
      <c r="F19" s="908">
        <f t="shared" si="7"/>
        <v>35336.980000000003</v>
      </c>
      <c r="G19" s="907">
        <f t="shared" si="7"/>
        <v>-0.26</v>
      </c>
      <c r="H19" s="912"/>
      <c r="I19" s="913"/>
      <c r="J19" s="913"/>
      <c r="K19" s="913"/>
      <c r="L19" s="913"/>
      <c r="M19" s="914"/>
      <c r="N19" s="909">
        <v>12921.3</v>
      </c>
      <c r="O19" s="910">
        <v>0</v>
      </c>
      <c r="P19" s="910">
        <v>0</v>
      </c>
      <c r="Q19" s="910">
        <v>3230.33</v>
      </c>
      <c r="R19" s="910">
        <v>0</v>
      </c>
      <c r="S19" s="911">
        <v>16151.63</v>
      </c>
      <c r="T19" s="909">
        <v>9102.2999999999993</v>
      </c>
      <c r="U19" s="910">
        <v>0</v>
      </c>
      <c r="V19" s="910">
        <v>54.19</v>
      </c>
      <c r="W19" s="910">
        <v>1679.6</v>
      </c>
      <c r="X19" s="910">
        <v>-0.02</v>
      </c>
      <c r="Y19" s="911">
        <v>10836.07</v>
      </c>
      <c r="Z19" s="915">
        <v>74460.25</v>
      </c>
      <c r="AA19" s="916">
        <v>0</v>
      </c>
      <c r="AB19" s="916">
        <v>0</v>
      </c>
      <c r="AC19" s="916">
        <v>18615.03</v>
      </c>
      <c r="AD19" s="916">
        <v>0</v>
      </c>
      <c r="AE19" s="917">
        <v>93075.28</v>
      </c>
      <c r="AF19" s="912"/>
      <c r="AG19" s="913"/>
      <c r="AH19" s="913"/>
      <c r="AI19" s="913"/>
      <c r="AJ19" s="913"/>
      <c r="AK19" s="914"/>
      <c r="AL19" s="909">
        <v>4929.6000000000004</v>
      </c>
      <c r="AM19" s="910">
        <v>0</v>
      </c>
      <c r="AN19" s="910">
        <v>1232.4000000000001</v>
      </c>
      <c r="AO19" s="910">
        <v>0</v>
      </c>
      <c r="AP19" s="910">
        <v>0</v>
      </c>
      <c r="AQ19" s="911">
        <v>6162</v>
      </c>
      <c r="AR19" s="909">
        <v>8322.7199999999993</v>
      </c>
      <c r="AS19" s="910">
        <v>0</v>
      </c>
      <c r="AT19" s="910">
        <v>2080.6799999999998</v>
      </c>
      <c r="AU19" s="910">
        <v>0</v>
      </c>
      <c r="AV19" s="910">
        <v>0</v>
      </c>
      <c r="AW19" s="911">
        <v>10403.4</v>
      </c>
      <c r="AX19" s="912"/>
      <c r="AY19" s="913"/>
      <c r="AZ19" s="913"/>
      <c r="BA19" s="913"/>
      <c r="BB19" s="913"/>
      <c r="BC19" s="914"/>
      <c r="BD19" s="909">
        <v>968.69</v>
      </c>
      <c r="BE19" s="910">
        <v>0</v>
      </c>
      <c r="BF19" s="910">
        <v>2805.31</v>
      </c>
      <c r="BG19" s="910">
        <v>0</v>
      </c>
      <c r="BH19" s="910">
        <v>0</v>
      </c>
      <c r="BI19" s="911">
        <v>3774</v>
      </c>
      <c r="BJ19" s="909">
        <v>22005.759999999998</v>
      </c>
      <c r="BK19" s="910">
        <v>0</v>
      </c>
      <c r="BL19" s="910">
        <v>2787.42</v>
      </c>
      <c r="BM19" s="910">
        <v>4547.88</v>
      </c>
      <c r="BN19" s="910">
        <v>-0.06</v>
      </c>
      <c r="BO19" s="911">
        <v>29341</v>
      </c>
      <c r="BP19" s="909">
        <v>10996.58</v>
      </c>
      <c r="BQ19" s="910">
        <v>791.25</v>
      </c>
      <c r="BR19" s="910">
        <v>9542.5300000000007</v>
      </c>
      <c r="BS19" s="910">
        <v>1122.6500000000001</v>
      </c>
      <c r="BT19" s="910">
        <v>-0.01</v>
      </c>
      <c r="BU19" s="911">
        <v>22453</v>
      </c>
      <c r="BV19" s="909">
        <v>14425.92</v>
      </c>
      <c r="BW19" s="910">
        <v>0</v>
      </c>
      <c r="BX19" s="910">
        <v>9485.98</v>
      </c>
      <c r="BY19" s="910">
        <v>4386.25</v>
      </c>
      <c r="BZ19" s="910">
        <v>-0.15</v>
      </c>
      <c r="CA19" s="911">
        <v>28298</v>
      </c>
      <c r="CB19" s="912"/>
      <c r="CC19" s="913"/>
      <c r="CD19" s="913"/>
      <c r="CE19" s="913"/>
      <c r="CF19" s="913"/>
      <c r="CG19" s="914"/>
      <c r="CH19" s="912"/>
      <c r="CI19" s="913"/>
      <c r="CJ19" s="913"/>
      <c r="CK19" s="913"/>
      <c r="CL19" s="913"/>
      <c r="CM19" s="914"/>
      <c r="CN19" s="909">
        <v>20632</v>
      </c>
      <c r="CO19" s="910">
        <v>0</v>
      </c>
      <c r="CP19" s="910">
        <v>0</v>
      </c>
      <c r="CQ19" s="910">
        <v>0</v>
      </c>
      <c r="CR19" s="910">
        <v>0</v>
      </c>
      <c r="CS19" s="911">
        <v>20632</v>
      </c>
      <c r="CT19" s="912"/>
      <c r="CU19" s="913"/>
      <c r="CV19" s="913"/>
      <c r="CW19" s="913"/>
      <c r="CX19" s="913"/>
      <c r="CY19" s="914"/>
      <c r="CZ19" s="909">
        <v>55769.5</v>
      </c>
      <c r="DA19" s="910">
        <v>7692.5</v>
      </c>
      <c r="DB19" s="910">
        <v>0</v>
      </c>
      <c r="DC19" s="910">
        <v>0</v>
      </c>
      <c r="DD19" s="910">
        <v>0</v>
      </c>
      <c r="DE19" s="911">
        <v>63462</v>
      </c>
      <c r="DF19" s="909">
        <v>2661.54</v>
      </c>
      <c r="DG19" s="910">
        <v>0</v>
      </c>
      <c r="DH19" s="910">
        <v>1836.46</v>
      </c>
      <c r="DI19" s="910">
        <v>825.07</v>
      </c>
      <c r="DJ19" s="910">
        <v>0</v>
      </c>
      <c r="DK19" s="911">
        <v>5323.07</v>
      </c>
      <c r="DL19" s="909">
        <v>5040.8500000000004</v>
      </c>
      <c r="DM19" s="910">
        <v>0</v>
      </c>
      <c r="DN19" s="910">
        <v>30.01</v>
      </c>
      <c r="DO19" s="910">
        <v>930.17</v>
      </c>
      <c r="DP19" s="910">
        <v>-0.02</v>
      </c>
      <c r="DQ19" s="911">
        <v>6001.01</v>
      </c>
      <c r="DR19" s="912"/>
      <c r="DS19" s="913"/>
      <c r="DT19" s="913"/>
      <c r="DU19" s="913"/>
      <c r="DV19" s="913"/>
      <c r="DW19" s="914"/>
    </row>
    <row r="20" spans="1:127">
      <c r="A20" s="1107" t="s">
        <v>41</v>
      </c>
      <c r="B20" s="904" t="s">
        <v>42</v>
      </c>
      <c r="C20" s="905">
        <f t="shared" si="5"/>
        <v>157940.62</v>
      </c>
      <c r="D20" s="906">
        <f t="shared" si="4"/>
        <v>28319.439999999999</v>
      </c>
      <c r="E20" s="907">
        <f t="shared" si="6"/>
        <v>18387.12</v>
      </c>
      <c r="F20" s="908">
        <f t="shared" si="7"/>
        <v>18387.289999999997</v>
      </c>
      <c r="G20" s="907">
        <f t="shared" si="7"/>
        <v>-0.17</v>
      </c>
      <c r="H20" s="912"/>
      <c r="I20" s="913"/>
      <c r="J20" s="913"/>
      <c r="K20" s="913"/>
      <c r="L20" s="913"/>
      <c r="M20" s="914"/>
      <c r="N20" s="909">
        <v>14946.62</v>
      </c>
      <c r="O20" s="910">
        <v>0</v>
      </c>
      <c r="P20" s="910">
        <v>0</v>
      </c>
      <c r="Q20" s="910">
        <v>3736.65</v>
      </c>
      <c r="R20" s="910">
        <v>0</v>
      </c>
      <c r="S20" s="911">
        <v>18683.27</v>
      </c>
      <c r="T20" s="912"/>
      <c r="U20" s="913"/>
      <c r="V20" s="913"/>
      <c r="W20" s="913"/>
      <c r="X20" s="913"/>
      <c r="Y20" s="914"/>
      <c r="Z20" s="915">
        <v>15146.28</v>
      </c>
      <c r="AA20" s="916">
        <v>0</v>
      </c>
      <c r="AB20" s="916">
        <v>0</v>
      </c>
      <c r="AC20" s="916">
        <v>3786.54</v>
      </c>
      <c r="AD20" s="916">
        <v>0</v>
      </c>
      <c r="AE20" s="917">
        <v>18932.82</v>
      </c>
      <c r="AF20" s="912"/>
      <c r="AG20" s="913"/>
      <c r="AH20" s="913"/>
      <c r="AI20" s="913"/>
      <c r="AJ20" s="913"/>
      <c r="AK20" s="914"/>
      <c r="AL20" s="912"/>
      <c r="AM20" s="913"/>
      <c r="AN20" s="913"/>
      <c r="AO20" s="913"/>
      <c r="AP20" s="913"/>
      <c r="AQ20" s="914"/>
      <c r="AR20" s="912"/>
      <c r="AS20" s="913"/>
      <c r="AT20" s="913"/>
      <c r="AU20" s="913"/>
      <c r="AV20" s="913"/>
      <c r="AW20" s="914"/>
      <c r="AX20" s="912"/>
      <c r="AY20" s="913"/>
      <c r="AZ20" s="913"/>
      <c r="BA20" s="913"/>
      <c r="BB20" s="913"/>
      <c r="BC20" s="914"/>
      <c r="BD20" s="912"/>
      <c r="BE20" s="913"/>
      <c r="BF20" s="913"/>
      <c r="BG20" s="913"/>
      <c r="BH20" s="913"/>
      <c r="BI20" s="914"/>
      <c r="BJ20" s="909">
        <v>11484.75</v>
      </c>
      <c r="BK20" s="910">
        <v>0</v>
      </c>
      <c r="BL20" s="910">
        <v>1454.74</v>
      </c>
      <c r="BM20" s="910">
        <v>2373.52</v>
      </c>
      <c r="BN20" s="910">
        <v>-0.01</v>
      </c>
      <c r="BO20" s="911">
        <v>15313</v>
      </c>
      <c r="BP20" s="909">
        <v>4887.8599999999997</v>
      </c>
      <c r="BQ20" s="910">
        <v>226.7</v>
      </c>
      <c r="BR20" s="910">
        <v>4140.3599999999997</v>
      </c>
      <c r="BS20" s="910">
        <v>487.11</v>
      </c>
      <c r="BT20" s="910">
        <v>-0.03</v>
      </c>
      <c r="BU20" s="911">
        <v>9742</v>
      </c>
      <c r="BV20" s="909">
        <v>19965.29</v>
      </c>
      <c r="BW20" s="910">
        <v>0</v>
      </c>
      <c r="BX20" s="910">
        <v>13776.04</v>
      </c>
      <c r="BY20" s="910">
        <v>6189.25</v>
      </c>
      <c r="BZ20" s="910">
        <v>-7.0000000000000007E-2</v>
      </c>
      <c r="CA20" s="911">
        <v>39930.51</v>
      </c>
      <c r="CB20" s="912"/>
      <c r="CC20" s="913"/>
      <c r="CD20" s="913"/>
      <c r="CE20" s="913"/>
      <c r="CF20" s="913"/>
      <c r="CG20" s="914"/>
      <c r="CH20" s="912"/>
      <c r="CI20" s="913"/>
      <c r="CJ20" s="913"/>
      <c r="CK20" s="913"/>
      <c r="CL20" s="913"/>
      <c r="CM20" s="914"/>
      <c r="CN20" s="912"/>
      <c r="CO20" s="913"/>
      <c r="CP20" s="913"/>
      <c r="CQ20" s="913"/>
      <c r="CR20" s="913"/>
      <c r="CS20" s="914"/>
      <c r="CT20" s="909">
        <v>8217.32</v>
      </c>
      <c r="CU20" s="910">
        <v>0</v>
      </c>
      <c r="CV20" s="910">
        <v>6652.12</v>
      </c>
      <c r="CW20" s="910">
        <v>782.6</v>
      </c>
      <c r="CX20" s="910">
        <v>-0.04</v>
      </c>
      <c r="CY20" s="911">
        <v>15652</v>
      </c>
      <c r="CZ20" s="909">
        <v>68533.5</v>
      </c>
      <c r="DA20" s="910">
        <v>11204.5</v>
      </c>
      <c r="DB20" s="910">
        <v>0</v>
      </c>
      <c r="DC20" s="910">
        <v>0</v>
      </c>
      <c r="DD20" s="910">
        <v>0</v>
      </c>
      <c r="DE20" s="911">
        <v>79738</v>
      </c>
      <c r="DF20" s="909">
        <v>3327.8</v>
      </c>
      <c r="DG20" s="910">
        <v>0</v>
      </c>
      <c r="DH20" s="910">
        <v>2296.1799999999998</v>
      </c>
      <c r="DI20" s="910">
        <v>1031.6199999999999</v>
      </c>
      <c r="DJ20" s="910">
        <v>-0.02</v>
      </c>
      <c r="DK20" s="911">
        <v>6655.58</v>
      </c>
      <c r="DL20" s="912"/>
      <c r="DM20" s="913"/>
      <c r="DN20" s="913"/>
      <c r="DO20" s="913"/>
      <c r="DP20" s="913"/>
      <c r="DQ20" s="914"/>
      <c r="DR20" s="912"/>
      <c r="DS20" s="913"/>
      <c r="DT20" s="913"/>
      <c r="DU20" s="913"/>
      <c r="DV20" s="913"/>
      <c r="DW20" s="914"/>
    </row>
    <row r="21" spans="1:127">
      <c r="A21" s="1107" t="s">
        <v>43</v>
      </c>
      <c r="B21" s="904" t="s">
        <v>44</v>
      </c>
      <c r="C21" s="905">
        <f t="shared" si="5"/>
        <v>507680.25000000006</v>
      </c>
      <c r="D21" s="906">
        <f t="shared" si="4"/>
        <v>169520.58</v>
      </c>
      <c r="E21" s="907">
        <f t="shared" si="6"/>
        <v>127060.61</v>
      </c>
      <c r="F21" s="908">
        <f t="shared" si="7"/>
        <v>85668.99</v>
      </c>
      <c r="G21" s="907">
        <f t="shared" si="7"/>
        <v>41391.619999999995</v>
      </c>
      <c r="H21" s="912"/>
      <c r="I21" s="913"/>
      <c r="J21" s="913"/>
      <c r="K21" s="913"/>
      <c r="L21" s="913"/>
      <c r="M21" s="914"/>
      <c r="N21" s="909">
        <v>16623.05</v>
      </c>
      <c r="O21" s="910">
        <v>0</v>
      </c>
      <c r="P21" s="910">
        <v>0</v>
      </c>
      <c r="Q21" s="910">
        <v>4155.78</v>
      </c>
      <c r="R21" s="910">
        <v>0</v>
      </c>
      <c r="S21" s="911">
        <v>20778.830000000002</v>
      </c>
      <c r="T21" s="909">
        <v>7226.52</v>
      </c>
      <c r="U21" s="910">
        <v>0</v>
      </c>
      <c r="V21" s="910">
        <v>43.04</v>
      </c>
      <c r="W21" s="910">
        <v>1333.49</v>
      </c>
      <c r="X21" s="910">
        <v>-0.05</v>
      </c>
      <c r="Y21" s="911">
        <v>8603</v>
      </c>
      <c r="Z21" s="915">
        <v>94416.49</v>
      </c>
      <c r="AA21" s="916">
        <v>0</v>
      </c>
      <c r="AB21" s="916">
        <v>0</v>
      </c>
      <c r="AC21" s="916">
        <v>23604.13</v>
      </c>
      <c r="AD21" s="916">
        <v>41392.230000000003</v>
      </c>
      <c r="AE21" s="917">
        <v>159412.85</v>
      </c>
      <c r="AF21" s="912"/>
      <c r="AG21" s="913"/>
      <c r="AH21" s="913"/>
      <c r="AI21" s="913"/>
      <c r="AJ21" s="913"/>
      <c r="AK21" s="914"/>
      <c r="AL21" s="909">
        <v>4816.8</v>
      </c>
      <c r="AM21" s="910">
        <v>0</v>
      </c>
      <c r="AN21" s="910">
        <v>1204.2</v>
      </c>
      <c r="AO21" s="910">
        <v>0</v>
      </c>
      <c r="AP21" s="910">
        <v>0</v>
      </c>
      <c r="AQ21" s="911">
        <v>6021</v>
      </c>
      <c r="AR21" s="909">
        <v>7763.18</v>
      </c>
      <c r="AS21" s="910">
        <v>0</v>
      </c>
      <c r="AT21" s="910">
        <v>1940.82</v>
      </c>
      <c r="AU21" s="910">
        <v>0</v>
      </c>
      <c r="AV21" s="910">
        <v>0</v>
      </c>
      <c r="AW21" s="911">
        <v>9704</v>
      </c>
      <c r="AX21" s="912"/>
      <c r="AY21" s="913"/>
      <c r="AZ21" s="913"/>
      <c r="BA21" s="913"/>
      <c r="BB21" s="913"/>
      <c r="BC21" s="914"/>
      <c r="BD21" s="912"/>
      <c r="BE21" s="913"/>
      <c r="BF21" s="913"/>
      <c r="BG21" s="913"/>
      <c r="BH21" s="913"/>
      <c r="BI21" s="914"/>
      <c r="BJ21" s="909">
        <v>29475.01</v>
      </c>
      <c r="BK21" s="910">
        <v>0</v>
      </c>
      <c r="BL21" s="910">
        <v>3733.5</v>
      </c>
      <c r="BM21" s="910">
        <v>6091.49</v>
      </c>
      <c r="BN21" s="910">
        <v>0</v>
      </c>
      <c r="BO21" s="911">
        <v>39300</v>
      </c>
      <c r="BP21" s="909">
        <v>65513.62</v>
      </c>
      <c r="BQ21" s="910">
        <v>2038.25</v>
      </c>
      <c r="BR21" s="910">
        <v>54684.87</v>
      </c>
      <c r="BS21" s="910">
        <v>6433.5</v>
      </c>
      <c r="BT21" s="910">
        <v>-0.28000000000000003</v>
      </c>
      <c r="BU21" s="911">
        <v>128669.96</v>
      </c>
      <c r="BV21" s="909">
        <v>110125.25</v>
      </c>
      <c r="BW21" s="910">
        <v>0</v>
      </c>
      <c r="BX21" s="910">
        <v>75931.509999999995</v>
      </c>
      <c r="BY21" s="910">
        <v>34128.78</v>
      </c>
      <c r="BZ21" s="910">
        <v>-0.15</v>
      </c>
      <c r="CA21" s="911">
        <v>220185.39</v>
      </c>
      <c r="CB21" s="909">
        <v>1380.51</v>
      </c>
      <c r="CC21" s="910">
        <v>0</v>
      </c>
      <c r="CD21" s="910">
        <v>0</v>
      </c>
      <c r="CE21" s="910">
        <v>2381.11</v>
      </c>
      <c r="CF21" s="910">
        <v>-0.01</v>
      </c>
      <c r="CG21" s="911">
        <v>3761.61</v>
      </c>
      <c r="CH21" s="912"/>
      <c r="CI21" s="913"/>
      <c r="CJ21" s="913"/>
      <c r="CK21" s="913"/>
      <c r="CL21" s="913"/>
      <c r="CM21" s="914"/>
      <c r="CN21" s="909">
        <v>2225</v>
      </c>
      <c r="CO21" s="910">
        <v>0</v>
      </c>
      <c r="CP21" s="910">
        <v>0</v>
      </c>
      <c r="CQ21" s="910">
        <v>0</v>
      </c>
      <c r="CR21" s="910">
        <v>0</v>
      </c>
      <c r="CS21" s="911">
        <v>2225</v>
      </c>
      <c r="CT21" s="909">
        <v>33057.760000000002</v>
      </c>
      <c r="CU21" s="910">
        <v>1661.49</v>
      </c>
      <c r="CV21" s="910">
        <v>28106.07</v>
      </c>
      <c r="CW21" s="910">
        <v>3306.59</v>
      </c>
      <c r="CX21" s="910">
        <v>-0.11</v>
      </c>
      <c r="CY21" s="911">
        <v>66131.8</v>
      </c>
      <c r="CZ21" s="909">
        <v>97364</v>
      </c>
      <c r="DA21" s="910">
        <v>14787</v>
      </c>
      <c r="DB21" s="910">
        <v>0</v>
      </c>
      <c r="DC21" s="910">
        <v>0</v>
      </c>
      <c r="DD21" s="910">
        <v>0</v>
      </c>
      <c r="DE21" s="911">
        <v>112151</v>
      </c>
      <c r="DF21" s="909">
        <v>5500.03</v>
      </c>
      <c r="DG21" s="910">
        <v>0</v>
      </c>
      <c r="DH21" s="910">
        <v>3794.99</v>
      </c>
      <c r="DI21" s="910">
        <v>1704.99</v>
      </c>
      <c r="DJ21" s="910">
        <v>-0.01</v>
      </c>
      <c r="DK21" s="911">
        <v>11000</v>
      </c>
      <c r="DL21" s="909">
        <v>13706.29</v>
      </c>
      <c r="DM21" s="910">
        <v>0</v>
      </c>
      <c r="DN21" s="910">
        <v>81.58</v>
      </c>
      <c r="DO21" s="910">
        <v>2529.13</v>
      </c>
      <c r="DP21" s="910">
        <v>0</v>
      </c>
      <c r="DQ21" s="911">
        <v>16317</v>
      </c>
      <c r="DR21" s="912"/>
      <c r="DS21" s="913"/>
      <c r="DT21" s="913"/>
      <c r="DU21" s="913"/>
      <c r="DV21" s="913"/>
      <c r="DW21" s="914"/>
    </row>
    <row r="22" spans="1:127">
      <c r="A22" s="1107" t="s">
        <v>45</v>
      </c>
      <c r="B22" s="904" t="s">
        <v>46</v>
      </c>
      <c r="C22" s="905">
        <f t="shared" si="5"/>
        <v>485837.7</v>
      </c>
      <c r="D22" s="906">
        <f t="shared" si="4"/>
        <v>117131.59000000003</v>
      </c>
      <c r="E22" s="907">
        <f t="shared" si="6"/>
        <v>32586.829999999998</v>
      </c>
      <c r="F22" s="908">
        <f t="shared" si="7"/>
        <v>32587.239999999998</v>
      </c>
      <c r="G22" s="907">
        <f t="shared" si="7"/>
        <v>-0.41000000000000003</v>
      </c>
      <c r="H22" s="912"/>
      <c r="I22" s="913"/>
      <c r="J22" s="913"/>
      <c r="K22" s="913"/>
      <c r="L22" s="913"/>
      <c r="M22" s="914"/>
      <c r="N22" s="909">
        <v>2312.23</v>
      </c>
      <c r="O22" s="910">
        <v>0</v>
      </c>
      <c r="P22" s="910">
        <v>0</v>
      </c>
      <c r="Q22" s="910">
        <v>578.05999999999995</v>
      </c>
      <c r="R22" s="910">
        <v>0</v>
      </c>
      <c r="S22" s="911">
        <v>2890.29</v>
      </c>
      <c r="T22" s="909">
        <v>3277.23</v>
      </c>
      <c r="U22" s="910">
        <v>0</v>
      </c>
      <c r="V22" s="910">
        <v>19.510000000000002</v>
      </c>
      <c r="W22" s="910">
        <v>604.73</v>
      </c>
      <c r="X22" s="910">
        <v>0</v>
      </c>
      <c r="Y22" s="911">
        <v>3901.47</v>
      </c>
      <c r="Z22" s="915">
        <v>21838.47</v>
      </c>
      <c r="AA22" s="916">
        <v>0</v>
      </c>
      <c r="AB22" s="916">
        <v>0</v>
      </c>
      <c r="AC22" s="916">
        <v>5459.6</v>
      </c>
      <c r="AD22" s="916">
        <v>0</v>
      </c>
      <c r="AE22" s="917">
        <v>27298.07</v>
      </c>
      <c r="AF22" s="912"/>
      <c r="AG22" s="913"/>
      <c r="AH22" s="913"/>
      <c r="AI22" s="913"/>
      <c r="AJ22" s="913"/>
      <c r="AK22" s="914"/>
      <c r="AL22" s="909">
        <v>2815.55</v>
      </c>
      <c r="AM22" s="910">
        <v>0</v>
      </c>
      <c r="AN22" s="910">
        <v>703.89</v>
      </c>
      <c r="AO22" s="910">
        <v>0</v>
      </c>
      <c r="AP22" s="910">
        <v>0</v>
      </c>
      <c r="AQ22" s="911">
        <v>3519.44</v>
      </c>
      <c r="AR22" s="909">
        <v>2641.56</v>
      </c>
      <c r="AS22" s="910">
        <v>0</v>
      </c>
      <c r="AT22" s="910">
        <v>660.39</v>
      </c>
      <c r="AU22" s="910">
        <v>0</v>
      </c>
      <c r="AV22" s="910">
        <v>0</v>
      </c>
      <c r="AW22" s="911">
        <v>3301.95</v>
      </c>
      <c r="AX22" s="912"/>
      <c r="AY22" s="913"/>
      <c r="AZ22" s="913"/>
      <c r="BA22" s="913"/>
      <c r="BB22" s="913"/>
      <c r="BC22" s="914"/>
      <c r="BD22" s="912"/>
      <c r="BE22" s="913"/>
      <c r="BF22" s="913"/>
      <c r="BG22" s="913"/>
      <c r="BH22" s="913"/>
      <c r="BI22" s="914"/>
      <c r="BJ22" s="909">
        <v>13401.22</v>
      </c>
      <c r="BK22" s="910">
        <v>0</v>
      </c>
      <c r="BL22" s="910">
        <v>1697.49</v>
      </c>
      <c r="BM22" s="910">
        <v>2769.59</v>
      </c>
      <c r="BN22" s="910">
        <v>-0.03</v>
      </c>
      <c r="BO22" s="911">
        <v>17868.27</v>
      </c>
      <c r="BP22" s="909">
        <v>76477.22</v>
      </c>
      <c r="BQ22" s="910">
        <v>2304.29</v>
      </c>
      <c r="BR22" s="910">
        <v>63775.53</v>
      </c>
      <c r="BS22" s="910">
        <v>7502.99</v>
      </c>
      <c r="BT22" s="910">
        <v>-0.23</v>
      </c>
      <c r="BU22" s="911">
        <v>150059.79999999999</v>
      </c>
      <c r="BV22" s="909">
        <v>32230.58</v>
      </c>
      <c r="BW22" s="910">
        <v>0</v>
      </c>
      <c r="BX22" s="910">
        <v>22112.29</v>
      </c>
      <c r="BY22" s="910">
        <v>9968.2099999999991</v>
      </c>
      <c r="BZ22" s="910">
        <v>-7.0000000000000007E-2</v>
      </c>
      <c r="CA22" s="911">
        <v>64311.01</v>
      </c>
      <c r="CB22" s="912"/>
      <c r="CC22" s="913"/>
      <c r="CD22" s="913"/>
      <c r="CE22" s="913"/>
      <c r="CF22" s="913"/>
      <c r="CG22" s="914"/>
      <c r="CH22" s="912"/>
      <c r="CI22" s="913"/>
      <c r="CJ22" s="913"/>
      <c r="CK22" s="913"/>
      <c r="CL22" s="913"/>
      <c r="CM22" s="914"/>
      <c r="CN22" s="909">
        <v>51353.46</v>
      </c>
      <c r="CO22" s="910">
        <v>0</v>
      </c>
      <c r="CP22" s="910">
        <v>0</v>
      </c>
      <c r="CQ22" s="910">
        <v>0</v>
      </c>
      <c r="CR22" s="910">
        <v>0</v>
      </c>
      <c r="CS22" s="911">
        <v>51353.46</v>
      </c>
      <c r="CT22" s="909">
        <v>29240.03</v>
      </c>
      <c r="CU22" s="910">
        <v>235.98</v>
      </c>
      <c r="CV22" s="910">
        <v>23861.54</v>
      </c>
      <c r="CW22" s="910">
        <v>2807.24</v>
      </c>
      <c r="CX22" s="910">
        <v>-7.0000000000000007E-2</v>
      </c>
      <c r="CY22" s="911">
        <v>56144.72</v>
      </c>
      <c r="CZ22" s="909">
        <v>205092.44</v>
      </c>
      <c r="DA22" s="910">
        <v>31126.05</v>
      </c>
      <c r="DB22" s="910">
        <v>0</v>
      </c>
      <c r="DC22" s="910">
        <v>0</v>
      </c>
      <c r="DD22" s="910">
        <v>-0.01</v>
      </c>
      <c r="DE22" s="911">
        <v>236218.48</v>
      </c>
      <c r="DF22" s="909">
        <v>6187.5</v>
      </c>
      <c r="DG22" s="910">
        <v>0</v>
      </c>
      <c r="DH22" s="910">
        <v>4269.38</v>
      </c>
      <c r="DI22" s="910">
        <v>1918.13</v>
      </c>
      <c r="DJ22" s="910">
        <v>-0.01</v>
      </c>
      <c r="DK22" s="911">
        <v>12375</v>
      </c>
      <c r="DL22" s="909">
        <v>5303.89</v>
      </c>
      <c r="DM22" s="910">
        <v>0</v>
      </c>
      <c r="DN22" s="910">
        <v>31.57</v>
      </c>
      <c r="DO22" s="910">
        <v>978.69</v>
      </c>
      <c r="DP22" s="910">
        <v>0.01</v>
      </c>
      <c r="DQ22" s="911">
        <v>6314.16</v>
      </c>
      <c r="DR22" s="912"/>
      <c r="DS22" s="913"/>
      <c r="DT22" s="913"/>
      <c r="DU22" s="913"/>
      <c r="DV22" s="913"/>
      <c r="DW22" s="914"/>
    </row>
    <row r="23" spans="1:127">
      <c r="A23" s="1107" t="s">
        <v>47</v>
      </c>
      <c r="B23" s="904" t="s">
        <v>48</v>
      </c>
      <c r="C23" s="905">
        <f t="shared" si="5"/>
        <v>332072.01</v>
      </c>
      <c r="D23" s="906">
        <f t="shared" si="4"/>
        <v>104604.18</v>
      </c>
      <c r="E23" s="907">
        <f t="shared" si="6"/>
        <v>40228.879999999997</v>
      </c>
      <c r="F23" s="908">
        <f t="shared" si="7"/>
        <v>40229.61</v>
      </c>
      <c r="G23" s="907">
        <f t="shared" si="7"/>
        <v>-0.73000000000000009</v>
      </c>
      <c r="H23" s="912"/>
      <c r="I23" s="913"/>
      <c r="J23" s="913"/>
      <c r="K23" s="913"/>
      <c r="L23" s="913"/>
      <c r="M23" s="914"/>
      <c r="N23" s="909">
        <v>4860.51</v>
      </c>
      <c r="O23" s="910">
        <v>0</v>
      </c>
      <c r="P23" s="910">
        <v>0</v>
      </c>
      <c r="Q23" s="910">
        <v>1215.1400000000001</v>
      </c>
      <c r="R23" s="910">
        <v>0</v>
      </c>
      <c r="S23" s="911">
        <v>6075.65</v>
      </c>
      <c r="T23" s="909">
        <v>3901.26</v>
      </c>
      <c r="U23" s="910">
        <v>0</v>
      </c>
      <c r="V23" s="910">
        <v>23.23</v>
      </c>
      <c r="W23" s="910">
        <v>719.89</v>
      </c>
      <c r="X23" s="910">
        <v>-0.02</v>
      </c>
      <c r="Y23" s="911">
        <v>4644.3599999999997</v>
      </c>
      <c r="Z23" s="915">
        <v>47077.72</v>
      </c>
      <c r="AA23" s="916">
        <v>0</v>
      </c>
      <c r="AB23" s="916">
        <v>0</v>
      </c>
      <c r="AC23" s="916">
        <v>11769.45</v>
      </c>
      <c r="AD23" s="916">
        <v>0</v>
      </c>
      <c r="AE23" s="917">
        <v>58847.17</v>
      </c>
      <c r="AF23" s="912"/>
      <c r="AG23" s="913"/>
      <c r="AH23" s="913"/>
      <c r="AI23" s="913"/>
      <c r="AJ23" s="913"/>
      <c r="AK23" s="914"/>
      <c r="AL23" s="909">
        <v>6202.3</v>
      </c>
      <c r="AM23" s="910">
        <v>0</v>
      </c>
      <c r="AN23" s="910">
        <v>1550.58</v>
      </c>
      <c r="AO23" s="910">
        <v>0</v>
      </c>
      <c r="AP23" s="910">
        <v>0</v>
      </c>
      <c r="AQ23" s="911">
        <v>7752.88</v>
      </c>
      <c r="AR23" s="909">
        <v>3199.45</v>
      </c>
      <c r="AS23" s="910">
        <v>0</v>
      </c>
      <c r="AT23" s="910">
        <v>799.88</v>
      </c>
      <c r="AU23" s="910">
        <v>0</v>
      </c>
      <c r="AV23" s="910">
        <v>0</v>
      </c>
      <c r="AW23" s="911">
        <v>3999.33</v>
      </c>
      <c r="AX23" s="912"/>
      <c r="AY23" s="913"/>
      <c r="AZ23" s="913"/>
      <c r="BA23" s="913"/>
      <c r="BB23" s="913"/>
      <c r="BC23" s="914"/>
      <c r="BD23" s="912"/>
      <c r="BE23" s="913"/>
      <c r="BF23" s="913"/>
      <c r="BG23" s="913"/>
      <c r="BH23" s="913"/>
      <c r="BI23" s="914"/>
      <c r="BJ23" s="909">
        <v>15568.04</v>
      </c>
      <c r="BK23" s="910">
        <v>0</v>
      </c>
      <c r="BL23" s="910">
        <v>1971.98</v>
      </c>
      <c r="BM23" s="910">
        <v>3217.43</v>
      </c>
      <c r="BN23" s="910">
        <v>-0.09</v>
      </c>
      <c r="BO23" s="911">
        <v>20757.36</v>
      </c>
      <c r="BP23" s="909">
        <v>70935.33</v>
      </c>
      <c r="BQ23" s="910">
        <v>1581.35</v>
      </c>
      <c r="BR23" s="910">
        <v>58704</v>
      </c>
      <c r="BS23" s="910">
        <v>6906.34</v>
      </c>
      <c r="BT23" s="910">
        <v>-0.22</v>
      </c>
      <c r="BU23" s="911">
        <v>138126.79999999999</v>
      </c>
      <c r="BV23" s="909">
        <v>43398.05</v>
      </c>
      <c r="BW23" s="910">
        <v>0</v>
      </c>
      <c r="BX23" s="910">
        <v>29424.39</v>
      </c>
      <c r="BY23" s="910">
        <v>13358</v>
      </c>
      <c r="BZ23" s="910">
        <v>-0.28000000000000003</v>
      </c>
      <c r="CA23" s="911">
        <v>86180.160000000003</v>
      </c>
      <c r="CB23" s="912"/>
      <c r="CC23" s="913"/>
      <c r="CD23" s="913"/>
      <c r="CE23" s="913"/>
      <c r="CF23" s="913"/>
      <c r="CG23" s="914"/>
      <c r="CH23" s="912"/>
      <c r="CI23" s="913"/>
      <c r="CJ23" s="913"/>
      <c r="CK23" s="913"/>
      <c r="CL23" s="913"/>
      <c r="CM23" s="914"/>
      <c r="CN23" s="909">
        <v>18515.8</v>
      </c>
      <c r="CO23" s="910">
        <v>0</v>
      </c>
      <c r="CP23" s="910">
        <v>0</v>
      </c>
      <c r="CQ23" s="910">
        <v>0</v>
      </c>
      <c r="CR23" s="910">
        <v>0</v>
      </c>
      <c r="CS23" s="911">
        <v>18515.8</v>
      </c>
      <c r="CT23" s="909">
        <v>11054.49</v>
      </c>
      <c r="CU23" s="910">
        <v>186.66</v>
      </c>
      <c r="CV23" s="910">
        <v>9099.99</v>
      </c>
      <c r="CW23" s="910">
        <v>1070.58</v>
      </c>
      <c r="CX23" s="910">
        <v>-0.12</v>
      </c>
      <c r="CY23" s="911">
        <v>21411.599999999999</v>
      </c>
      <c r="CZ23" s="909">
        <v>88801.4</v>
      </c>
      <c r="DA23" s="910">
        <v>9065</v>
      </c>
      <c r="DB23" s="910">
        <v>0</v>
      </c>
      <c r="DC23" s="910">
        <v>0</v>
      </c>
      <c r="DD23" s="910">
        <v>0</v>
      </c>
      <c r="DE23" s="911">
        <v>97866.4</v>
      </c>
      <c r="DF23" s="909">
        <v>4362.51</v>
      </c>
      <c r="DG23" s="910">
        <v>0</v>
      </c>
      <c r="DH23" s="910">
        <v>3010.12</v>
      </c>
      <c r="DI23" s="910">
        <v>1352.38</v>
      </c>
      <c r="DJ23" s="910">
        <v>-0.01</v>
      </c>
      <c r="DK23" s="911">
        <v>8725</v>
      </c>
      <c r="DL23" s="909">
        <v>3362.14</v>
      </c>
      <c r="DM23" s="910">
        <v>0</v>
      </c>
      <c r="DN23" s="910">
        <v>20.010000000000002</v>
      </c>
      <c r="DO23" s="910">
        <v>620.4</v>
      </c>
      <c r="DP23" s="910">
        <v>0.01</v>
      </c>
      <c r="DQ23" s="911">
        <v>4002.56</v>
      </c>
      <c r="DR23" s="912"/>
      <c r="DS23" s="913"/>
      <c r="DT23" s="913"/>
      <c r="DU23" s="913"/>
      <c r="DV23" s="913"/>
      <c r="DW23" s="914"/>
    </row>
    <row r="24" spans="1:127">
      <c r="A24" s="1107" t="s">
        <v>49</v>
      </c>
      <c r="B24" s="904" t="s">
        <v>279</v>
      </c>
      <c r="C24" s="905">
        <f t="shared" si="5"/>
        <v>100328.16999999998</v>
      </c>
      <c r="D24" s="906">
        <f t="shared" si="4"/>
        <v>18838.04</v>
      </c>
      <c r="E24" s="907">
        <f t="shared" si="6"/>
        <v>11545.48</v>
      </c>
      <c r="F24" s="908">
        <f t="shared" si="7"/>
        <v>8309.4499999999989</v>
      </c>
      <c r="G24" s="907">
        <f t="shared" si="7"/>
        <v>3236.0299999999997</v>
      </c>
      <c r="H24" s="912"/>
      <c r="I24" s="913"/>
      <c r="J24" s="913"/>
      <c r="K24" s="913"/>
      <c r="L24" s="913"/>
      <c r="M24" s="914"/>
      <c r="N24" s="909">
        <v>1133.7</v>
      </c>
      <c r="O24" s="910">
        <v>0</v>
      </c>
      <c r="P24" s="910">
        <v>0</v>
      </c>
      <c r="Q24" s="910">
        <v>283.43</v>
      </c>
      <c r="R24" s="910">
        <v>55.82</v>
      </c>
      <c r="S24" s="911">
        <v>1472.95</v>
      </c>
      <c r="T24" s="909">
        <v>1460.76</v>
      </c>
      <c r="U24" s="910">
        <v>0</v>
      </c>
      <c r="V24" s="910">
        <v>8.6999999999999993</v>
      </c>
      <c r="W24" s="910">
        <v>269.55</v>
      </c>
      <c r="X24" s="910">
        <v>-0.01</v>
      </c>
      <c r="Y24" s="911">
        <v>1739</v>
      </c>
      <c r="Z24" s="915">
        <v>12873.18</v>
      </c>
      <c r="AA24" s="916">
        <v>0</v>
      </c>
      <c r="AB24" s="916">
        <v>0</v>
      </c>
      <c r="AC24" s="916">
        <v>3218.29</v>
      </c>
      <c r="AD24" s="916">
        <v>2896.22</v>
      </c>
      <c r="AE24" s="917">
        <v>18987.689999999999</v>
      </c>
      <c r="AF24" s="912"/>
      <c r="AG24" s="913"/>
      <c r="AH24" s="913"/>
      <c r="AI24" s="913"/>
      <c r="AJ24" s="913"/>
      <c r="AK24" s="914"/>
      <c r="AL24" s="912"/>
      <c r="AM24" s="913"/>
      <c r="AN24" s="913"/>
      <c r="AO24" s="913"/>
      <c r="AP24" s="913"/>
      <c r="AQ24" s="914"/>
      <c r="AR24" s="912"/>
      <c r="AS24" s="913"/>
      <c r="AT24" s="913"/>
      <c r="AU24" s="913"/>
      <c r="AV24" s="913"/>
      <c r="AW24" s="914"/>
      <c r="AX24" s="912"/>
      <c r="AY24" s="913"/>
      <c r="AZ24" s="913"/>
      <c r="BA24" s="913"/>
      <c r="BB24" s="913"/>
      <c r="BC24" s="914"/>
      <c r="BD24" s="912"/>
      <c r="BE24" s="913"/>
      <c r="BF24" s="913"/>
      <c r="BG24" s="913"/>
      <c r="BH24" s="913"/>
      <c r="BI24" s="914"/>
      <c r="BJ24" s="909">
        <v>3916.32</v>
      </c>
      <c r="BK24" s="910">
        <v>0</v>
      </c>
      <c r="BL24" s="910">
        <v>496.07</v>
      </c>
      <c r="BM24" s="910">
        <v>809.38</v>
      </c>
      <c r="BN24" s="910">
        <v>-0.03</v>
      </c>
      <c r="BO24" s="911">
        <v>5221.74</v>
      </c>
      <c r="BP24" s="909">
        <v>18871.72</v>
      </c>
      <c r="BQ24" s="910">
        <v>264.95</v>
      </c>
      <c r="BR24" s="910">
        <v>15491.6</v>
      </c>
      <c r="BS24" s="910">
        <v>1822.53</v>
      </c>
      <c r="BT24" s="910">
        <v>-0.12</v>
      </c>
      <c r="BU24" s="911">
        <v>36450.68</v>
      </c>
      <c r="BV24" s="909">
        <v>4458.1099999999997</v>
      </c>
      <c r="BW24" s="910">
        <v>0</v>
      </c>
      <c r="BX24" s="910">
        <v>2823.27</v>
      </c>
      <c r="BY24" s="910">
        <v>1335.64</v>
      </c>
      <c r="BZ24" s="910">
        <v>284.14</v>
      </c>
      <c r="CA24" s="911">
        <v>8901.16</v>
      </c>
      <c r="CB24" s="912"/>
      <c r="CC24" s="913"/>
      <c r="CD24" s="913"/>
      <c r="CE24" s="913"/>
      <c r="CF24" s="913"/>
      <c r="CG24" s="914"/>
      <c r="CH24" s="912"/>
      <c r="CI24" s="913"/>
      <c r="CJ24" s="913"/>
      <c r="CK24" s="913"/>
      <c r="CL24" s="913"/>
      <c r="CM24" s="914"/>
      <c r="CN24" s="909">
        <v>4870</v>
      </c>
      <c r="CO24" s="910">
        <v>0</v>
      </c>
      <c r="CP24" s="910">
        <v>0</v>
      </c>
      <c r="CQ24" s="910">
        <v>0</v>
      </c>
      <c r="CR24" s="910">
        <v>0</v>
      </c>
      <c r="CS24" s="911">
        <v>4870</v>
      </c>
      <c r="CT24" s="912"/>
      <c r="CU24" s="913"/>
      <c r="CV24" s="913"/>
      <c r="CW24" s="913"/>
      <c r="CX24" s="913"/>
      <c r="CY24" s="914"/>
      <c r="CZ24" s="909">
        <v>43487</v>
      </c>
      <c r="DA24" s="910">
        <v>5900</v>
      </c>
      <c r="DB24" s="910">
        <v>0</v>
      </c>
      <c r="DC24" s="910">
        <v>0</v>
      </c>
      <c r="DD24" s="910">
        <v>0</v>
      </c>
      <c r="DE24" s="911">
        <v>49387</v>
      </c>
      <c r="DF24" s="912"/>
      <c r="DG24" s="913"/>
      <c r="DH24" s="913"/>
      <c r="DI24" s="913"/>
      <c r="DJ24" s="913"/>
      <c r="DK24" s="914"/>
      <c r="DL24" s="909">
        <v>3092.43</v>
      </c>
      <c r="DM24" s="910">
        <v>0</v>
      </c>
      <c r="DN24" s="910">
        <v>18.399999999999999</v>
      </c>
      <c r="DO24" s="910">
        <v>570.63</v>
      </c>
      <c r="DP24" s="910">
        <v>0.01</v>
      </c>
      <c r="DQ24" s="911">
        <v>3681.47</v>
      </c>
      <c r="DR24" s="912"/>
      <c r="DS24" s="913"/>
      <c r="DT24" s="913"/>
      <c r="DU24" s="913"/>
      <c r="DV24" s="913"/>
      <c r="DW24" s="914"/>
    </row>
    <row r="25" spans="1:127">
      <c r="A25" s="1107" t="s">
        <v>51</v>
      </c>
      <c r="B25" s="904" t="s">
        <v>52</v>
      </c>
      <c r="C25" s="905">
        <f t="shared" si="5"/>
        <v>108745.51</v>
      </c>
      <c r="D25" s="906">
        <f t="shared" si="4"/>
        <v>9945.94</v>
      </c>
      <c r="E25" s="907">
        <f t="shared" si="6"/>
        <v>15767.01</v>
      </c>
      <c r="F25" s="908">
        <f t="shared" si="7"/>
        <v>15767.07</v>
      </c>
      <c r="G25" s="907">
        <f t="shared" si="7"/>
        <v>-0.06</v>
      </c>
      <c r="H25" s="912"/>
      <c r="I25" s="913"/>
      <c r="J25" s="913"/>
      <c r="K25" s="913"/>
      <c r="L25" s="913"/>
      <c r="M25" s="914"/>
      <c r="N25" s="909">
        <v>12080.8</v>
      </c>
      <c r="O25" s="910">
        <v>0</v>
      </c>
      <c r="P25" s="910">
        <v>0</v>
      </c>
      <c r="Q25" s="910">
        <v>3020.2</v>
      </c>
      <c r="R25" s="910">
        <v>0</v>
      </c>
      <c r="S25" s="911">
        <v>15101</v>
      </c>
      <c r="T25" s="909">
        <v>474.81</v>
      </c>
      <c r="U25" s="910">
        <v>0</v>
      </c>
      <c r="V25" s="910">
        <v>2.83</v>
      </c>
      <c r="W25" s="910">
        <v>87.62</v>
      </c>
      <c r="X25" s="910">
        <v>-0.01</v>
      </c>
      <c r="Y25" s="911">
        <v>565.25</v>
      </c>
      <c r="Z25" s="915">
        <v>34950.71</v>
      </c>
      <c r="AA25" s="916">
        <v>0</v>
      </c>
      <c r="AB25" s="916">
        <v>0</v>
      </c>
      <c r="AC25" s="916">
        <v>8737.67</v>
      </c>
      <c r="AD25" s="916">
        <v>0</v>
      </c>
      <c r="AE25" s="917">
        <v>43688.38</v>
      </c>
      <c r="AF25" s="912"/>
      <c r="AG25" s="913"/>
      <c r="AH25" s="913"/>
      <c r="AI25" s="913"/>
      <c r="AJ25" s="913"/>
      <c r="AK25" s="914"/>
      <c r="AL25" s="912"/>
      <c r="AM25" s="913"/>
      <c r="AN25" s="913"/>
      <c r="AO25" s="913"/>
      <c r="AP25" s="913"/>
      <c r="AQ25" s="914"/>
      <c r="AR25" s="909">
        <v>552.66999999999996</v>
      </c>
      <c r="AS25" s="910">
        <v>0</v>
      </c>
      <c r="AT25" s="910">
        <v>138.16999999999999</v>
      </c>
      <c r="AU25" s="910">
        <v>0</v>
      </c>
      <c r="AV25" s="910">
        <v>0</v>
      </c>
      <c r="AW25" s="911">
        <v>690.84</v>
      </c>
      <c r="AX25" s="912"/>
      <c r="AY25" s="913"/>
      <c r="AZ25" s="913"/>
      <c r="BA25" s="913"/>
      <c r="BB25" s="913"/>
      <c r="BC25" s="914"/>
      <c r="BD25" s="912"/>
      <c r="BE25" s="913"/>
      <c r="BF25" s="913"/>
      <c r="BG25" s="913"/>
      <c r="BH25" s="913"/>
      <c r="BI25" s="914"/>
      <c r="BJ25" s="912"/>
      <c r="BK25" s="913"/>
      <c r="BL25" s="913"/>
      <c r="BM25" s="913"/>
      <c r="BN25" s="913"/>
      <c r="BO25" s="914"/>
      <c r="BP25" s="909">
        <v>1629.73</v>
      </c>
      <c r="BQ25" s="910">
        <v>171.55</v>
      </c>
      <c r="BR25" s="910">
        <v>1458.18</v>
      </c>
      <c r="BS25" s="910">
        <v>171.55</v>
      </c>
      <c r="BT25" s="910">
        <v>-0.01</v>
      </c>
      <c r="BU25" s="911">
        <v>3431</v>
      </c>
      <c r="BV25" s="909">
        <v>8384.6</v>
      </c>
      <c r="BW25" s="910">
        <v>0</v>
      </c>
      <c r="BX25" s="910">
        <v>5785.34</v>
      </c>
      <c r="BY25" s="910">
        <v>2599.2399999999998</v>
      </c>
      <c r="BZ25" s="910">
        <v>-0.02</v>
      </c>
      <c r="CA25" s="911">
        <v>16769.16</v>
      </c>
      <c r="CB25" s="912"/>
      <c r="CC25" s="913"/>
      <c r="CD25" s="913"/>
      <c r="CE25" s="913"/>
      <c r="CF25" s="913"/>
      <c r="CG25" s="914"/>
      <c r="CH25" s="912"/>
      <c r="CI25" s="913"/>
      <c r="CJ25" s="913"/>
      <c r="CK25" s="913"/>
      <c r="CL25" s="913"/>
      <c r="CM25" s="914"/>
      <c r="CN25" s="912"/>
      <c r="CO25" s="913"/>
      <c r="CP25" s="913"/>
      <c r="CQ25" s="913"/>
      <c r="CR25" s="913"/>
      <c r="CS25" s="914"/>
      <c r="CT25" s="912"/>
      <c r="CU25" s="913"/>
      <c r="CV25" s="913"/>
      <c r="CW25" s="913"/>
      <c r="CX25" s="913"/>
      <c r="CY25" s="914"/>
      <c r="CZ25" s="909">
        <v>44512.72</v>
      </c>
      <c r="DA25" s="910">
        <v>2275.7199999999998</v>
      </c>
      <c r="DB25" s="910">
        <v>0</v>
      </c>
      <c r="DC25" s="910">
        <v>0</v>
      </c>
      <c r="DD25" s="910">
        <v>0</v>
      </c>
      <c r="DE25" s="911">
        <v>46788.44</v>
      </c>
      <c r="DF25" s="909">
        <v>3712.2</v>
      </c>
      <c r="DG25" s="910">
        <v>0</v>
      </c>
      <c r="DH25" s="910">
        <v>2561.42</v>
      </c>
      <c r="DI25" s="910">
        <v>1150.79</v>
      </c>
      <c r="DJ25" s="910">
        <v>-0.02</v>
      </c>
      <c r="DK25" s="911">
        <v>7424.39</v>
      </c>
      <c r="DL25" s="912"/>
      <c r="DM25" s="913"/>
      <c r="DN25" s="913"/>
      <c r="DO25" s="913"/>
      <c r="DP25" s="913"/>
      <c r="DQ25" s="914"/>
      <c r="DR25" s="912"/>
      <c r="DS25" s="913"/>
      <c r="DT25" s="913"/>
      <c r="DU25" s="913"/>
      <c r="DV25" s="913"/>
      <c r="DW25" s="914"/>
    </row>
    <row r="26" spans="1:127">
      <c r="A26" s="1107" t="s">
        <v>57</v>
      </c>
      <c r="B26" s="904" t="s">
        <v>362</v>
      </c>
      <c r="C26" s="905">
        <f t="shared" si="5"/>
        <v>2890881.4399999995</v>
      </c>
      <c r="D26" s="906">
        <f t="shared" si="4"/>
        <v>1166144.96</v>
      </c>
      <c r="E26" s="907">
        <f t="shared" si="6"/>
        <v>258644.61999999997</v>
      </c>
      <c r="F26" s="908">
        <f t="shared" si="7"/>
        <v>252569.30999999997</v>
      </c>
      <c r="G26" s="907">
        <f t="shared" si="7"/>
        <v>6075.31</v>
      </c>
      <c r="H26" s="912"/>
      <c r="I26" s="913"/>
      <c r="J26" s="913"/>
      <c r="K26" s="913"/>
      <c r="L26" s="913"/>
      <c r="M26" s="914"/>
      <c r="N26" s="909">
        <v>535.6</v>
      </c>
      <c r="O26" s="910">
        <v>0</v>
      </c>
      <c r="P26" s="910">
        <v>0</v>
      </c>
      <c r="Q26" s="910">
        <v>133.9</v>
      </c>
      <c r="R26" s="910">
        <v>0</v>
      </c>
      <c r="S26" s="911">
        <v>669.5</v>
      </c>
      <c r="T26" s="909">
        <v>21952.09</v>
      </c>
      <c r="U26" s="910">
        <v>0</v>
      </c>
      <c r="V26" s="910">
        <v>130.66999999999999</v>
      </c>
      <c r="W26" s="910">
        <v>4050.67</v>
      </c>
      <c r="X26" s="910">
        <v>0.01</v>
      </c>
      <c r="Y26" s="911">
        <v>26133.439999999999</v>
      </c>
      <c r="Z26" s="915">
        <v>73137.91</v>
      </c>
      <c r="AA26" s="916">
        <v>0</v>
      </c>
      <c r="AB26" s="916">
        <v>0</v>
      </c>
      <c r="AC26" s="916">
        <v>18284.47</v>
      </c>
      <c r="AD26" s="916">
        <v>0</v>
      </c>
      <c r="AE26" s="917">
        <v>91422.38</v>
      </c>
      <c r="AF26" s="912"/>
      <c r="AG26" s="913"/>
      <c r="AH26" s="913"/>
      <c r="AI26" s="913"/>
      <c r="AJ26" s="913"/>
      <c r="AK26" s="914"/>
      <c r="AL26" s="909">
        <v>9037.6299999999992</v>
      </c>
      <c r="AM26" s="910">
        <v>0</v>
      </c>
      <c r="AN26" s="910">
        <v>2259.42</v>
      </c>
      <c r="AO26" s="910">
        <v>0</v>
      </c>
      <c r="AP26" s="910">
        <v>0</v>
      </c>
      <c r="AQ26" s="911">
        <v>11297.05</v>
      </c>
      <c r="AR26" s="909">
        <v>13831.76</v>
      </c>
      <c r="AS26" s="910">
        <v>0</v>
      </c>
      <c r="AT26" s="910">
        <v>3457.95</v>
      </c>
      <c r="AU26" s="910">
        <v>0</v>
      </c>
      <c r="AV26" s="910">
        <v>0</v>
      </c>
      <c r="AW26" s="911">
        <v>17289.71</v>
      </c>
      <c r="AX26" s="912"/>
      <c r="AY26" s="913"/>
      <c r="AZ26" s="913"/>
      <c r="BA26" s="913"/>
      <c r="BB26" s="913"/>
      <c r="BC26" s="914"/>
      <c r="BD26" s="909">
        <v>899.91</v>
      </c>
      <c r="BE26" s="910">
        <v>0</v>
      </c>
      <c r="BF26" s="910">
        <v>2045.09</v>
      </c>
      <c r="BG26" s="910">
        <v>0</v>
      </c>
      <c r="BH26" s="910">
        <v>40</v>
      </c>
      <c r="BI26" s="911">
        <v>2985</v>
      </c>
      <c r="BJ26" s="909">
        <v>111771.89</v>
      </c>
      <c r="BK26" s="910">
        <v>0</v>
      </c>
      <c r="BL26" s="910">
        <v>14157.77</v>
      </c>
      <c r="BM26" s="910">
        <v>23099.5</v>
      </c>
      <c r="BN26" s="910">
        <v>-0.03</v>
      </c>
      <c r="BO26" s="911">
        <v>149029.13</v>
      </c>
      <c r="BP26" s="909">
        <v>927298.7</v>
      </c>
      <c r="BQ26" s="910">
        <v>29941.39</v>
      </c>
      <c r="BR26" s="910">
        <v>774908.73</v>
      </c>
      <c r="BS26" s="910">
        <v>91165.73</v>
      </c>
      <c r="BT26" s="910">
        <v>-0.6</v>
      </c>
      <c r="BU26" s="911">
        <v>1823313.95</v>
      </c>
      <c r="BV26" s="909">
        <v>252517.75</v>
      </c>
      <c r="BW26" s="910">
        <v>0</v>
      </c>
      <c r="BX26" s="910">
        <v>173623.73</v>
      </c>
      <c r="BY26" s="910">
        <v>78167.97</v>
      </c>
      <c r="BZ26" s="910">
        <v>5765.04</v>
      </c>
      <c r="CA26" s="911">
        <v>510074.49</v>
      </c>
      <c r="CB26" s="909">
        <v>6556.71</v>
      </c>
      <c r="CC26" s="910">
        <v>0</v>
      </c>
      <c r="CD26" s="910">
        <v>0</v>
      </c>
      <c r="CE26" s="910">
        <v>11308.96</v>
      </c>
      <c r="CF26" s="910">
        <v>0</v>
      </c>
      <c r="CG26" s="911">
        <v>17865.669999999998</v>
      </c>
      <c r="CH26" s="912"/>
      <c r="CI26" s="913"/>
      <c r="CJ26" s="913"/>
      <c r="CK26" s="913"/>
      <c r="CL26" s="913"/>
      <c r="CM26" s="914"/>
      <c r="CN26" s="909">
        <v>70451.199999999997</v>
      </c>
      <c r="CO26" s="910">
        <v>0</v>
      </c>
      <c r="CP26" s="910">
        <v>0</v>
      </c>
      <c r="CQ26" s="910">
        <v>0</v>
      </c>
      <c r="CR26" s="910">
        <v>0</v>
      </c>
      <c r="CS26" s="911">
        <v>70451.199999999997</v>
      </c>
      <c r="CT26" s="909">
        <v>232460.87</v>
      </c>
      <c r="CU26" s="910">
        <v>0</v>
      </c>
      <c r="CV26" s="910">
        <v>188182.62</v>
      </c>
      <c r="CW26" s="910">
        <v>22139.13</v>
      </c>
      <c r="CX26" s="910">
        <v>270.88</v>
      </c>
      <c r="CY26" s="911">
        <v>443053.5</v>
      </c>
      <c r="CZ26" s="909">
        <v>923394.9</v>
      </c>
      <c r="DA26" s="910">
        <v>201471.83</v>
      </c>
      <c r="DB26" s="910">
        <v>0</v>
      </c>
      <c r="DC26" s="910">
        <v>0</v>
      </c>
      <c r="DD26" s="910">
        <v>0</v>
      </c>
      <c r="DE26" s="911">
        <v>1124866.73</v>
      </c>
      <c r="DF26" s="909">
        <v>10651.3</v>
      </c>
      <c r="DG26" s="910">
        <v>0</v>
      </c>
      <c r="DH26" s="910">
        <v>7349.39</v>
      </c>
      <c r="DI26" s="910">
        <v>3301.9</v>
      </c>
      <c r="DJ26" s="910">
        <v>0</v>
      </c>
      <c r="DK26" s="911">
        <v>21302.59</v>
      </c>
      <c r="DL26" s="909">
        <v>4970</v>
      </c>
      <c r="DM26" s="910">
        <v>0</v>
      </c>
      <c r="DN26" s="910">
        <v>29.59</v>
      </c>
      <c r="DO26" s="910">
        <v>917.08</v>
      </c>
      <c r="DP26" s="910">
        <v>0.01</v>
      </c>
      <c r="DQ26" s="911">
        <v>5916.68</v>
      </c>
      <c r="DR26" s="912"/>
      <c r="DS26" s="913"/>
      <c r="DT26" s="913"/>
      <c r="DU26" s="913"/>
      <c r="DV26" s="913"/>
      <c r="DW26" s="914"/>
    </row>
    <row r="27" spans="1:127">
      <c r="A27" s="1107" t="s">
        <v>59</v>
      </c>
      <c r="B27" s="904" t="s">
        <v>60</v>
      </c>
      <c r="C27" s="905">
        <f t="shared" si="5"/>
        <v>148256.02000000002</v>
      </c>
      <c r="D27" s="906">
        <f t="shared" si="4"/>
        <v>40298.090000000004</v>
      </c>
      <c r="E27" s="907">
        <f t="shared" si="6"/>
        <v>23011.339999999997</v>
      </c>
      <c r="F27" s="908">
        <f t="shared" si="7"/>
        <v>23011.569999999996</v>
      </c>
      <c r="G27" s="907">
        <f t="shared" si="7"/>
        <v>-0.23</v>
      </c>
      <c r="H27" s="912"/>
      <c r="I27" s="913"/>
      <c r="J27" s="913"/>
      <c r="K27" s="913"/>
      <c r="L27" s="913"/>
      <c r="M27" s="914"/>
      <c r="N27" s="909">
        <v>1106.48</v>
      </c>
      <c r="O27" s="910">
        <v>0</v>
      </c>
      <c r="P27" s="910">
        <v>0</v>
      </c>
      <c r="Q27" s="910">
        <v>276.62</v>
      </c>
      <c r="R27" s="910">
        <v>0</v>
      </c>
      <c r="S27" s="911">
        <v>1383.1</v>
      </c>
      <c r="T27" s="909">
        <v>1468.32</v>
      </c>
      <c r="U27" s="910">
        <v>0</v>
      </c>
      <c r="V27" s="910">
        <v>8.74</v>
      </c>
      <c r="W27" s="910">
        <v>270.94</v>
      </c>
      <c r="X27" s="910">
        <v>0</v>
      </c>
      <c r="Y27" s="911">
        <v>1748</v>
      </c>
      <c r="Z27" s="915">
        <v>10185.620000000001</v>
      </c>
      <c r="AA27" s="916">
        <v>0</v>
      </c>
      <c r="AB27" s="916">
        <v>0</v>
      </c>
      <c r="AC27" s="916">
        <v>2546.41</v>
      </c>
      <c r="AD27" s="916">
        <v>0</v>
      </c>
      <c r="AE27" s="917">
        <v>12732.03</v>
      </c>
      <c r="AF27" s="912"/>
      <c r="AG27" s="913"/>
      <c r="AH27" s="913"/>
      <c r="AI27" s="913"/>
      <c r="AJ27" s="913"/>
      <c r="AK27" s="914"/>
      <c r="AL27" s="912"/>
      <c r="AM27" s="913"/>
      <c r="AN27" s="913"/>
      <c r="AO27" s="913"/>
      <c r="AP27" s="913"/>
      <c r="AQ27" s="914"/>
      <c r="AR27" s="912"/>
      <c r="AS27" s="913"/>
      <c r="AT27" s="913"/>
      <c r="AU27" s="913"/>
      <c r="AV27" s="913"/>
      <c r="AW27" s="914"/>
      <c r="AX27" s="912"/>
      <c r="AY27" s="913"/>
      <c r="AZ27" s="913"/>
      <c r="BA27" s="913"/>
      <c r="BB27" s="913"/>
      <c r="BC27" s="914"/>
      <c r="BD27" s="912"/>
      <c r="BE27" s="913"/>
      <c r="BF27" s="913"/>
      <c r="BG27" s="913"/>
      <c r="BH27" s="913"/>
      <c r="BI27" s="914"/>
      <c r="BJ27" s="909">
        <v>14060.99</v>
      </c>
      <c r="BK27" s="910">
        <v>0</v>
      </c>
      <c r="BL27" s="910">
        <v>1781.07</v>
      </c>
      <c r="BM27" s="910">
        <v>2905.94</v>
      </c>
      <c r="BN27" s="910">
        <v>0</v>
      </c>
      <c r="BO27" s="911">
        <v>18748</v>
      </c>
      <c r="BP27" s="909">
        <v>21349.11</v>
      </c>
      <c r="BQ27" s="910">
        <v>663.38</v>
      </c>
      <c r="BR27" s="910">
        <v>17819.650000000001</v>
      </c>
      <c r="BS27" s="910">
        <v>2096.42</v>
      </c>
      <c r="BT27" s="910">
        <v>-0.16</v>
      </c>
      <c r="BU27" s="911">
        <v>41928.400000000001</v>
      </c>
      <c r="BV27" s="909">
        <v>4202.38</v>
      </c>
      <c r="BW27" s="910">
        <v>0</v>
      </c>
      <c r="BX27" s="910">
        <v>2244.13</v>
      </c>
      <c r="BY27" s="910">
        <v>1182.51</v>
      </c>
      <c r="BZ27" s="910">
        <v>-0.02</v>
      </c>
      <c r="CA27" s="911">
        <v>7629</v>
      </c>
      <c r="CB27" s="909">
        <v>5453.85</v>
      </c>
      <c r="CC27" s="910">
        <v>0</v>
      </c>
      <c r="CD27" s="910">
        <v>0</v>
      </c>
      <c r="CE27" s="910">
        <v>9406.7199999999993</v>
      </c>
      <c r="CF27" s="910">
        <v>0</v>
      </c>
      <c r="CG27" s="911">
        <v>14860.57</v>
      </c>
      <c r="CH27" s="909">
        <v>70.680000000000007</v>
      </c>
      <c r="CI27" s="910">
        <v>0</v>
      </c>
      <c r="CJ27" s="910">
        <v>0</v>
      </c>
      <c r="CK27" s="910">
        <v>217.82</v>
      </c>
      <c r="CL27" s="910">
        <v>0</v>
      </c>
      <c r="CM27" s="911">
        <v>288.5</v>
      </c>
      <c r="CN27" s="912"/>
      <c r="CO27" s="913"/>
      <c r="CP27" s="913"/>
      <c r="CQ27" s="913"/>
      <c r="CR27" s="913"/>
      <c r="CS27" s="914"/>
      <c r="CT27" s="909">
        <v>19228.669999999998</v>
      </c>
      <c r="CU27" s="910">
        <v>0</v>
      </c>
      <c r="CV27" s="910">
        <v>15566.07</v>
      </c>
      <c r="CW27" s="910">
        <v>1831.3</v>
      </c>
      <c r="CX27" s="910">
        <v>-0.04</v>
      </c>
      <c r="CY27" s="911">
        <v>36626</v>
      </c>
      <c r="CZ27" s="909">
        <v>47670.2</v>
      </c>
      <c r="DA27" s="910">
        <v>13262.2</v>
      </c>
      <c r="DB27" s="910">
        <v>0</v>
      </c>
      <c r="DC27" s="910">
        <v>0</v>
      </c>
      <c r="DD27" s="910">
        <v>0</v>
      </c>
      <c r="DE27" s="911">
        <v>60932.4</v>
      </c>
      <c r="DF27" s="909">
        <v>4125</v>
      </c>
      <c r="DG27" s="910">
        <v>0</v>
      </c>
      <c r="DH27" s="910">
        <v>2846.24</v>
      </c>
      <c r="DI27" s="910">
        <v>1278.76</v>
      </c>
      <c r="DJ27" s="910">
        <v>0</v>
      </c>
      <c r="DK27" s="911">
        <v>8250</v>
      </c>
      <c r="DL27" s="909">
        <v>5409.14</v>
      </c>
      <c r="DM27" s="910">
        <v>0</v>
      </c>
      <c r="DN27" s="910">
        <v>32.19</v>
      </c>
      <c r="DO27" s="910">
        <v>998.13</v>
      </c>
      <c r="DP27" s="910">
        <v>-0.01</v>
      </c>
      <c r="DQ27" s="911">
        <v>6439.45</v>
      </c>
      <c r="DR27" s="912"/>
      <c r="DS27" s="913"/>
      <c r="DT27" s="913"/>
      <c r="DU27" s="913"/>
      <c r="DV27" s="913"/>
      <c r="DW27" s="914"/>
    </row>
    <row r="28" spans="1:127">
      <c r="A28" s="1107" t="s">
        <v>61</v>
      </c>
      <c r="B28" s="904" t="s">
        <v>62</v>
      </c>
      <c r="C28" s="905">
        <f t="shared" si="5"/>
        <v>57178.82</v>
      </c>
      <c r="D28" s="906">
        <f t="shared" si="4"/>
        <v>2930.19</v>
      </c>
      <c r="E28" s="907">
        <f t="shared" si="6"/>
        <v>1668.05</v>
      </c>
      <c r="F28" s="908">
        <f t="shared" si="7"/>
        <v>1618.07</v>
      </c>
      <c r="G28" s="907">
        <f t="shared" si="7"/>
        <v>49.980000000000004</v>
      </c>
      <c r="H28" s="912"/>
      <c r="I28" s="913"/>
      <c r="J28" s="913"/>
      <c r="K28" s="913"/>
      <c r="L28" s="913"/>
      <c r="M28" s="914"/>
      <c r="N28" s="909">
        <v>3128.05</v>
      </c>
      <c r="O28" s="910">
        <v>0</v>
      </c>
      <c r="P28" s="910">
        <v>0</v>
      </c>
      <c r="Q28" s="910">
        <v>782.01</v>
      </c>
      <c r="R28" s="910">
        <v>0</v>
      </c>
      <c r="S28" s="911">
        <v>3910.06</v>
      </c>
      <c r="T28" s="912"/>
      <c r="U28" s="913"/>
      <c r="V28" s="913"/>
      <c r="W28" s="913"/>
      <c r="X28" s="913"/>
      <c r="Y28" s="914"/>
      <c r="Z28" s="912"/>
      <c r="AA28" s="913"/>
      <c r="AB28" s="913"/>
      <c r="AC28" s="913"/>
      <c r="AD28" s="913"/>
      <c r="AE28" s="914"/>
      <c r="AF28" s="912"/>
      <c r="AG28" s="913"/>
      <c r="AH28" s="913"/>
      <c r="AI28" s="913"/>
      <c r="AJ28" s="913"/>
      <c r="AK28" s="914"/>
      <c r="AL28" s="909">
        <v>800</v>
      </c>
      <c r="AM28" s="910">
        <v>0</v>
      </c>
      <c r="AN28" s="910">
        <v>200</v>
      </c>
      <c r="AO28" s="910">
        <v>0</v>
      </c>
      <c r="AP28" s="910">
        <v>0</v>
      </c>
      <c r="AQ28" s="911">
        <v>1000</v>
      </c>
      <c r="AR28" s="909">
        <v>0</v>
      </c>
      <c r="AS28" s="910">
        <v>0</v>
      </c>
      <c r="AT28" s="910">
        <v>0</v>
      </c>
      <c r="AU28" s="910">
        <v>0</v>
      </c>
      <c r="AV28" s="910">
        <v>50</v>
      </c>
      <c r="AW28" s="911">
        <v>50</v>
      </c>
      <c r="AX28" s="912"/>
      <c r="AY28" s="913"/>
      <c r="AZ28" s="913"/>
      <c r="BA28" s="913"/>
      <c r="BB28" s="913"/>
      <c r="BC28" s="914"/>
      <c r="BD28" s="912"/>
      <c r="BE28" s="913"/>
      <c r="BF28" s="913"/>
      <c r="BG28" s="913"/>
      <c r="BH28" s="913"/>
      <c r="BI28" s="914"/>
      <c r="BJ28" s="912"/>
      <c r="BK28" s="913"/>
      <c r="BL28" s="913"/>
      <c r="BM28" s="913"/>
      <c r="BN28" s="913"/>
      <c r="BO28" s="914"/>
      <c r="BP28" s="909">
        <v>772.8</v>
      </c>
      <c r="BQ28" s="910">
        <v>0</v>
      </c>
      <c r="BR28" s="910">
        <v>625.6</v>
      </c>
      <c r="BS28" s="910">
        <v>73.599999999999994</v>
      </c>
      <c r="BT28" s="910">
        <v>0</v>
      </c>
      <c r="BU28" s="911">
        <v>1472</v>
      </c>
      <c r="BV28" s="909">
        <v>2249.9899999999998</v>
      </c>
      <c r="BW28" s="910">
        <v>0</v>
      </c>
      <c r="BX28" s="910">
        <v>1552.51</v>
      </c>
      <c r="BY28" s="910">
        <v>697.51</v>
      </c>
      <c r="BZ28" s="910">
        <v>-0.01</v>
      </c>
      <c r="CA28" s="911">
        <v>4500</v>
      </c>
      <c r="CB28" s="912"/>
      <c r="CC28" s="913"/>
      <c r="CD28" s="913"/>
      <c r="CE28" s="913"/>
      <c r="CF28" s="913"/>
      <c r="CG28" s="914"/>
      <c r="CH28" s="912"/>
      <c r="CI28" s="913"/>
      <c r="CJ28" s="913"/>
      <c r="CK28" s="913"/>
      <c r="CL28" s="913"/>
      <c r="CM28" s="914"/>
      <c r="CN28" s="909">
        <v>33845</v>
      </c>
      <c r="CO28" s="910">
        <v>0</v>
      </c>
      <c r="CP28" s="910">
        <v>0</v>
      </c>
      <c r="CQ28" s="910">
        <v>0</v>
      </c>
      <c r="CR28" s="910">
        <v>0</v>
      </c>
      <c r="CS28" s="911">
        <v>33845</v>
      </c>
      <c r="CT28" s="909">
        <v>681.98</v>
      </c>
      <c r="CU28" s="910">
        <v>0</v>
      </c>
      <c r="CV28" s="910">
        <v>552.08000000000004</v>
      </c>
      <c r="CW28" s="910">
        <v>64.95</v>
      </c>
      <c r="CX28" s="910">
        <v>-0.01</v>
      </c>
      <c r="CY28" s="911">
        <v>1299</v>
      </c>
      <c r="CZ28" s="909">
        <v>14416.5</v>
      </c>
      <c r="DA28" s="910">
        <v>1284.5</v>
      </c>
      <c r="DB28" s="910">
        <v>0</v>
      </c>
      <c r="DC28" s="910">
        <v>0</v>
      </c>
      <c r="DD28" s="910">
        <v>0</v>
      </c>
      <c r="DE28" s="911">
        <v>15701</v>
      </c>
      <c r="DF28" s="912"/>
      <c r="DG28" s="913"/>
      <c r="DH28" s="913"/>
      <c r="DI28" s="913"/>
      <c r="DJ28" s="913"/>
      <c r="DK28" s="914"/>
      <c r="DL28" s="912"/>
      <c r="DM28" s="913"/>
      <c r="DN28" s="913"/>
      <c r="DO28" s="913"/>
      <c r="DP28" s="913"/>
      <c r="DQ28" s="914"/>
      <c r="DR28" s="912"/>
      <c r="DS28" s="913"/>
      <c r="DT28" s="913"/>
      <c r="DU28" s="913"/>
      <c r="DV28" s="913"/>
      <c r="DW28" s="914"/>
    </row>
    <row r="29" spans="1:127">
      <c r="A29" s="1107" t="s">
        <v>63</v>
      </c>
      <c r="B29" s="904" t="s">
        <v>64</v>
      </c>
      <c r="C29" s="905">
        <f t="shared" si="5"/>
        <v>893259.75999999989</v>
      </c>
      <c r="D29" s="906">
        <f t="shared" si="4"/>
        <v>213766.5</v>
      </c>
      <c r="E29" s="907">
        <f t="shared" si="6"/>
        <v>60624.729999999996</v>
      </c>
      <c r="F29" s="908">
        <f t="shared" si="7"/>
        <v>60599.679999999993</v>
      </c>
      <c r="G29" s="907">
        <f t="shared" si="7"/>
        <v>25.05</v>
      </c>
      <c r="H29" s="912"/>
      <c r="I29" s="913"/>
      <c r="J29" s="913"/>
      <c r="K29" s="913"/>
      <c r="L29" s="913"/>
      <c r="M29" s="914"/>
      <c r="N29" s="909">
        <v>12154.59</v>
      </c>
      <c r="O29" s="910">
        <v>0</v>
      </c>
      <c r="P29" s="910">
        <v>0</v>
      </c>
      <c r="Q29" s="910">
        <v>3038.65</v>
      </c>
      <c r="R29" s="910">
        <v>0</v>
      </c>
      <c r="S29" s="911">
        <v>15193.24</v>
      </c>
      <c r="T29" s="909">
        <v>4935.8999999999996</v>
      </c>
      <c r="U29" s="910">
        <v>0</v>
      </c>
      <c r="V29" s="910">
        <v>29.4</v>
      </c>
      <c r="W29" s="910">
        <v>910.8</v>
      </c>
      <c r="X29" s="910">
        <v>-0.03</v>
      </c>
      <c r="Y29" s="911">
        <v>5876.07</v>
      </c>
      <c r="Z29" s="915">
        <v>21680.83</v>
      </c>
      <c r="AA29" s="916">
        <v>0</v>
      </c>
      <c r="AB29" s="916">
        <v>0</v>
      </c>
      <c r="AC29" s="916">
        <v>5420.2</v>
      </c>
      <c r="AD29" s="916">
        <v>25.67</v>
      </c>
      <c r="AE29" s="917">
        <v>27126.7</v>
      </c>
      <c r="AF29" s="912"/>
      <c r="AG29" s="913"/>
      <c r="AH29" s="913"/>
      <c r="AI29" s="913"/>
      <c r="AJ29" s="913"/>
      <c r="AK29" s="914"/>
      <c r="AL29" s="909">
        <v>2101.9499999999998</v>
      </c>
      <c r="AM29" s="910">
        <v>0</v>
      </c>
      <c r="AN29" s="910">
        <v>525.49</v>
      </c>
      <c r="AO29" s="910">
        <v>0</v>
      </c>
      <c r="AP29" s="910">
        <v>0</v>
      </c>
      <c r="AQ29" s="911">
        <v>2627.44</v>
      </c>
      <c r="AR29" s="909">
        <v>9353.4</v>
      </c>
      <c r="AS29" s="910">
        <v>0</v>
      </c>
      <c r="AT29" s="910">
        <v>2338.35</v>
      </c>
      <c r="AU29" s="910">
        <v>0</v>
      </c>
      <c r="AV29" s="910">
        <v>0</v>
      </c>
      <c r="AW29" s="911">
        <v>11691.75</v>
      </c>
      <c r="AX29" s="912"/>
      <c r="AY29" s="913"/>
      <c r="AZ29" s="913"/>
      <c r="BA29" s="913"/>
      <c r="BB29" s="913"/>
      <c r="BC29" s="914"/>
      <c r="BD29" s="912"/>
      <c r="BE29" s="913"/>
      <c r="BF29" s="913"/>
      <c r="BG29" s="913"/>
      <c r="BH29" s="913"/>
      <c r="BI29" s="914"/>
      <c r="BJ29" s="909">
        <v>3000</v>
      </c>
      <c r="BK29" s="910">
        <v>0</v>
      </c>
      <c r="BL29" s="910">
        <v>380.01</v>
      </c>
      <c r="BM29" s="910">
        <v>620.01</v>
      </c>
      <c r="BN29" s="910">
        <v>-0.02</v>
      </c>
      <c r="BO29" s="911">
        <v>4000</v>
      </c>
      <c r="BP29" s="909">
        <v>132056.48000000001</v>
      </c>
      <c r="BQ29" s="910">
        <v>4899.63</v>
      </c>
      <c r="BR29" s="910">
        <v>110869.27</v>
      </c>
      <c r="BS29" s="910">
        <v>13043.42</v>
      </c>
      <c r="BT29" s="910">
        <v>-0.4</v>
      </c>
      <c r="BU29" s="911">
        <v>260868.4</v>
      </c>
      <c r="BV29" s="909">
        <v>62671.73</v>
      </c>
      <c r="BW29" s="910">
        <v>0</v>
      </c>
      <c r="BX29" s="910">
        <v>36037.910000000003</v>
      </c>
      <c r="BY29" s="910">
        <v>18106.560000000001</v>
      </c>
      <c r="BZ29" s="910">
        <v>-0.15</v>
      </c>
      <c r="CA29" s="911">
        <v>116816.05</v>
      </c>
      <c r="CB29" s="909">
        <v>5870.74</v>
      </c>
      <c r="CC29" s="910">
        <v>0</v>
      </c>
      <c r="CD29" s="910">
        <v>0</v>
      </c>
      <c r="CE29" s="910">
        <v>10125.81</v>
      </c>
      <c r="CF29" s="910">
        <v>0</v>
      </c>
      <c r="CG29" s="911">
        <v>15996.55</v>
      </c>
      <c r="CH29" s="912"/>
      <c r="CI29" s="913"/>
      <c r="CJ29" s="913"/>
      <c r="CK29" s="913"/>
      <c r="CL29" s="913"/>
      <c r="CM29" s="914"/>
      <c r="CN29" s="909">
        <v>369508</v>
      </c>
      <c r="CO29" s="910">
        <v>0</v>
      </c>
      <c r="CP29" s="910">
        <v>0</v>
      </c>
      <c r="CQ29" s="910">
        <v>0</v>
      </c>
      <c r="CR29" s="910">
        <v>0</v>
      </c>
      <c r="CS29" s="911">
        <v>369508</v>
      </c>
      <c r="CT29" s="909">
        <v>73262.63</v>
      </c>
      <c r="CU29" s="910">
        <v>-4.9000000000000004</v>
      </c>
      <c r="CV29" s="910">
        <v>59303.89</v>
      </c>
      <c r="CW29" s="910">
        <v>6976.92</v>
      </c>
      <c r="CX29" s="910">
        <v>-0.01</v>
      </c>
      <c r="CY29" s="911">
        <v>139538.53</v>
      </c>
      <c r="CZ29" s="909">
        <v>148275.60999999999</v>
      </c>
      <c r="DA29" s="910">
        <v>34924.199999999997</v>
      </c>
      <c r="DB29" s="910">
        <v>0</v>
      </c>
      <c r="DC29" s="910">
        <v>0</v>
      </c>
      <c r="DD29" s="910">
        <v>0</v>
      </c>
      <c r="DE29" s="911">
        <v>183199.81</v>
      </c>
      <c r="DF29" s="909">
        <v>6185.51</v>
      </c>
      <c r="DG29" s="910">
        <v>0</v>
      </c>
      <c r="DH29" s="910">
        <v>4267.99</v>
      </c>
      <c r="DI29" s="910">
        <v>1917.5</v>
      </c>
      <c r="DJ29" s="910">
        <v>0</v>
      </c>
      <c r="DK29" s="911">
        <v>12371</v>
      </c>
      <c r="DL29" s="909">
        <v>2383.46</v>
      </c>
      <c r="DM29" s="910">
        <v>0</v>
      </c>
      <c r="DN29" s="910">
        <v>14.19</v>
      </c>
      <c r="DO29" s="910">
        <v>439.81</v>
      </c>
      <c r="DP29" s="910">
        <v>-0.01</v>
      </c>
      <c r="DQ29" s="911">
        <v>2837.45</v>
      </c>
      <c r="DR29" s="912"/>
      <c r="DS29" s="913"/>
      <c r="DT29" s="913"/>
      <c r="DU29" s="913"/>
      <c r="DV29" s="913"/>
      <c r="DW29" s="914"/>
    </row>
    <row r="30" spans="1:127">
      <c r="A30" s="1107" t="s">
        <v>65</v>
      </c>
      <c r="B30" s="904" t="s">
        <v>66</v>
      </c>
      <c r="C30" s="905">
        <f t="shared" si="5"/>
        <v>94190.53</v>
      </c>
      <c r="D30" s="906">
        <f t="shared" si="4"/>
        <v>45016.46</v>
      </c>
      <c r="E30" s="907">
        <f t="shared" si="6"/>
        <v>14907.160000000002</v>
      </c>
      <c r="F30" s="908">
        <f t="shared" si="7"/>
        <v>14907.310000000001</v>
      </c>
      <c r="G30" s="907">
        <f t="shared" si="7"/>
        <v>-0.15</v>
      </c>
      <c r="H30" s="912"/>
      <c r="I30" s="913"/>
      <c r="J30" s="913"/>
      <c r="K30" s="913"/>
      <c r="L30" s="913"/>
      <c r="M30" s="914"/>
      <c r="N30" s="909">
        <v>1132.31</v>
      </c>
      <c r="O30" s="910">
        <v>0</v>
      </c>
      <c r="P30" s="910">
        <v>0</v>
      </c>
      <c r="Q30" s="910">
        <v>283.08</v>
      </c>
      <c r="R30" s="910">
        <v>0</v>
      </c>
      <c r="S30" s="911">
        <v>1415.39</v>
      </c>
      <c r="T30" s="909">
        <v>1709.4</v>
      </c>
      <c r="U30" s="910">
        <v>0</v>
      </c>
      <c r="V30" s="910">
        <v>10.18</v>
      </c>
      <c r="W30" s="910">
        <v>315.43</v>
      </c>
      <c r="X30" s="910">
        <v>-0.01</v>
      </c>
      <c r="Y30" s="911">
        <v>2035</v>
      </c>
      <c r="Z30" s="915">
        <v>5511.39</v>
      </c>
      <c r="AA30" s="916">
        <v>0</v>
      </c>
      <c r="AB30" s="916">
        <v>0</v>
      </c>
      <c r="AC30" s="916">
        <v>1377.82</v>
      </c>
      <c r="AD30" s="916">
        <v>0</v>
      </c>
      <c r="AE30" s="917">
        <v>6889.21</v>
      </c>
      <c r="AF30" s="912"/>
      <c r="AG30" s="913"/>
      <c r="AH30" s="913"/>
      <c r="AI30" s="913"/>
      <c r="AJ30" s="913"/>
      <c r="AK30" s="914"/>
      <c r="AL30" s="912"/>
      <c r="AM30" s="913"/>
      <c r="AN30" s="913"/>
      <c r="AO30" s="913"/>
      <c r="AP30" s="913"/>
      <c r="AQ30" s="914"/>
      <c r="AR30" s="912"/>
      <c r="AS30" s="913"/>
      <c r="AT30" s="913"/>
      <c r="AU30" s="913"/>
      <c r="AV30" s="913"/>
      <c r="AW30" s="914"/>
      <c r="AX30" s="912"/>
      <c r="AY30" s="913"/>
      <c r="AZ30" s="913"/>
      <c r="BA30" s="913"/>
      <c r="BB30" s="913"/>
      <c r="BC30" s="914"/>
      <c r="BD30" s="912"/>
      <c r="BE30" s="913"/>
      <c r="BF30" s="913"/>
      <c r="BG30" s="913"/>
      <c r="BH30" s="913"/>
      <c r="BI30" s="914"/>
      <c r="BJ30" s="912"/>
      <c r="BK30" s="913"/>
      <c r="BL30" s="913"/>
      <c r="BM30" s="913"/>
      <c r="BN30" s="913"/>
      <c r="BO30" s="914"/>
      <c r="BP30" s="909">
        <v>26131.84</v>
      </c>
      <c r="BQ30" s="910">
        <v>1178.04</v>
      </c>
      <c r="BR30" s="910">
        <v>22108</v>
      </c>
      <c r="BS30" s="910">
        <v>2600.94</v>
      </c>
      <c r="BT30" s="910">
        <v>-0.09</v>
      </c>
      <c r="BU30" s="911">
        <v>52018.73</v>
      </c>
      <c r="BV30" s="909">
        <v>29292.15</v>
      </c>
      <c r="BW30" s="910">
        <v>0</v>
      </c>
      <c r="BX30" s="910">
        <v>20052.03</v>
      </c>
      <c r="BY30" s="910">
        <v>9051.2900000000009</v>
      </c>
      <c r="BZ30" s="910">
        <v>-0.05</v>
      </c>
      <c r="CA30" s="911">
        <v>58395.42</v>
      </c>
      <c r="CB30" s="912"/>
      <c r="CC30" s="913"/>
      <c r="CD30" s="913"/>
      <c r="CE30" s="913"/>
      <c r="CF30" s="913"/>
      <c r="CG30" s="914"/>
      <c r="CH30" s="912"/>
      <c r="CI30" s="913"/>
      <c r="CJ30" s="913"/>
      <c r="CK30" s="913"/>
      <c r="CL30" s="913"/>
      <c r="CM30" s="914"/>
      <c r="CN30" s="912"/>
      <c r="CO30" s="913"/>
      <c r="CP30" s="913"/>
      <c r="CQ30" s="913"/>
      <c r="CR30" s="913"/>
      <c r="CS30" s="914"/>
      <c r="CT30" s="912"/>
      <c r="CU30" s="913"/>
      <c r="CV30" s="913"/>
      <c r="CW30" s="913"/>
      <c r="CX30" s="913"/>
      <c r="CY30" s="914"/>
      <c r="CZ30" s="909">
        <v>21437</v>
      </c>
      <c r="DA30" s="910">
        <v>3673.4</v>
      </c>
      <c r="DB30" s="910">
        <v>0</v>
      </c>
      <c r="DC30" s="910">
        <v>0</v>
      </c>
      <c r="DD30" s="910">
        <v>0</v>
      </c>
      <c r="DE30" s="911">
        <v>25110.400000000001</v>
      </c>
      <c r="DF30" s="909">
        <v>4125</v>
      </c>
      <c r="DG30" s="910">
        <v>0</v>
      </c>
      <c r="DH30" s="910">
        <v>2846.25</v>
      </c>
      <c r="DI30" s="910">
        <v>1278.75</v>
      </c>
      <c r="DJ30" s="910">
        <v>0</v>
      </c>
      <c r="DK30" s="911">
        <v>8250</v>
      </c>
      <c r="DL30" s="912"/>
      <c r="DM30" s="913"/>
      <c r="DN30" s="913"/>
      <c r="DO30" s="913"/>
      <c r="DP30" s="913"/>
      <c r="DQ30" s="914"/>
      <c r="DR30" s="912"/>
      <c r="DS30" s="913"/>
      <c r="DT30" s="913"/>
      <c r="DU30" s="913"/>
      <c r="DV30" s="913"/>
      <c r="DW30" s="914"/>
    </row>
    <row r="31" spans="1:127">
      <c r="A31" s="1107" t="s">
        <v>69</v>
      </c>
      <c r="B31" s="904" t="s">
        <v>70</v>
      </c>
      <c r="C31" s="905">
        <f t="shared" si="5"/>
        <v>164534.51999999999</v>
      </c>
      <c r="D31" s="906">
        <f t="shared" si="4"/>
        <v>31740.620000000003</v>
      </c>
      <c r="E31" s="907">
        <f t="shared" si="6"/>
        <v>30579.48</v>
      </c>
      <c r="F31" s="908">
        <f t="shared" si="7"/>
        <v>30579.72</v>
      </c>
      <c r="G31" s="907">
        <f t="shared" si="7"/>
        <v>-0.24000000000000002</v>
      </c>
      <c r="H31" s="909">
        <v>0</v>
      </c>
      <c r="I31" s="910">
        <v>0</v>
      </c>
      <c r="J31" s="910">
        <v>3110</v>
      </c>
      <c r="K31" s="910">
        <v>0</v>
      </c>
      <c r="L31" s="910">
        <v>0</v>
      </c>
      <c r="M31" s="911">
        <v>3110</v>
      </c>
      <c r="N31" s="909">
        <v>3717.29</v>
      </c>
      <c r="O31" s="910">
        <v>0</v>
      </c>
      <c r="P31" s="910">
        <v>0</v>
      </c>
      <c r="Q31" s="910">
        <v>929.32</v>
      </c>
      <c r="R31" s="910">
        <v>0</v>
      </c>
      <c r="S31" s="911">
        <v>4646.6099999999997</v>
      </c>
      <c r="T31" s="909">
        <v>6535.2</v>
      </c>
      <c r="U31" s="910">
        <v>0</v>
      </c>
      <c r="V31" s="910">
        <v>38.9</v>
      </c>
      <c r="W31" s="910">
        <v>1205.9000000000001</v>
      </c>
      <c r="X31" s="910">
        <v>0</v>
      </c>
      <c r="Y31" s="911">
        <v>7780</v>
      </c>
      <c r="Z31" s="915">
        <v>39623.879999999997</v>
      </c>
      <c r="AA31" s="916">
        <v>0</v>
      </c>
      <c r="AB31" s="916">
        <v>0</v>
      </c>
      <c r="AC31" s="916">
        <v>9906</v>
      </c>
      <c r="AD31" s="916">
        <v>0</v>
      </c>
      <c r="AE31" s="917">
        <v>49529.88</v>
      </c>
      <c r="AF31" s="912"/>
      <c r="AG31" s="913"/>
      <c r="AH31" s="913"/>
      <c r="AI31" s="913"/>
      <c r="AJ31" s="913"/>
      <c r="AK31" s="914"/>
      <c r="AL31" s="909">
        <v>2112.8000000000002</v>
      </c>
      <c r="AM31" s="910">
        <v>0</v>
      </c>
      <c r="AN31" s="910">
        <v>528.20000000000005</v>
      </c>
      <c r="AO31" s="910">
        <v>0</v>
      </c>
      <c r="AP31" s="910">
        <v>0</v>
      </c>
      <c r="AQ31" s="911">
        <v>2641</v>
      </c>
      <c r="AR31" s="909">
        <v>8161.97</v>
      </c>
      <c r="AS31" s="910">
        <v>0</v>
      </c>
      <c r="AT31" s="910">
        <v>2040.5</v>
      </c>
      <c r="AU31" s="910">
        <v>0</v>
      </c>
      <c r="AV31" s="910">
        <v>0</v>
      </c>
      <c r="AW31" s="911">
        <v>10202.469999999999</v>
      </c>
      <c r="AX31" s="912"/>
      <c r="AY31" s="913"/>
      <c r="AZ31" s="913"/>
      <c r="BA31" s="913"/>
      <c r="BB31" s="913"/>
      <c r="BC31" s="914"/>
      <c r="BD31" s="909">
        <v>29.23</v>
      </c>
      <c r="BE31" s="910">
        <v>0</v>
      </c>
      <c r="BF31" s="910">
        <v>394.77</v>
      </c>
      <c r="BG31" s="910">
        <v>0</v>
      </c>
      <c r="BH31" s="910">
        <v>0</v>
      </c>
      <c r="BI31" s="911">
        <v>424</v>
      </c>
      <c r="BJ31" s="909">
        <v>18293.349999999999</v>
      </c>
      <c r="BK31" s="910">
        <v>0</v>
      </c>
      <c r="BL31" s="910">
        <v>2317.1799999999998</v>
      </c>
      <c r="BM31" s="910">
        <v>3780.65</v>
      </c>
      <c r="BN31" s="910">
        <v>-0.04</v>
      </c>
      <c r="BO31" s="911">
        <v>24391.14</v>
      </c>
      <c r="BP31" s="909">
        <v>15022.16</v>
      </c>
      <c r="BQ31" s="910">
        <v>346.75</v>
      </c>
      <c r="BR31" s="910">
        <v>12441.51</v>
      </c>
      <c r="BS31" s="910">
        <v>1463.7</v>
      </c>
      <c r="BT31" s="910">
        <v>-0.12</v>
      </c>
      <c r="BU31" s="911">
        <v>29274</v>
      </c>
      <c r="BV31" s="909">
        <v>12122.81</v>
      </c>
      <c r="BW31" s="910">
        <v>0</v>
      </c>
      <c r="BX31" s="910">
        <v>8315.49</v>
      </c>
      <c r="BY31" s="910">
        <v>3749.04</v>
      </c>
      <c r="BZ31" s="910">
        <v>-0.02</v>
      </c>
      <c r="CA31" s="911">
        <v>24187.32</v>
      </c>
      <c r="CB31" s="909">
        <v>1578.11</v>
      </c>
      <c r="CC31" s="910">
        <v>0</v>
      </c>
      <c r="CD31" s="910">
        <v>0</v>
      </c>
      <c r="CE31" s="910">
        <v>2721.9</v>
      </c>
      <c r="CF31" s="910">
        <v>-0.01</v>
      </c>
      <c r="CG31" s="911">
        <v>4300</v>
      </c>
      <c r="CH31" s="909">
        <v>1396.5</v>
      </c>
      <c r="CI31" s="910">
        <v>0</v>
      </c>
      <c r="CJ31" s="910">
        <v>0</v>
      </c>
      <c r="CK31" s="910">
        <v>4303.49</v>
      </c>
      <c r="CL31" s="910">
        <v>0</v>
      </c>
      <c r="CM31" s="911">
        <v>5699.99</v>
      </c>
      <c r="CN31" s="909">
        <v>11499</v>
      </c>
      <c r="CO31" s="910">
        <v>0</v>
      </c>
      <c r="CP31" s="910">
        <v>0</v>
      </c>
      <c r="CQ31" s="910">
        <v>0</v>
      </c>
      <c r="CR31" s="910">
        <v>0</v>
      </c>
      <c r="CS31" s="911">
        <v>11499</v>
      </c>
      <c r="CT31" s="912"/>
      <c r="CU31" s="913"/>
      <c r="CV31" s="913"/>
      <c r="CW31" s="913"/>
      <c r="CX31" s="913"/>
      <c r="CY31" s="914"/>
      <c r="CZ31" s="909">
        <v>28217</v>
      </c>
      <c r="DA31" s="910">
        <v>4696</v>
      </c>
      <c r="DB31" s="910">
        <v>0</v>
      </c>
      <c r="DC31" s="910">
        <v>0</v>
      </c>
      <c r="DD31" s="910">
        <v>0</v>
      </c>
      <c r="DE31" s="911">
        <v>32913</v>
      </c>
      <c r="DF31" s="909">
        <v>3636.44</v>
      </c>
      <c r="DG31" s="910">
        <v>0</v>
      </c>
      <c r="DH31" s="910">
        <v>2509.13</v>
      </c>
      <c r="DI31" s="910">
        <v>1127.29</v>
      </c>
      <c r="DJ31" s="910">
        <v>-0.01</v>
      </c>
      <c r="DK31" s="911">
        <v>7272.85</v>
      </c>
      <c r="DL31" s="909">
        <v>7546.03</v>
      </c>
      <c r="DM31" s="910">
        <v>0</v>
      </c>
      <c r="DN31" s="910">
        <v>44.94</v>
      </c>
      <c r="DO31" s="910">
        <v>1392.43</v>
      </c>
      <c r="DP31" s="910">
        <v>-0.04</v>
      </c>
      <c r="DQ31" s="911">
        <v>8983.36</v>
      </c>
      <c r="DR31" s="912"/>
      <c r="DS31" s="913"/>
      <c r="DT31" s="913"/>
      <c r="DU31" s="913"/>
      <c r="DV31" s="913"/>
      <c r="DW31" s="914"/>
    </row>
    <row r="32" spans="1:127">
      <c r="A32" s="1107" t="s">
        <v>71</v>
      </c>
      <c r="B32" s="904" t="s">
        <v>72</v>
      </c>
      <c r="C32" s="905">
        <f t="shared" si="5"/>
        <v>259166.62000000002</v>
      </c>
      <c r="D32" s="906">
        <f t="shared" si="4"/>
        <v>71253.039999999994</v>
      </c>
      <c r="E32" s="907">
        <f t="shared" si="6"/>
        <v>70536.939999999988</v>
      </c>
      <c r="F32" s="908">
        <f t="shared" si="7"/>
        <v>24800.669999999995</v>
      </c>
      <c r="G32" s="907">
        <f t="shared" si="7"/>
        <v>45736.27</v>
      </c>
      <c r="H32" s="912"/>
      <c r="I32" s="913"/>
      <c r="J32" s="913"/>
      <c r="K32" s="913"/>
      <c r="L32" s="913"/>
      <c r="M32" s="914"/>
      <c r="N32" s="909">
        <v>960</v>
      </c>
      <c r="O32" s="910">
        <v>0</v>
      </c>
      <c r="P32" s="910">
        <v>0</v>
      </c>
      <c r="Q32" s="910">
        <v>240</v>
      </c>
      <c r="R32" s="910">
        <v>0</v>
      </c>
      <c r="S32" s="911">
        <v>1200</v>
      </c>
      <c r="T32" s="912"/>
      <c r="U32" s="913"/>
      <c r="V32" s="913"/>
      <c r="W32" s="913"/>
      <c r="X32" s="913"/>
      <c r="Y32" s="914"/>
      <c r="Z32" s="915">
        <v>38538.910000000003</v>
      </c>
      <c r="AA32" s="916">
        <v>0</v>
      </c>
      <c r="AB32" s="916">
        <v>0</v>
      </c>
      <c r="AC32" s="916">
        <v>9634.69</v>
      </c>
      <c r="AD32" s="916">
        <v>45736.73</v>
      </c>
      <c r="AE32" s="917">
        <v>93910.33</v>
      </c>
      <c r="AF32" s="912"/>
      <c r="AG32" s="913"/>
      <c r="AH32" s="913"/>
      <c r="AI32" s="913"/>
      <c r="AJ32" s="913"/>
      <c r="AK32" s="914"/>
      <c r="AL32" s="912"/>
      <c r="AM32" s="913"/>
      <c r="AN32" s="913"/>
      <c r="AO32" s="913"/>
      <c r="AP32" s="913"/>
      <c r="AQ32" s="914"/>
      <c r="AR32" s="909">
        <v>92.38</v>
      </c>
      <c r="AS32" s="910">
        <v>0</v>
      </c>
      <c r="AT32" s="910">
        <v>23.1</v>
      </c>
      <c r="AU32" s="910">
        <v>0</v>
      </c>
      <c r="AV32" s="910">
        <v>0</v>
      </c>
      <c r="AW32" s="911">
        <v>115.48</v>
      </c>
      <c r="AX32" s="912"/>
      <c r="AY32" s="913"/>
      <c r="AZ32" s="913"/>
      <c r="BA32" s="913"/>
      <c r="BB32" s="913"/>
      <c r="BC32" s="914"/>
      <c r="BD32" s="912"/>
      <c r="BE32" s="913"/>
      <c r="BF32" s="913"/>
      <c r="BG32" s="913"/>
      <c r="BH32" s="913"/>
      <c r="BI32" s="914"/>
      <c r="BJ32" s="909">
        <v>12753.62</v>
      </c>
      <c r="BK32" s="910">
        <v>0</v>
      </c>
      <c r="BL32" s="910">
        <v>1615.47</v>
      </c>
      <c r="BM32" s="910">
        <v>2635.75</v>
      </c>
      <c r="BN32" s="910">
        <v>-0.01</v>
      </c>
      <c r="BO32" s="911">
        <v>17004.830000000002</v>
      </c>
      <c r="BP32" s="909">
        <v>69201.08</v>
      </c>
      <c r="BQ32" s="910">
        <v>2376.1</v>
      </c>
      <c r="BR32" s="910">
        <v>57943.46</v>
      </c>
      <c r="BS32" s="910">
        <v>6816.86</v>
      </c>
      <c r="BT32" s="910">
        <v>-0.3</v>
      </c>
      <c r="BU32" s="911">
        <v>136337.20000000001</v>
      </c>
      <c r="BV32" s="909">
        <v>12175.26</v>
      </c>
      <c r="BW32" s="910">
        <v>0</v>
      </c>
      <c r="BX32" s="910">
        <v>8084.06</v>
      </c>
      <c r="BY32" s="910">
        <v>3716.23</v>
      </c>
      <c r="BZ32" s="910">
        <v>-0.05</v>
      </c>
      <c r="CA32" s="911">
        <v>23975.5</v>
      </c>
      <c r="CB32" s="912"/>
      <c r="CC32" s="913"/>
      <c r="CD32" s="913"/>
      <c r="CE32" s="913"/>
      <c r="CF32" s="913"/>
      <c r="CG32" s="914"/>
      <c r="CH32" s="912"/>
      <c r="CI32" s="913"/>
      <c r="CJ32" s="913"/>
      <c r="CK32" s="913"/>
      <c r="CL32" s="913"/>
      <c r="CM32" s="914"/>
      <c r="CN32" s="909">
        <v>9450</v>
      </c>
      <c r="CO32" s="910">
        <v>0</v>
      </c>
      <c r="CP32" s="910">
        <v>0</v>
      </c>
      <c r="CQ32" s="910">
        <v>0</v>
      </c>
      <c r="CR32" s="910">
        <v>0</v>
      </c>
      <c r="CS32" s="911">
        <v>9450</v>
      </c>
      <c r="CT32" s="909">
        <v>2811.37</v>
      </c>
      <c r="CU32" s="910">
        <v>112.5</v>
      </c>
      <c r="CV32" s="910">
        <v>2366.9499999999998</v>
      </c>
      <c r="CW32" s="910">
        <v>278.45999999999998</v>
      </c>
      <c r="CX32" s="910">
        <v>-0.08</v>
      </c>
      <c r="CY32" s="911">
        <v>5569.2</v>
      </c>
      <c r="CZ32" s="909">
        <v>93859.62</v>
      </c>
      <c r="DA32" s="910">
        <v>9994.6</v>
      </c>
      <c r="DB32" s="910">
        <v>0</v>
      </c>
      <c r="DC32" s="910">
        <v>0</v>
      </c>
      <c r="DD32" s="910">
        <v>0</v>
      </c>
      <c r="DE32" s="911">
        <v>103854.22</v>
      </c>
      <c r="DF32" s="909">
        <v>1723.95</v>
      </c>
      <c r="DG32" s="910">
        <v>0</v>
      </c>
      <c r="DH32" s="910">
        <v>1189.53</v>
      </c>
      <c r="DI32" s="910">
        <v>534.41999999999996</v>
      </c>
      <c r="DJ32" s="910">
        <v>0</v>
      </c>
      <c r="DK32" s="911">
        <v>3447.9</v>
      </c>
      <c r="DL32" s="909">
        <v>5117.2299999999996</v>
      </c>
      <c r="DM32" s="910">
        <v>0</v>
      </c>
      <c r="DN32" s="910">
        <v>30.47</v>
      </c>
      <c r="DO32" s="910">
        <v>944.26</v>
      </c>
      <c r="DP32" s="910">
        <v>-0.02</v>
      </c>
      <c r="DQ32" s="911">
        <v>6091.94</v>
      </c>
      <c r="DR32" s="912"/>
      <c r="DS32" s="913"/>
      <c r="DT32" s="913"/>
      <c r="DU32" s="913"/>
      <c r="DV32" s="913"/>
      <c r="DW32" s="914"/>
    </row>
    <row r="33" spans="1:127">
      <c r="A33" s="1107" t="s">
        <v>73</v>
      </c>
      <c r="B33" s="904" t="s">
        <v>74</v>
      </c>
      <c r="C33" s="905">
        <f t="shared" si="5"/>
        <v>242835.41000000003</v>
      </c>
      <c r="D33" s="906">
        <f t="shared" si="4"/>
        <v>79006.3</v>
      </c>
      <c r="E33" s="907">
        <f t="shared" si="6"/>
        <v>17301.55</v>
      </c>
      <c r="F33" s="908">
        <f t="shared" si="7"/>
        <v>17202.27</v>
      </c>
      <c r="G33" s="907">
        <f t="shared" si="7"/>
        <v>99.28</v>
      </c>
      <c r="H33" s="912"/>
      <c r="I33" s="913"/>
      <c r="J33" s="913"/>
      <c r="K33" s="913"/>
      <c r="L33" s="913"/>
      <c r="M33" s="914"/>
      <c r="N33" s="909">
        <v>4285.63</v>
      </c>
      <c r="O33" s="910">
        <v>0</v>
      </c>
      <c r="P33" s="910">
        <v>0</v>
      </c>
      <c r="Q33" s="910">
        <v>1071.42</v>
      </c>
      <c r="R33" s="910">
        <v>0</v>
      </c>
      <c r="S33" s="911">
        <v>5357.05</v>
      </c>
      <c r="T33" s="909">
        <v>1459.07</v>
      </c>
      <c r="U33" s="910">
        <v>0</v>
      </c>
      <c r="V33" s="910">
        <v>8.69</v>
      </c>
      <c r="W33" s="910">
        <v>269.24</v>
      </c>
      <c r="X33" s="910">
        <v>-0.02</v>
      </c>
      <c r="Y33" s="911">
        <v>1736.98</v>
      </c>
      <c r="Z33" s="915">
        <v>6736.91</v>
      </c>
      <c r="AA33" s="916">
        <v>0</v>
      </c>
      <c r="AB33" s="916">
        <v>0</v>
      </c>
      <c r="AC33" s="916">
        <v>1684.27</v>
      </c>
      <c r="AD33" s="916">
        <v>0</v>
      </c>
      <c r="AE33" s="917">
        <v>8421.18</v>
      </c>
      <c r="AF33" s="912"/>
      <c r="AG33" s="913"/>
      <c r="AH33" s="913"/>
      <c r="AI33" s="913"/>
      <c r="AJ33" s="913"/>
      <c r="AK33" s="914"/>
      <c r="AL33" s="909">
        <v>4000</v>
      </c>
      <c r="AM33" s="910">
        <v>0</v>
      </c>
      <c r="AN33" s="910">
        <v>1000</v>
      </c>
      <c r="AO33" s="910">
        <v>0</v>
      </c>
      <c r="AP33" s="910">
        <v>0</v>
      </c>
      <c r="AQ33" s="911">
        <v>5000</v>
      </c>
      <c r="AR33" s="909">
        <v>2059.8000000000002</v>
      </c>
      <c r="AS33" s="910">
        <v>0</v>
      </c>
      <c r="AT33" s="910">
        <v>514.95000000000005</v>
      </c>
      <c r="AU33" s="910">
        <v>0</v>
      </c>
      <c r="AV33" s="910">
        <v>0</v>
      </c>
      <c r="AW33" s="911">
        <v>2574.75</v>
      </c>
      <c r="AX33" s="912"/>
      <c r="AY33" s="913"/>
      <c r="AZ33" s="913"/>
      <c r="BA33" s="913"/>
      <c r="BB33" s="913"/>
      <c r="BC33" s="914"/>
      <c r="BD33" s="912"/>
      <c r="BE33" s="913"/>
      <c r="BF33" s="913"/>
      <c r="BG33" s="913"/>
      <c r="BH33" s="913"/>
      <c r="BI33" s="914"/>
      <c r="BJ33" s="909">
        <v>13770</v>
      </c>
      <c r="BK33" s="910">
        <v>0</v>
      </c>
      <c r="BL33" s="910">
        <v>1744.2</v>
      </c>
      <c r="BM33" s="910">
        <v>2845.8</v>
      </c>
      <c r="BN33" s="910">
        <v>0</v>
      </c>
      <c r="BO33" s="911">
        <v>18360</v>
      </c>
      <c r="BP33" s="909">
        <v>79970.8</v>
      </c>
      <c r="BQ33" s="910">
        <v>3296.97</v>
      </c>
      <c r="BR33" s="910">
        <v>67407.25</v>
      </c>
      <c r="BS33" s="910">
        <v>7930.31</v>
      </c>
      <c r="BT33" s="910">
        <v>-0.35</v>
      </c>
      <c r="BU33" s="911">
        <v>158604.98000000001</v>
      </c>
      <c r="BV33" s="909">
        <v>6868.02</v>
      </c>
      <c r="BW33" s="910">
        <v>0</v>
      </c>
      <c r="BX33" s="910">
        <v>4738.9399999999996</v>
      </c>
      <c r="BY33" s="910">
        <v>2129.1</v>
      </c>
      <c r="BZ33" s="910">
        <v>99.68</v>
      </c>
      <c r="CA33" s="911">
        <v>13835.74</v>
      </c>
      <c r="CB33" s="912"/>
      <c r="CC33" s="913"/>
      <c r="CD33" s="913"/>
      <c r="CE33" s="913"/>
      <c r="CF33" s="913"/>
      <c r="CG33" s="914"/>
      <c r="CH33" s="912"/>
      <c r="CI33" s="913"/>
      <c r="CJ33" s="913"/>
      <c r="CK33" s="913"/>
      <c r="CL33" s="913"/>
      <c r="CM33" s="914"/>
      <c r="CN33" s="909">
        <v>37998.620000000003</v>
      </c>
      <c r="CO33" s="910">
        <v>0</v>
      </c>
      <c r="CP33" s="910">
        <v>0</v>
      </c>
      <c r="CQ33" s="910">
        <v>0</v>
      </c>
      <c r="CR33" s="910">
        <v>0</v>
      </c>
      <c r="CS33" s="911">
        <v>37998.620000000003</v>
      </c>
      <c r="CT33" s="909">
        <v>1273.1400000000001</v>
      </c>
      <c r="CU33" s="910">
        <v>0</v>
      </c>
      <c r="CV33" s="910">
        <v>1030.6400000000001</v>
      </c>
      <c r="CW33" s="910">
        <v>121.25</v>
      </c>
      <c r="CX33" s="910">
        <v>-0.03</v>
      </c>
      <c r="CY33" s="911">
        <v>2425</v>
      </c>
      <c r="CZ33" s="909">
        <v>69849.259999999995</v>
      </c>
      <c r="DA33" s="910">
        <v>7554.7</v>
      </c>
      <c r="DB33" s="910">
        <v>0</v>
      </c>
      <c r="DC33" s="910">
        <v>0</v>
      </c>
      <c r="DD33" s="910">
        <v>0</v>
      </c>
      <c r="DE33" s="911">
        <v>77403.960000000006</v>
      </c>
      <c r="DF33" s="909">
        <v>3712.49</v>
      </c>
      <c r="DG33" s="910">
        <v>0</v>
      </c>
      <c r="DH33" s="910">
        <v>2561.63</v>
      </c>
      <c r="DI33" s="910">
        <v>1150.8800000000001</v>
      </c>
      <c r="DJ33" s="910">
        <v>0</v>
      </c>
      <c r="DK33" s="911">
        <v>7425</v>
      </c>
      <c r="DL33" s="912"/>
      <c r="DM33" s="913"/>
      <c r="DN33" s="913"/>
      <c r="DO33" s="913"/>
      <c r="DP33" s="913"/>
      <c r="DQ33" s="914"/>
      <c r="DR33" s="912"/>
      <c r="DS33" s="913"/>
      <c r="DT33" s="913"/>
      <c r="DU33" s="913"/>
      <c r="DV33" s="913"/>
      <c r="DW33" s="914"/>
    </row>
    <row r="34" spans="1:127">
      <c r="A34" s="1107" t="s">
        <v>75</v>
      </c>
      <c r="B34" s="904" t="s">
        <v>369</v>
      </c>
      <c r="C34" s="905">
        <f t="shared" si="5"/>
        <v>17198390.280000001</v>
      </c>
      <c r="D34" s="906">
        <f t="shared" si="4"/>
        <v>6456588.7600000007</v>
      </c>
      <c r="E34" s="907">
        <f t="shared" si="6"/>
        <v>7152523.3600000003</v>
      </c>
      <c r="F34" s="908">
        <f t="shared" si="7"/>
        <v>1164158.6399999999</v>
      </c>
      <c r="G34" s="907">
        <f t="shared" si="7"/>
        <v>5988364.7200000007</v>
      </c>
      <c r="H34" s="912"/>
      <c r="I34" s="913"/>
      <c r="J34" s="913"/>
      <c r="K34" s="913"/>
      <c r="L34" s="913"/>
      <c r="M34" s="914"/>
      <c r="N34" s="909">
        <v>542857.18999999994</v>
      </c>
      <c r="O34" s="910">
        <v>0</v>
      </c>
      <c r="P34" s="910">
        <v>0</v>
      </c>
      <c r="Q34" s="910">
        <v>135714.29</v>
      </c>
      <c r="R34" s="910">
        <v>779075.32</v>
      </c>
      <c r="S34" s="911">
        <v>1457646.8</v>
      </c>
      <c r="T34" s="909">
        <v>46158.84</v>
      </c>
      <c r="U34" s="910">
        <v>0</v>
      </c>
      <c r="V34" s="910">
        <v>274.79000000000002</v>
      </c>
      <c r="W34" s="910">
        <v>8517.44</v>
      </c>
      <c r="X34" s="910">
        <v>-7.0000000000000007E-2</v>
      </c>
      <c r="Y34" s="911">
        <v>54951</v>
      </c>
      <c r="Z34" s="915">
        <v>338440.89</v>
      </c>
      <c r="AA34" s="916">
        <v>0</v>
      </c>
      <c r="AB34" s="916">
        <v>0</v>
      </c>
      <c r="AC34" s="916">
        <v>84610.22</v>
      </c>
      <c r="AD34" s="916">
        <v>0</v>
      </c>
      <c r="AE34" s="917">
        <v>423051.11</v>
      </c>
      <c r="AF34" s="909">
        <v>12643.03</v>
      </c>
      <c r="AG34" s="910">
        <v>0</v>
      </c>
      <c r="AH34" s="910">
        <v>2405.34</v>
      </c>
      <c r="AI34" s="910">
        <v>2760.35</v>
      </c>
      <c r="AJ34" s="910">
        <v>0</v>
      </c>
      <c r="AK34" s="911">
        <v>17808.72</v>
      </c>
      <c r="AL34" s="909">
        <v>50732</v>
      </c>
      <c r="AM34" s="910">
        <v>0</v>
      </c>
      <c r="AN34" s="910">
        <v>12683</v>
      </c>
      <c r="AO34" s="910">
        <v>0</v>
      </c>
      <c r="AP34" s="910">
        <v>6385.97</v>
      </c>
      <c r="AQ34" s="911">
        <v>69800.97</v>
      </c>
      <c r="AR34" s="909">
        <v>39968.699999999997</v>
      </c>
      <c r="AS34" s="910">
        <v>0</v>
      </c>
      <c r="AT34" s="910">
        <v>9992.14</v>
      </c>
      <c r="AU34" s="910">
        <v>0</v>
      </c>
      <c r="AV34" s="910">
        <v>0</v>
      </c>
      <c r="AW34" s="911">
        <v>49960.84</v>
      </c>
      <c r="AX34" s="912"/>
      <c r="AY34" s="913"/>
      <c r="AZ34" s="913"/>
      <c r="BA34" s="913"/>
      <c r="BB34" s="913"/>
      <c r="BC34" s="914"/>
      <c r="BD34" s="909">
        <v>2046.45</v>
      </c>
      <c r="BE34" s="910">
        <v>0</v>
      </c>
      <c r="BF34" s="910">
        <v>17395.55</v>
      </c>
      <c r="BG34" s="910">
        <v>0</v>
      </c>
      <c r="BH34" s="910">
        <v>1758</v>
      </c>
      <c r="BI34" s="911">
        <v>21200</v>
      </c>
      <c r="BJ34" s="909">
        <v>25611.45</v>
      </c>
      <c r="BK34" s="910">
        <v>0</v>
      </c>
      <c r="BL34" s="910">
        <v>3244.12</v>
      </c>
      <c r="BM34" s="910">
        <v>5293.05</v>
      </c>
      <c r="BN34" s="910">
        <v>-0.02</v>
      </c>
      <c r="BO34" s="911">
        <v>34148.6</v>
      </c>
      <c r="BP34" s="909">
        <v>3514123.68</v>
      </c>
      <c r="BQ34" s="910">
        <v>113170.35</v>
      </c>
      <c r="BR34" s="910">
        <v>2936380.9</v>
      </c>
      <c r="BS34" s="910">
        <v>345456.61</v>
      </c>
      <c r="BT34" s="910">
        <v>-0.2</v>
      </c>
      <c r="BU34" s="911">
        <v>6909131.3399999999</v>
      </c>
      <c r="BV34" s="909">
        <v>349749.89</v>
      </c>
      <c r="BW34" s="910">
        <v>0</v>
      </c>
      <c r="BX34" s="910">
        <v>229412.25</v>
      </c>
      <c r="BY34" s="910">
        <v>106237</v>
      </c>
      <c r="BZ34" s="910">
        <v>-0.64</v>
      </c>
      <c r="CA34" s="911">
        <v>685398.5</v>
      </c>
      <c r="CB34" s="909">
        <v>45444.959999999999</v>
      </c>
      <c r="CC34" s="910">
        <v>0</v>
      </c>
      <c r="CD34" s="910">
        <v>0</v>
      </c>
      <c r="CE34" s="910">
        <v>78383.23</v>
      </c>
      <c r="CF34" s="910">
        <v>-0.02</v>
      </c>
      <c r="CG34" s="911">
        <v>123828.17</v>
      </c>
      <c r="CH34" s="912"/>
      <c r="CI34" s="913"/>
      <c r="CJ34" s="913"/>
      <c r="CK34" s="913"/>
      <c r="CL34" s="913"/>
      <c r="CM34" s="914"/>
      <c r="CN34" s="909">
        <v>557494.6</v>
      </c>
      <c r="CO34" s="910">
        <v>0</v>
      </c>
      <c r="CP34" s="910">
        <v>0</v>
      </c>
      <c r="CQ34" s="910">
        <v>0</v>
      </c>
      <c r="CR34" s="910">
        <v>0</v>
      </c>
      <c r="CS34" s="911">
        <v>557494.6</v>
      </c>
      <c r="CT34" s="909">
        <v>3757757.52</v>
      </c>
      <c r="CU34" s="910">
        <v>207155.08</v>
      </c>
      <c r="CV34" s="910">
        <v>3209691.15</v>
      </c>
      <c r="CW34" s="910">
        <v>377610.73</v>
      </c>
      <c r="CX34" s="910">
        <v>3164130.73</v>
      </c>
      <c r="CY34" s="911">
        <v>10716345.210000001</v>
      </c>
      <c r="CZ34" s="909">
        <v>6780777.6900000004</v>
      </c>
      <c r="DA34" s="910">
        <v>742648.16</v>
      </c>
      <c r="DB34" s="910">
        <v>0</v>
      </c>
      <c r="DC34" s="910">
        <v>0</v>
      </c>
      <c r="DD34" s="910">
        <v>2018433.97</v>
      </c>
      <c r="DE34" s="911">
        <v>9541859.8200000003</v>
      </c>
      <c r="DF34" s="909">
        <v>50703.05</v>
      </c>
      <c r="DG34" s="910">
        <v>0</v>
      </c>
      <c r="DH34" s="910">
        <v>34985.08</v>
      </c>
      <c r="DI34" s="910">
        <v>15717.92</v>
      </c>
      <c r="DJ34" s="910">
        <v>-0.05</v>
      </c>
      <c r="DK34" s="911">
        <v>101406</v>
      </c>
      <c r="DL34" s="909">
        <v>20906.75</v>
      </c>
      <c r="DM34" s="910">
        <v>0</v>
      </c>
      <c r="DN34" s="910">
        <v>124.44</v>
      </c>
      <c r="DO34" s="910">
        <v>3857.8</v>
      </c>
      <c r="DP34" s="910">
        <v>18581.73</v>
      </c>
      <c r="DQ34" s="911">
        <v>43470.720000000001</v>
      </c>
      <c r="DR34" s="912"/>
      <c r="DS34" s="913"/>
      <c r="DT34" s="913"/>
      <c r="DU34" s="913"/>
      <c r="DV34" s="913"/>
      <c r="DW34" s="914"/>
    </row>
    <row r="35" spans="1:127">
      <c r="A35" s="1107" t="s">
        <v>77</v>
      </c>
      <c r="B35" s="904" t="s">
        <v>78</v>
      </c>
      <c r="C35" s="905">
        <f t="shared" si="5"/>
        <v>858800.97999999986</v>
      </c>
      <c r="D35" s="906">
        <f t="shared" si="4"/>
        <v>192762.43</v>
      </c>
      <c r="E35" s="907">
        <f t="shared" si="6"/>
        <v>51802.51</v>
      </c>
      <c r="F35" s="908">
        <f t="shared" si="7"/>
        <v>48810.590000000004</v>
      </c>
      <c r="G35" s="907">
        <f t="shared" si="7"/>
        <v>2991.92</v>
      </c>
      <c r="H35" s="912"/>
      <c r="I35" s="913"/>
      <c r="J35" s="913"/>
      <c r="K35" s="913"/>
      <c r="L35" s="913"/>
      <c r="M35" s="914"/>
      <c r="N35" s="909">
        <v>737.63</v>
      </c>
      <c r="O35" s="910">
        <v>0</v>
      </c>
      <c r="P35" s="910">
        <v>0</v>
      </c>
      <c r="Q35" s="910">
        <v>184.41</v>
      </c>
      <c r="R35" s="910">
        <v>673.24</v>
      </c>
      <c r="S35" s="911">
        <v>1595.28</v>
      </c>
      <c r="T35" s="909">
        <v>967.38</v>
      </c>
      <c r="U35" s="910">
        <v>0</v>
      </c>
      <c r="V35" s="910">
        <v>5.77</v>
      </c>
      <c r="W35" s="910">
        <v>178.52</v>
      </c>
      <c r="X35" s="910">
        <v>-0.03</v>
      </c>
      <c r="Y35" s="911">
        <v>1151.6400000000001</v>
      </c>
      <c r="Z35" s="915">
        <v>34852.129999999997</v>
      </c>
      <c r="AA35" s="916">
        <v>0</v>
      </c>
      <c r="AB35" s="916">
        <v>0</v>
      </c>
      <c r="AC35" s="916">
        <v>8713.0400000000009</v>
      </c>
      <c r="AD35" s="916">
        <v>1397.6</v>
      </c>
      <c r="AE35" s="917">
        <v>44962.77</v>
      </c>
      <c r="AF35" s="912"/>
      <c r="AG35" s="913"/>
      <c r="AH35" s="913"/>
      <c r="AI35" s="913"/>
      <c r="AJ35" s="913"/>
      <c r="AK35" s="914"/>
      <c r="AL35" s="909">
        <v>4000</v>
      </c>
      <c r="AM35" s="910">
        <v>0</v>
      </c>
      <c r="AN35" s="910">
        <v>1000</v>
      </c>
      <c r="AO35" s="910">
        <v>0</v>
      </c>
      <c r="AP35" s="910">
        <v>0</v>
      </c>
      <c r="AQ35" s="911">
        <v>5000</v>
      </c>
      <c r="AR35" s="909">
        <v>1793.6</v>
      </c>
      <c r="AS35" s="910">
        <v>0</v>
      </c>
      <c r="AT35" s="910">
        <v>448.4</v>
      </c>
      <c r="AU35" s="910">
        <v>0</v>
      </c>
      <c r="AV35" s="910">
        <v>0</v>
      </c>
      <c r="AW35" s="911">
        <v>2242</v>
      </c>
      <c r="AX35" s="912"/>
      <c r="AY35" s="913"/>
      <c r="AZ35" s="913"/>
      <c r="BA35" s="913"/>
      <c r="BB35" s="913"/>
      <c r="BC35" s="914"/>
      <c r="BD35" s="912"/>
      <c r="BE35" s="913"/>
      <c r="BF35" s="913"/>
      <c r="BG35" s="913"/>
      <c r="BH35" s="913"/>
      <c r="BI35" s="914"/>
      <c r="BJ35" s="912"/>
      <c r="BK35" s="913"/>
      <c r="BL35" s="913"/>
      <c r="BM35" s="913"/>
      <c r="BN35" s="913"/>
      <c r="BO35" s="914"/>
      <c r="BP35" s="909">
        <v>131023.06</v>
      </c>
      <c r="BQ35" s="910">
        <v>4874.92</v>
      </c>
      <c r="BR35" s="910">
        <v>110012.68</v>
      </c>
      <c r="BS35" s="910">
        <v>12942.65</v>
      </c>
      <c r="BT35" s="910">
        <v>-0.28999999999999998</v>
      </c>
      <c r="BU35" s="911">
        <v>258853.02</v>
      </c>
      <c r="BV35" s="909">
        <v>34222.67</v>
      </c>
      <c r="BW35" s="910">
        <v>0</v>
      </c>
      <c r="BX35" s="910">
        <v>23613.599999999999</v>
      </c>
      <c r="BY35" s="910">
        <v>10609</v>
      </c>
      <c r="BZ35" s="910">
        <v>-0.06</v>
      </c>
      <c r="CA35" s="911">
        <v>68445.210000000006</v>
      </c>
      <c r="CB35" s="909">
        <v>4883.25</v>
      </c>
      <c r="CC35" s="910">
        <v>0</v>
      </c>
      <c r="CD35" s="910">
        <v>0</v>
      </c>
      <c r="CE35" s="910">
        <v>8422.6</v>
      </c>
      <c r="CF35" s="910">
        <v>0</v>
      </c>
      <c r="CG35" s="911">
        <v>13305.85</v>
      </c>
      <c r="CH35" s="912"/>
      <c r="CI35" s="913"/>
      <c r="CJ35" s="913"/>
      <c r="CK35" s="913"/>
      <c r="CL35" s="913"/>
      <c r="CM35" s="914"/>
      <c r="CN35" s="909">
        <v>141218.85</v>
      </c>
      <c r="CO35" s="910">
        <v>0</v>
      </c>
      <c r="CP35" s="910">
        <v>0</v>
      </c>
      <c r="CQ35" s="910">
        <v>0</v>
      </c>
      <c r="CR35" s="910">
        <v>0</v>
      </c>
      <c r="CS35" s="911">
        <v>141218.85</v>
      </c>
      <c r="CT35" s="909">
        <v>67756.38</v>
      </c>
      <c r="CU35" s="910">
        <v>1778.85</v>
      </c>
      <c r="CV35" s="910">
        <v>56290.43</v>
      </c>
      <c r="CW35" s="910">
        <v>6622.4</v>
      </c>
      <c r="CX35" s="910">
        <v>192.62</v>
      </c>
      <c r="CY35" s="911">
        <v>132640.68</v>
      </c>
      <c r="CZ35" s="909">
        <v>350444.95</v>
      </c>
      <c r="DA35" s="910">
        <v>75435.05</v>
      </c>
      <c r="DB35" s="910">
        <v>0</v>
      </c>
      <c r="DC35" s="910">
        <v>0</v>
      </c>
      <c r="DD35" s="910">
        <v>728.82</v>
      </c>
      <c r="DE35" s="911">
        <v>426608.82</v>
      </c>
      <c r="DF35" s="909">
        <v>1992.44</v>
      </c>
      <c r="DG35" s="910">
        <v>0</v>
      </c>
      <c r="DH35" s="910">
        <v>1374.79</v>
      </c>
      <c r="DI35" s="910">
        <v>617.66999999999996</v>
      </c>
      <c r="DJ35" s="910">
        <v>-0.02</v>
      </c>
      <c r="DK35" s="911">
        <v>3984.88</v>
      </c>
      <c r="DL35" s="909">
        <v>2819.82</v>
      </c>
      <c r="DM35" s="910">
        <v>0</v>
      </c>
      <c r="DN35" s="910">
        <v>16.760000000000002</v>
      </c>
      <c r="DO35" s="910">
        <v>520.29999999999995</v>
      </c>
      <c r="DP35" s="910">
        <v>0.04</v>
      </c>
      <c r="DQ35" s="911">
        <v>3356.92</v>
      </c>
      <c r="DR35" s="912"/>
      <c r="DS35" s="913"/>
      <c r="DT35" s="913"/>
      <c r="DU35" s="913"/>
      <c r="DV35" s="913"/>
      <c r="DW35" s="914"/>
    </row>
    <row r="36" spans="1:127">
      <c r="A36" s="1107" t="s">
        <v>79</v>
      </c>
      <c r="B36" s="904" t="s">
        <v>80</v>
      </c>
      <c r="C36" s="905">
        <f t="shared" si="5"/>
        <v>90304.24</v>
      </c>
      <c r="D36" s="906">
        <f t="shared" si="4"/>
        <v>22078.87</v>
      </c>
      <c r="E36" s="907">
        <f t="shared" si="6"/>
        <v>13097.970000000001</v>
      </c>
      <c r="F36" s="908">
        <f t="shared" si="7"/>
        <v>13098.300000000001</v>
      </c>
      <c r="G36" s="907">
        <f t="shared" si="7"/>
        <v>-0.32999999999999996</v>
      </c>
      <c r="H36" s="909">
        <v>0</v>
      </c>
      <c r="I36" s="910">
        <v>0</v>
      </c>
      <c r="J36" s="910">
        <v>831</v>
      </c>
      <c r="K36" s="910">
        <v>0</v>
      </c>
      <c r="L36" s="910">
        <v>0</v>
      </c>
      <c r="M36" s="911">
        <v>831</v>
      </c>
      <c r="N36" s="909">
        <v>9267.64</v>
      </c>
      <c r="O36" s="910">
        <v>0</v>
      </c>
      <c r="P36" s="910">
        <v>0</v>
      </c>
      <c r="Q36" s="910">
        <v>2316.9299999999998</v>
      </c>
      <c r="R36" s="910">
        <v>0</v>
      </c>
      <c r="S36" s="911">
        <v>11584.57</v>
      </c>
      <c r="T36" s="909">
        <v>1638.86</v>
      </c>
      <c r="U36" s="910">
        <v>0</v>
      </c>
      <c r="V36" s="910">
        <v>9.76</v>
      </c>
      <c r="W36" s="910">
        <v>302.42</v>
      </c>
      <c r="X36" s="910">
        <v>-0.01</v>
      </c>
      <c r="Y36" s="911">
        <v>1951.03</v>
      </c>
      <c r="Z36" s="915">
        <v>14158.1</v>
      </c>
      <c r="AA36" s="916">
        <v>0</v>
      </c>
      <c r="AB36" s="916">
        <v>0</v>
      </c>
      <c r="AC36" s="916">
        <v>3539.49</v>
      </c>
      <c r="AD36" s="916">
        <v>0</v>
      </c>
      <c r="AE36" s="917">
        <v>17697.59</v>
      </c>
      <c r="AF36" s="912"/>
      <c r="AG36" s="913"/>
      <c r="AH36" s="913"/>
      <c r="AI36" s="913"/>
      <c r="AJ36" s="913"/>
      <c r="AK36" s="914"/>
      <c r="AL36" s="909">
        <v>360</v>
      </c>
      <c r="AM36" s="910">
        <v>0</v>
      </c>
      <c r="AN36" s="910">
        <v>90</v>
      </c>
      <c r="AO36" s="910">
        <v>0</v>
      </c>
      <c r="AP36" s="910">
        <v>0</v>
      </c>
      <c r="AQ36" s="911">
        <v>450</v>
      </c>
      <c r="AR36" s="909">
        <v>956.8</v>
      </c>
      <c r="AS36" s="910">
        <v>0</v>
      </c>
      <c r="AT36" s="910">
        <v>239.2</v>
      </c>
      <c r="AU36" s="910">
        <v>0</v>
      </c>
      <c r="AV36" s="910">
        <v>0</v>
      </c>
      <c r="AW36" s="911">
        <v>1196</v>
      </c>
      <c r="AX36" s="912"/>
      <c r="AY36" s="913"/>
      <c r="AZ36" s="913"/>
      <c r="BA36" s="913"/>
      <c r="BB36" s="913"/>
      <c r="BC36" s="914"/>
      <c r="BD36" s="912"/>
      <c r="BE36" s="913"/>
      <c r="BF36" s="913"/>
      <c r="BG36" s="913"/>
      <c r="BH36" s="913"/>
      <c r="BI36" s="914"/>
      <c r="BJ36" s="909">
        <v>9590.67</v>
      </c>
      <c r="BK36" s="910">
        <v>0</v>
      </c>
      <c r="BL36" s="910">
        <v>1214.8399999999999</v>
      </c>
      <c r="BM36" s="910">
        <v>1982.09</v>
      </c>
      <c r="BN36" s="910">
        <v>-0.1</v>
      </c>
      <c r="BO36" s="911">
        <v>12787.5</v>
      </c>
      <c r="BP36" s="909">
        <v>14088</v>
      </c>
      <c r="BQ36" s="910">
        <v>475.03</v>
      </c>
      <c r="BR36" s="910">
        <v>11789.12</v>
      </c>
      <c r="BS36" s="910">
        <v>1386.98</v>
      </c>
      <c r="BT36" s="910">
        <v>-0.13</v>
      </c>
      <c r="BU36" s="911">
        <v>27739</v>
      </c>
      <c r="BV36" s="909">
        <v>8739.34</v>
      </c>
      <c r="BW36" s="910">
        <v>0</v>
      </c>
      <c r="BX36" s="910">
        <v>5959.15</v>
      </c>
      <c r="BY36" s="910">
        <v>2696.19</v>
      </c>
      <c r="BZ36" s="910">
        <v>-0.09</v>
      </c>
      <c r="CA36" s="911">
        <v>17394.59</v>
      </c>
      <c r="CB36" s="912"/>
      <c r="CC36" s="913"/>
      <c r="CD36" s="913"/>
      <c r="CE36" s="913"/>
      <c r="CF36" s="913"/>
      <c r="CG36" s="914"/>
      <c r="CH36" s="912"/>
      <c r="CI36" s="913"/>
      <c r="CJ36" s="913"/>
      <c r="CK36" s="913"/>
      <c r="CL36" s="913"/>
      <c r="CM36" s="914"/>
      <c r="CN36" s="909">
        <v>3870</v>
      </c>
      <c r="CO36" s="910">
        <v>0</v>
      </c>
      <c r="CP36" s="910">
        <v>0</v>
      </c>
      <c r="CQ36" s="910">
        <v>0</v>
      </c>
      <c r="CR36" s="910">
        <v>0</v>
      </c>
      <c r="CS36" s="911">
        <v>3870</v>
      </c>
      <c r="CT36" s="912"/>
      <c r="CU36" s="913"/>
      <c r="CV36" s="913"/>
      <c r="CW36" s="913"/>
      <c r="CX36" s="913"/>
      <c r="CY36" s="914"/>
      <c r="CZ36" s="909">
        <v>22257.3</v>
      </c>
      <c r="DA36" s="910">
        <v>2082.5</v>
      </c>
      <c r="DB36" s="910">
        <v>0</v>
      </c>
      <c r="DC36" s="910">
        <v>0</v>
      </c>
      <c r="DD36" s="910">
        <v>0</v>
      </c>
      <c r="DE36" s="911">
        <v>24339.8</v>
      </c>
      <c r="DF36" s="909">
        <v>2820</v>
      </c>
      <c r="DG36" s="910">
        <v>0</v>
      </c>
      <c r="DH36" s="910">
        <v>1945.8</v>
      </c>
      <c r="DI36" s="910">
        <v>874.2</v>
      </c>
      <c r="DJ36" s="910">
        <v>0</v>
      </c>
      <c r="DK36" s="911">
        <v>5640</v>
      </c>
      <c r="DL36" s="912"/>
      <c r="DM36" s="913"/>
      <c r="DN36" s="913"/>
      <c r="DO36" s="913"/>
      <c r="DP36" s="913"/>
      <c r="DQ36" s="914"/>
      <c r="DR36" s="912"/>
      <c r="DS36" s="913"/>
      <c r="DT36" s="913"/>
      <c r="DU36" s="913"/>
      <c r="DV36" s="913"/>
      <c r="DW36" s="914"/>
    </row>
    <row r="37" spans="1:127">
      <c r="A37" s="1107" t="s">
        <v>81</v>
      </c>
      <c r="B37" s="904" t="s">
        <v>82</v>
      </c>
      <c r="C37" s="905">
        <f t="shared" si="5"/>
        <v>227167.94999999998</v>
      </c>
      <c r="D37" s="906">
        <f t="shared" si="4"/>
        <v>54854.15</v>
      </c>
      <c r="E37" s="907">
        <f t="shared" si="6"/>
        <v>15577.730000000003</v>
      </c>
      <c r="F37" s="908">
        <f t="shared" si="7"/>
        <v>15703.130000000003</v>
      </c>
      <c r="G37" s="907">
        <f t="shared" si="7"/>
        <v>-125.39999999999999</v>
      </c>
      <c r="H37" s="912"/>
      <c r="I37" s="913"/>
      <c r="J37" s="913"/>
      <c r="K37" s="913"/>
      <c r="L37" s="913"/>
      <c r="M37" s="914"/>
      <c r="N37" s="909">
        <v>4330.7700000000004</v>
      </c>
      <c r="O37" s="910">
        <v>0</v>
      </c>
      <c r="P37" s="910">
        <v>0</v>
      </c>
      <c r="Q37" s="910">
        <v>1082.69</v>
      </c>
      <c r="R37" s="910">
        <v>-125</v>
      </c>
      <c r="S37" s="911">
        <v>5288.46</v>
      </c>
      <c r="T37" s="909">
        <v>1971.26</v>
      </c>
      <c r="U37" s="910">
        <v>0</v>
      </c>
      <c r="V37" s="910">
        <v>11.74</v>
      </c>
      <c r="W37" s="910">
        <v>363.74</v>
      </c>
      <c r="X37" s="910">
        <v>0</v>
      </c>
      <c r="Y37" s="911">
        <v>2346.7399999999998</v>
      </c>
      <c r="Z37" s="915">
        <v>6901.96</v>
      </c>
      <c r="AA37" s="916">
        <v>0</v>
      </c>
      <c r="AB37" s="916">
        <v>0</v>
      </c>
      <c r="AC37" s="916">
        <v>1725.5</v>
      </c>
      <c r="AD37" s="916">
        <v>0</v>
      </c>
      <c r="AE37" s="917">
        <v>8627.4599999999991</v>
      </c>
      <c r="AF37" s="912"/>
      <c r="AG37" s="913"/>
      <c r="AH37" s="913"/>
      <c r="AI37" s="913"/>
      <c r="AJ37" s="913"/>
      <c r="AK37" s="914"/>
      <c r="AL37" s="909">
        <v>1600</v>
      </c>
      <c r="AM37" s="910">
        <v>0</v>
      </c>
      <c r="AN37" s="910">
        <v>400</v>
      </c>
      <c r="AO37" s="910">
        <v>0</v>
      </c>
      <c r="AP37" s="910">
        <v>0</v>
      </c>
      <c r="AQ37" s="911">
        <v>2000</v>
      </c>
      <c r="AR37" s="909">
        <v>3823.12</v>
      </c>
      <c r="AS37" s="910">
        <v>0</v>
      </c>
      <c r="AT37" s="910">
        <v>955.78</v>
      </c>
      <c r="AU37" s="910">
        <v>0</v>
      </c>
      <c r="AV37" s="910">
        <v>0</v>
      </c>
      <c r="AW37" s="911">
        <v>4778.8999999999996</v>
      </c>
      <c r="AX37" s="912"/>
      <c r="AY37" s="913"/>
      <c r="AZ37" s="913"/>
      <c r="BA37" s="913"/>
      <c r="BB37" s="913"/>
      <c r="BC37" s="914"/>
      <c r="BD37" s="909">
        <v>124.74</v>
      </c>
      <c r="BE37" s="910">
        <v>0</v>
      </c>
      <c r="BF37" s="910">
        <v>475.26</v>
      </c>
      <c r="BG37" s="910">
        <v>0</v>
      </c>
      <c r="BH37" s="910">
        <v>0</v>
      </c>
      <c r="BI37" s="911">
        <v>600</v>
      </c>
      <c r="BJ37" s="909">
        <v>14724.84</v>
      </c>
      <c r="BK37" s="910">
        <v>0</v>
      </c>
      <c r="BL37" s="910">
        <v>1865.17</v>
      </c>
      <c r="BM37" s="910">
        <v>3043.17</v>
      </c>
      <c r="BN37" s="910">
        <v>-7.0000000000000007E-2</v>
      </c>
      <c r="BO37" s="911">
        <v>19633.11</v>
      </c>
      <c r="BP37" s="909">
        <v>30438.87</v>
      </c>
      <c r="BQ37" s="910">
        <v>1029.75</v>
      </c>
      <c r="BR37" s="910">
        <v>25474.62</v>
      </c>
      <c r="BS37" s="910">
        <v>2997</v>
      </c>
      <c r="BT37" s="910">
        <v>-0.24</v>
      </c>
      <c r="BU37" s="911">
        <v>59940</v>
      </c>
      <c r="BV37" s="909">
        <v>1957.06</v>
      </c>
      <c r="BW37" s="910">
        <v>0</v>
      </c>
      <c r="BX37" s="910">
        <v>1350.38</v>
      </c>
      <c r="BY37" s="910">
        <v>606.70000000000005</v>
      </c>
      <c r="BZ37" s="910">
        <v>-0.03</v>
      </c>
      <c r="CA37" s="911">
        <v>3914.11</v>
      </c>
      <c r="CB37" s="909">
        <v>1128.51</v>
      </c>
      <c r="CC37" s="910">
        <v>0</v>
      </c>
      <c r="CD37" s="910">
        <v>0</v>
      </c>
      <c r="CE37" s="910">
        <v>1946.45</v>
      </c>
      <c r="CF37" s="910">
        <v>-0.01</v>
      </c>
      <c r="CG37" s="911">
        <v>3074.95</v>
      </c>
      <c r="CH37" s="912"/>
      <c r="CI37" s="913"/>
      <c r="CJ37" s="913"/>
      <c r="CK37" s="913"/>
      <c r="CL37" s="913"/>
      <c r="CM37" s="914"/>
      <c r="CN37" s="909">
        <v>19833.8</v>
      </c>
      <c r="CO37" s="910">
        <v>0</v>
      </c>
      <c r="CP37" s="910">
        <v>0</v>
      </c>
      <c r="CQ37" s="910">
        <v>0</v>
      </c>
      <c r="CR37" s="910">
        <v>0</v>
      </c>
      <c r="CS37" s="911">
        <v>19833.8</v>
      </c>
      <c r="CT37" s="909">
        <v>26603.279999999999</v>
      </c>
      <c r="CU37" s="910">
        <v>280.5</v>
      </c>
      <c r="CV37" s="910">
        <v>21763.08</v>
      </c>
      <c r="CW37" s="910">
        <v>2560.36</v>
      </c>
      <c r="CX37" s="910">
        <v>-0.05</v>
      </c>
      <c r="CY37" s="911">
        <v>51207.17</v>
      </c>
      <c r="CZ37" s="909">
        <v>80254.83</v>
      </c>
      <c r="DA37" s="910">
        <v>27213.11</v>
      </c>
      <c r="DB37" s="910">
        <v>0</v>
      </c>
      <c r="DC37" s="910">
        <v>0</v>
      </c>
      <c r="DD37" s="910">
        <v>0</v>
      </c>
      <c r="DE37" s="911">
        <v>107467.94</v>
      </c>
      <c r="DF37" s="909">
        <v>3696.6</v>
      </c>
      <c r="DG37" s="910">
        <v>0</v>
      </c>
      <c r="DH37" s="910">
        <v>2550.65</v>
      </c>
      <c r="DI37" s="910">
        <v>1145.95</v>
      </c>
      <c r="DJ37" s="910">
        <v>-0.01</v>
      </c>
      <c r="DK37" s="911">
        <v>7393.19</v>
      </c>
      <c r="DL37" s="909">
        <v>1254.95</v>
      </c>
      <c r="DM37" s="910">
        <v>0</v>
      </c>
      <c r="DN37" s="910">
        <v>7.47</v>
      </c>
      <c r="DO37" s="910">
        <v>231.57</v>
      </c>
      <c r="DP37" s="910">
        <v>0.01</v>
      </c>
      <c r="DQ37" s="911">
        <v>1494</v>
      </c>
      <c r="DR37" s="912"/>
      <c r="DS37" s="913"/>
      <c r="DT37" s="913"/>
      <c r="DU37" s="913"/>
      <c r="DV37" s="913"/>
      <c r="DW37" s="914"/>
    </row>
    <row r="38" spans="1:127">
      <c r="A38" s="1107" t="s">
        <v>85</v>
      </c>
      <c r="B38" s="904" t="s">
        <v>387</v>
      </c>
      <c r="C38" s="905">
        <f t="shared" si="5"/>
        <v>460538.49</v>
      </c>
      <c r="D38" s="906">
        <f t="shared" si="4"/>
        <v>109288.5</v>
      </c>
      <c r="E38" s="907">
        <f t="shared" si="6"/>
        <v>63878.090000000004</v>
      </c>
      <c r="F38" s="908">
        <f t="shared" si="7"/>
        <v>63878.69</v>
      </c>
      <c r="G38" s="907">
        <f t="shared" si="7"/>
        <v>-0.60000000000000009</v>
      </c>
      <c r="H38" s="912"/>
      <c r="I38" s="913"/>
      <c r="J38" s="913"/>
      <c r="K38" s="913"/>
      <c r="L38" s="913"/>
      <c r="M38" s="914"/>
      <c r="N38" s="909">
        <v>2448.33</v>
      </c>
      <c r="O38" s="910">
        <v>0</v>
      </c>
      <c r="P38" s="910">
        <v>0</v>
      </c>
      <c r="Q38" s="910">
        <v>612.08000000000004</v>
      </c>
      <c r="R38" s="910">
        <v>0</v>
      </c>
      <c r="S38" s="911">
        <v>3060.41</v>
      </c>
      <c r="T38" s="909">
        <v>5841.35</v>
      </c>
      <c r="U38" s="910">
        <v>0</v>
      </c>
      <c r="V38" s="910">
        <v>34.79</v>
      </c>
      <c r="W38" s="910">
        <v>1077.8900000000001</v>
      </c>
      <c r="X38" s="910">
        <v>-0.03</v>
      </c>
      <c r="Y38" s="911">
        <v>6954</v>
      </c>
      <c r="Z38" s="915">
        <v>67685.039999999994</v>
      </c>
      <c r="AA38" s="916">
        <v>0</v>
      </c>
      <c r="AB38" s="916">
        <v>0</v>
      </c>
      <c r="AC38" s="916">
        <v>16921.29</v>
      </c>
      <c r="AD38" s="916">
        <v>0</v>
      </c>
      <c r="AE38" s="917">
        <v>84606.33</v>
      </c>
      <c r="AF38" s="912"/>
      <c r="AG38" s="913"/>
      <c r="AH38" s="913"/>
      <c r="AI38" s="913"/>
      <c r="AJ38" s="913"/>
      <c r="AK38" s="914"/>
      <c r="AL38" s="909">
        <v>9042.4</v>
      </c>
      <c r="AM38" s="910">
        <v>0</v>
      </c>
      <c r="AN38" s="910">
        <v>2260.6</v>
      </c>
      <c r="AO38" s="910">
        <v>0</v>
      </c>
      <c r="AP38" s="910">
        <v>0</v>
      </c>
      <c r="AQ38" s="911">
        <v>11303</v>
      </c>
      <c r="AR38" s="909">
        <v>15527.2</v>
      </c>
      <c r="AS38" s="910">
        <v>0</v>
      </c>
      <c r="AT38" s="910">
        <v>3881.8</v>
      </c>
      <c r="AU38" s="910">
        <v>0</v>
      </c>
      <c r="AV38" s="910">
        <v>0</v>
      </c>
      <c r="AW38" s="911">
        <v>19409</v>
      </c>
      <c r="AX38" s="912"/>
      <c r="AY38" s="913"/>
      <c r="AZ38" s="913"/>
      <c r="BA38" s="913"/>
      <c r="BB38" s="913"/>
      <c r="BC38" s="914"/>
      <c r="BD38" s="909">
        <v>886.75</v>
      </c>
      <c r="BE38" s="910">
        <v>0</v>
      </c>
      <c r="BF38" s="910">
        <v>3429.06</v>
      </c>
      <c r="BG38" s="910">
        <v>0</v>
      </c>
      <c r="BH38" s="910">
        <v>0</v>
      </c>
      <c r="BI38" s="911">
        <v>4315.8100000000004</v>
      </c>
      <c r="BJ38" s="909">
        <v>14212.78</v>
      </c>
      <c r="BK38" s="910">
        <v>0</v>
      </c>
      <c r="BL38" s="910">
        <v>1800.3</v>
      </c>
      <c r="BM38" s="910">
        <v>2937.31</v>
      </c>
      <c r="BN38" s="910">
        <v>-0.03</v>
      </c>
      <c r="BO38" s="911">
        <v>18950.36</v>
      </c>
      <c r="BP38" s="909">
        <v>54235.15</v>
      </c>
      <c r="BQ38" s="910">
        <v>1804.86</v>
      </c>
      <c r="BR38" s="910">
        <v>45365.760000000002</v>
      </c>
      <c r="BS38" s="910">
        <v>5337.09</v>
      </c>
      <c r="BT38" s="910">
        <v>-0.22</v>
      </c>
      <c r="BU38" s="911">
        <v>106742.64</v>
      </c>
      <c r="BV38" s="909">
        <v>71969.429999999993</v>
      </c>
      <c r="BW38" s="910">
        <v>0</v>
      </c>
      <c r="BX38" s="910">
        <v>49307.56</v>
      </c>
      <c r="BY38" s="910">
        <v>22246.07</v>
      </c>
      <c r="BZ38" s="910">
        <v>-0.24</v>
      </c>
      <c r="CA38" s="911">
        <v>143522.82</v>
      </c>
      <c r="CB38" s="909">
        <v>7040.31</v>
      </c>
      <c r="CC38" s="910">
        <v>0</v>
      </c>
      <c r="CD38" s="910">
        <v>0</v>
      </c>
      <c r="CE38" s="910">
        <v>12143.09</v>
      </c>
      <c r="CF38" s="910">
        <v>0</v>
      </c>
      <c r="CG38" s="911">
        <v>19183.400000000001</v>
      </c>
      <c r="CH38" s="912"/>
      <c r="CI38" s="913"/>
      <c r="CJ38" s="913"/>
      <c r="CK38" s="913"/>
      <c r="CL38" s="913"/>
      <c r="CM38" s="914"/>
      <c r="CN38" s="909">
        <v>1807</v>
      </c>
      <c r="CO38" s="910">
        <v>0</v>
      </c>
      <c r="CP38" s="910">
        <v>0</v>
      </c>
      <c r="CQ38" s="910">
        <v>0</v>
      </c>
      <c r="CR38" s="910">
        <v>0</v>
      </c>
      <c r="CS38" s="911">
        <v>1807</v>
      </c>
      <c r="CT38" s="912"/>
      <c r="CU38" s="913"/>
      <c r="CV38" s="913"/>
      <c r="CW38" s="913"/>
      <c r="CX38" s="913"/>
      <c r="CY38" s="914"/>
      <c r="CZ38" s="909">
        <v>169841.61</v>
      </c>
      <c r="DA38" s="910">
        <v>27209.7</v>
      </c>
      <c r="DB38" s="910">
        <v>0</v>
      </c>
      <c r="DC38" s="910">
        <v>0</v>
      </c>
      <c r="DD38" s="910">
        <v>0</v>
      </c>
      <c r="DE38" s="911">
        <v>197051.31</v>
      </c>
      <c r="DF38" s="909">
        <v>4595.0200000000004</v>
      </c>
      <c r="DG38" s="910">
        <v>0</v>
      </c>
      <c r="DH38" s="910">
        <v>3170.55</v>
      </c>
      <c r="DI38" s="910">
        <v>1424.45</v>
      </c>
      <c r="DJ38" s="910">
        <v>-0.02</v>
      </c>
      <c r="DK38" s="911">
        <v>9190</v>
      </c>
      <c r="DL38" s="909">
        <v>6391.56</v>
      </c>
      <c r="DM38" s="910">
        <v>0</v>
      </c>
      <c r="DN38" s="910">
        <v>38.08</v>
      </c>
      <c r="DO38" s="910">
        <v>1179.42</v>
      </c>
      <c r="DP38" s="910">
        <v>-0.06</v>
      </c>
      <c r="DQ38" s="911">
        <v>7609</v>
      </c>
      <c r="DR38" s="912"/>
      <c r="DS38" s="913"/>
      <c r="DT38" s="913"/>
      <c r="DU38" s="913"/>
      <c r="DV38" s="913"/>
      <c r="DW38" s="914"/>
    </row>
    <row r="39" spans="1:127">
      <c r="A39" s="1107" t="s">
        <v>87</v>
      </c>
      <c r="B39" s="904" t="s">
        <v>88</v>
      </c>
      <c r="C39" s="905">
        <f t="shared" si="5"/>
        <v>605656.08000000007</v>
      </c>
      <c r="D39" s="906">
        <f t="shared" si="4"/>
        <v>211539.75999999998</v>
      </c>
      <c r="E39" s="907">
        <f t="shared" si="6"/>
        <v>89257.040000000008</v>
      </c>
      <c r="F39" s="908">
        <f t="shared" si="7"/>
        <v>49183.33</v>
      </c>
      <c r="G39" s="907">
        <f t="shared" si="7"/>
        <v>40073.71</v>
      </c>
      <c r="H39" s="912"/>
      <c r="I39" s="913"/>
      <c r="J39" s="913"/>
      <c r="K39" s="913"/>
      <c r="L39" s="913"/>
      <c r="M39" s="914"/>
      <c r="N39" s="909">
        <v>8109.37</v>
      </c>
      <c r="O39" s="910">
        <v>0</v>
      </c>
      <c r="P39" s="910">
        <v>0</v>
      </c>
      <c r="Q39" s="910">
        <v>2027.34</v>
      </c>
      <c r="R39" s="910">
        <v>0</v>
      </c>
      <c r="S39" s="911">
        <v>10136.709999999999</v>
      </c>
      <c r="T39" s="909">
        <v>5638</v>
      </c>
      <c r="U39" s="910">
        <v>0</v>
      </c>
      <c r="V39" s="910">
        <v>33.56</v>
      </c>
      <c r="W39" s="910">
        <v>1040.3599999999999</v>
      </c>
      <c r="X39" s="910">
        <v>-0.01</v>
      </c>
      <c r="Y39" s="911">
        <v>6711.91</v>
      </c>
      <c r="Z39" s="915">
        <v>41742.6</v>
      </c>
      <c r="AA39" s="916">
        <v>0</v>
      </c>
      <c r="AB39" s="916">
        <v>0</v>
      </c>
      <c r="AC39" s="916">
        <v>10435.66</v>
      </c>
      <c r="AD39" s="916">
        <v>12416.46</v>
      </c>
      <c r="AE39" s="917">
        <v>64594.720000000001</v>
      </c>
      <c r="AF39" s="912"/>
      <c r="AG39" s="913"/>
      <c r="AH39" s="913"/>
      <c r="AI39" s="913"/>
      <c r="AJ39" s="913"/>
      <c r="AK39" s="914"/>
      <c r="AL39" s="909">
        <v>2666.38</v>
      </c>
      <c r="AM39" s="910">
        <v>0</v>
      </c>
      <c r="AN39" s="910">
        <v>666.59</v>
      </c>
      <c r="AO39" s="910">
        <v>0</v>
      </c>
      <c r="AP39" s="910">
        <v>0</v>
      </c>
      <c r="AQ39" s="911">
        <v>3332.97</v>
      </c>
      <c r="AR39" s="909">
        <v>4082.4</v>
      </c>
      <c r="AS39" s="910">
        <v>0</v>
      </c>
      <c r="AT39" s="910">
        <v>1020.6</v>
      </c>
      <c r="AU39" s="910">
        <v>0</v>
      </c>
      <c r="AV39" s="910">
        <v>0</v>
      </c>
      <c r="AW39" s="911">
        <v>5103</v>
      </c>
      <c r="AX39" s="912"/>
      <c r="AY39" s="913"/>
      <c r="AZ39" s="913"/>
      <c r="BA39" s="913"/>
      <c r="BB39" s="913"/>
      <c r="BC39" s="914"/>
      <c r="BD39" s="909">
        <v>395.96</v>
      </c>
      <c r="BE39" s="910">
        <v>0</v>
      </c>
      <c r="BF39" s="910">
        <v>1565.04</v>
      </c>
      <c r="BG39" s="910">
        <v>0</v>
      </c>
      <c r="BH39" s="910">
        <v>39</v>
      </c>
      <c r="BI39" s="911">
        <v>2000</v>
      </c>
      <c r="BJ39" s="912"/>
      <c r="BK39" s="913"/>
      <c r="BL39" s="913"/>
      <c r="BM39" s="913"/>
      <c r="BN39" s="913"/>
      <c r="BO39" s="914"/>
      <c r="BP39" s="909">
        <v>140205.41</v>
      </c>
      <c r="BQ39" s="910">
        <v>4124.4399999999996</v>
      </c>
      <c r="BR39" s="910">
        <v>116838.47</v>
      </c>
      <c r="BS39" s="910">
        <v>13745.69</v>
      </c>
      <c r="BT39" s="910">
        <v>-0.21</v>
      </c>
      <c r="BU39" s="911">
        <v>274913.8</v>
      </c>
      <c r="BV39" s="909">
        <v>38283.9</v>
      </c>
      <c r="BW39" s="910">
        <v>0</v>
      </c>
      <c r="BX39" s="910">
        <v>26415.83</v>
      </c>
      <c r="BY39" s="910">
        <v>11868.01</v>
      </c>
      <c r="BZ39" s="910">
        <v>-0.03</v>
      </c>
      <c r="CA39" s="911">
        <v>76567.710000000006</v>
      </c>
      <c r="CB39" s="909">
        <v>0</v>
      </c>
      <c r="CC39" s="910">
        <v>0</v>
      </c>
      <c r="CD39" s="910">
        <v>0</v>
      </c>
      <c r="CE39" s="910">
        <v>0</v>
      </c>
      <c r="CF39" s="910">
        <v>27618.560000000001</v>
      </c>
      <c r="CG39" s="911">
        <v>27618.560000000001</v>
      </c>
      <c r="CH39" s="912"/>
      <c r="CI39" s="913"/>
      <c r="CJ39" s="913"/>
      <c r="CK39" s="913"/>
      <c r="CL39" s="913"/>
      <c r="CM39" s="914"/>
      <c r="CN39" s="909">
        <v>14612</v>
      </c>
      <c r="CO39" s="910">
        <v>0</v>
      </c>
      <c r="CP39" s="910">
        <v>0</v>
      </c>
      <c r="CQ39" s="910">
        <v>0</v>
      </c>
      <c r="CR39" s="910">
        <v>0</v>
      </c>
      <c r="CS39" s="911">
        <v>14612</v>
      </c>
      <c r="CT39" s="909">
        <v>75546.19</v>
      </c>
      <c r="CU39" s="910">
        <v>13.15</v>
      </c>
      <c r="CV39" s="910">
        <v>61167.08</v>
      </c>
      <c r="CW39" s="910">
        <v>7196.13</v>
      </c>
      <c r="CX39" s="910">
        <v>-0.05</v>
      </c>
      <c r="CY39" s="911">
        <v>143922.5</v>
      </c>
      <c r="CZ39" s="909">
        <v>225139.5</v>
      </c>
      <c r="DA39" s="910">
        <v>33282.5</v>
      </c>
      <c r="DB39" s="910">
        <v>0</v>
      </c>
      <c r="DC39" s="910">
        <v>0</v>
      </c>
      <c r="DD39" s="910">
        <v>0</v>
      </c>
      <c r="DE39" s="911">
        <v>258422</v>
      </c>
      <c r="DF39" s="909">
        <v>5500</v>
      </c>
      <c r="DG39" s="910">
        <v>0</v>
      </c>
      <c r="DH39" s="910">
        <v>3795</v>
      </c>
      <c r="DI39" s="910">
        <v>1705</v>
      </c>
      <c r="DJ39" s="910">
        <v>0</v>
      </c>
      <c r="DK39" s="911">
        <v>11000</v>
      </c>
      <c r="DL39" s="909">
        <v>6314.28</v>
      </c>
      <c r="DM39" s="910">
        <v>0</v>
      </c>
      <c r="DN39" s="910">
        <v>37.590000000000003</v>
      </c>
      <c r="DO39" s="910">
        <v>1165.1400000000001</v>
      </c>
      <c r="DP39" s="910">
        <v>-0.01</v>
      </c>
      <c r="DQ39" s="911">
        <v>7517</v>
      </c>
      <c r="DR39" s="912"/>
      <c r="DS39" s="913"/>
      <c r="DT39" s="913"/>
      <c r="DU39" s="913"/>
      <c r="DV39" s="913"/>
      <c r="DW39" s="914"/>
    </row>
    <row r="40" spans="1:127">
      <c r="A40" s="1107" t="s">
        <v>93</v>
      </c>
      <c r="B40" s="904" t="s">
        <v>94</v>
      </c>
      <c r="C40" s="905">
        <f t="shared" si="5"/>
        <v>145148.18000000002</v>
      </c>
      <c r="D40" s="906">
        <f t="shared" si="4"/>
        <v>34917.859999999993</v>
      </c>
      <c r="E40" s="907">
        <f t="shared" si="6"/>
        <v>15321.25</v>
      </c>
      <c r="F40" s="908">
        <f t="shared" si="7"/>
        <v>15321.63</v>
      </c>
      <c r="G40" s="907">
        <f t="shared" si="7"/>
        <v>-0.38</v>
      </c>
      <c r="H40" s="912"/>
      <c r="I40" s="913"/>
      <c r="J40" s="913"/>
      <c r="K40" s="913"/>
      <c r="L40" s="913"/>
      <c r="M40" s="914"/>
      <c r="N40" s="909">
        <v>5162.58</v>
      </c>
      <c r="O40" s="910">
        <v>0</v>
      </c>
      <c r="P40" s="910">
        <v>0</v>
      </c>
      <c r="Q40" s="910">
        <v>1290.6400000000001</v>
      </c>
      <c r="R40" s="910">
        <v>0</v>
      </c>
      <c r="S40" s="911">
        <v>6453.22</v>
      </c>
      <c r="T40" s="909">
        <v>2735.21</v>
      </c>
      <c r="U40" s="910">
        <v>0</v>
      </c>
      <c r="V40" s="910">
        <v>16.27</v>
      </c>
      <c r="W40" s="910">
        <v>504.71</v>
      </c>
      <c r="X40" s="910">
        <v>0.01</v>
      </c>
      <c r="Y40" s="911">
        <v>3256.2</v>
      </c>
      <c r="Z40" s="915">
        <v>13647.87</v>
      </c>
      <c r="AA40" s="916">
        <v>0</v>
      </c>
      <c r="AB40" s="916">
        <v>0</v>
      </c>
      <c r="AC40" s="916">
        <v>3411.96</v>
      </c>
      <c r="AD40" s="916">
        <v>0</v>
      </c>
      <c r="AE40" s="917">
        <v>17059.830000000002</v>
      </c>
      <c r="AF40" s="912"/>
      <c r="AG40" s="913"/>
      <c r="AH40" s="913"/>
      <c r="AI40" s="913"/>
      <c r="AJ40" s="913"/>
      <c r="AK40" s="914"/>
      <c r="AL40" s="909">
        <v>6055.95</v>
      </c>
      <c r="AM40" s="910">
        <v>0</v>
      </c>
      <c r="AN40" s="910">
        <v>1513.98</v>
      </c>
      <c r="AO40" s="910">
        <v>0</v>
      </c>
      <c r="AP40" s="910">
        <v>0</v>
      </c>
      <c r="AQ40" s="911">
        <v>7569.93</v>
      </c>
      <c r="AR40" s="909">
        <v>2543.2600000000002</v>
      </c>
      <c r="AS40" s="910">
        <v>0</v>
      </c>
      <c r="AT40" s="910">
        <v>635.82000000000005</v>
      </c>
      <c r="AU40" s="910">
        <v>0</v>
      </c>
      <c r="AV40" s="910">
        <v>0</v>
      </c>
      <c r="AW40" s="911">
        <v>3179.08</v>
      </c>
      <c r="AX40" s="912"/>
      <c r="AY40" s="913"/>
      <c r="AZ40" s="913"/>
      <c r="BA40" s="913"/>
      <c r="BB40" s="913"/>
      <c r="BC40" s="914"/>
      <c r="BD40" s="912"/>
      <c r="BE40" s="913"/>
      <c r="BF40" s="913"/>
      <c r="BG40" s="913"/>
      <c r="BH40" s="913"/>
      <c r="BI40" s="914"/>
      <c r="BJ40" s="909">
        <v>13720.2</v>
      </c>
      <c r="BK40" s="910">
        <v>0</v>
      </c>
      <c r="BL40" s="910">
        <v>1737.89</v>
      </c>
      <c r="BM40" s="910">
        <v>2835.5</v>
      </c>
      <c r="BN40" s="910">
        <v>-0.04</v>
      </c>
      <c r="BO40" s="911">
        <v>18293.55</v>
      </c>
      <c r="BP40" s="909">
        <v>20505.599999999999</v>
      </c>
      <c r="BQ40" s="910">
        <v>847.91</v>
      </c>
      <c r="BR40" s="910">
        <v>17286.189999999999</v>
      </c>
      <c r="BS40" s="910">
        <v>2033.67</v>
      </c>
      <c r="BT40" s="910">
        <v>-0.13</v>
      </c>
      <c r="BU40" s="911">
        <v>40673.24</v>
      </c>
      <c r="BV40" s="909">
        <v>12301.31</v>
      </c>
      <c r="BW40" s="910">
        <v>0</v>
      </c>
      <c r="BX40" s="910">
        <v>6542.98</v>
      </c>
      <c r="BY40" s="910">
        <v>3456.69</v>
      </c>
      <c r="BZ40" s="910">
        <v>-0.16</v>
      </c>
      <c r="CA40" s="911">
        <v>22300.82</v>
      </c>
      <c r="CB40" s="912"/>
      <c r="CC40" s="913"/>
      <c r="CD40" s="913"/>
      <c r="CE40" s="913"/>
      <c r="CF40" s="913"/>
      <c r="CG40" s="914"/>
      <c r="CH40" s="912"/>
      <c r="CI40" s="913"/>
      <c r="CJ40" s="913"/>
      <c r="CK40" s="913"/>
      <c r="CL40" s="913"/>
      <c r="CM40" s="914"/>
      <c r="CN40" s="909">
        <v>3863</v>
      </c>
      <c r="CO40" s="910">
        <v>0</v>
      </c>
      <c r="CP40" s="910">
        <v>0</v>
      </c>
      <c r="CQ40" s="910">
        <v>0</v>
      </c>
      <c r="CR40" s="910">
        <v>0</v>
      </c>
      <c r="CS40" s="911">
        <v>3863</v>
      </c>
      <c r="CT40" s="909">
        <v>5356.6</v>
      </c>
      <c r="CU40" s="910">
        <v>5.25</v>
      </c>
      <c r="CV40" s="910">
        <v>4340.55</v>
      </c>
      <c r="CW40" s="910">
        <v>510.65</v>
      </c>
      <c r="CX40" s="910">
        <v>-0.05</v>
      </c>
      <c r="CY40" s="911">
        <v>10213</v>
      </c>
      <c r="CZ40" s="909">
        <v>48061.06</v>
      </c>
      <c r="DA40" s="910">
        <v>6220.38</v>
      </c>
      <c r="DB40" s="910">
        <v>0</v>
      </c>
      <c r="DC40" s="910">
        <v>0</v>
      </c>
      <c r="DD40" s="910">
        <v>0</v>
      </c>
      <c r="DE40" s="911">
        <v>54281.440000000002</v>
      </c>
      <c r="DF40" s="909">
        <v>4122</v>
      </c>
      <c r="DG40" s="910">
        <v>0</v>
      </c>
      <c r="DH40" s="910">
        <v>2844.18</v>
      </c>
      <c r="DI40" s="910">
        <v>1277.81</v>
      </c>
      <c r="DJ40" s="910">
        <v>-0.01</v>
      </c>
      <c r="DK40" s="911">
        <v>8243.98</v>
      </c>
      <c r="DL40" s="912"/>
      <c r="DM40" s="913"/>
      <c r="DN40" s="913"/>
      <c r="DO40" s="913"/>
      <c r="DP40" s="913"/>
      <c r="DQ40" s="914"/>
      <c r="DR40" s="912"/>
      <c r="DS40" s="913"/>
      <c r="DT40" s="913"/>
      <c r="DU40" s="913"/>
      <c r="DV40" s="913"/>
      <c r="DW40" s="914"/>
    </row>
    <row r="41" spans="1:127">
      <c r="A41" s="1107" t="s">
        <v>95</v>
      </c>
      <c r="B41" s="904" t="s">
        <v>96</v>
      </c>
      <c r="C41" s="905">
        <f t="shared" si="5"/>
        <v>237372.39000000004</v>
      </c>
      <c r="D41" s="906">
        <f t="shared" si="4"/>
        <v>66776.740000000005</v>
      </c>
      <c r="E41" s="907">
        <f t="shared" si="6"/>
        <v>19905.920000000002</v>
      </c>
      <c r="F41" s="908">
        <f t="shared" si="7"/>
        <v>19617.54</v>
      </c>
      <c r="G41" s="907">
        <f t="shared" si="7"/>
        <v>288.38</v>
      </c>
      <c r="H41" s="912"/>
      <c r="I41" s="913"/>
      <c r="J41" s="913"/>
      <c r="K41" s="913"/>
      <c r="L41" s="913"/>
      <c r="M41" s="914"/>
      <c r="N41" s="909">
        <v>800</v>
      </c>
      <c r="O41" s="910">
        <v>0</v>
      </c>
      <c r="P41" s="910">
        <v>0</v>
      </c>
      <c r="Q41" s="910">
        <v>200</v>
      </c>
      <c r="R41" s="910">
        <v>0</v>
      </c>
      <c r="S41" s="911">
        <v>1000</v>
      </c>
      <c r="T41" s="909">
        <v>8.41</v>
      </c>
      <c r="U41" s="910">
        <v>0</v>
      </c>
      <c r="V41" s="910">
        <v>0.05</v>
      </c>
      <c r="W41" s="910">
        <v>1.55</v>
      </c>
      <c r="X41" s="910">
        <v>0</v>
      </c>
      <c r="Y41" s="911">
        <v>10.01</v>
      </c>
      <c r="Z41" s="915">
        <v>7808.4</v>
      </c>
      <c r="AA41" s="916">
        <v>0</v>
      </c>
      <c r="AB41" s="916">
        <v>0</v>
      </c>
      <c r="AC41" s="916">
        <v>1952.1</v>
      </c>
      <c r="AD41" s="916">
        <v>0</v>
      </c>
      <c r="AE41" s="917">
        <v>9760.5</v>
      </c>
      <c r="AF41" s="912"/>
      <c r="AG41" s="913"/>
      <c r="AH41" s="913"/>
      <c r="AI41" s="913"/>
      <c r="AJ41" s="913"/>
      <c r="AK41" s="914"/>
      <c r="AL41" s="912"/>
      <c r="AM41" s="913"/>
      <c r="AN41" s="913"/>
      <c r="AO41" s="913"/>
      <c r="AP41" s="913"/>
      <c r="AQ41" s="914"/>
      <c r="AR41" s="909">
        <v>1919.99</v>
      </c>
      <c r="AS41" s="910">
        <v>0</v>
      </c>
      <c r="AT41" s="910">
        <v>480.01</v>
      </c>
      <c r="AU41" s="910">
        <v>0</v>
      </c>
      <c r="AV41" s="910">
        <v>288.70999999999998</v>
      </c>
      <c r="AW41" s="911">
        <v>2688.71</v>
      </c>
      <c r="AX41" s="912"/>
      <c r="AY41" s="913"/>
      <c r="AZ41" s="913"/>
      <c r="BA41" s="913"/>
      <c r="BB41" s="913"/>
      <c r="BC41" s="914"/>
      <c r="BD41" s="909">
        <v>201.73</v>
      </c>
      <c r="BE41" s="910">
        <v>0</v>
      </c>
      <c r="BF41" s="910">
        <v>1003.66</v>
      </c>
      <c r="BG41" s="910">
        <v>0</v>
      </c>
      <c r="BH41" s="910">
        <v>0</v>
      </c>
      <c r="BI41" s="911">
        <v>1205.3900000000001</v>
      </c>
      <c r="BJ41" s="909">
        <v>19160.259999999998</v>
      </c>
      <c r="BK41" s="910">
        <v>0</v>
      </c>
      <c r="BL41" s="910">
        <v>2426.98</v>
      </c>
      <c r="BM41" s="910">
        <v>3959.8</v>
      </c>
      <c r="BN41" s="910">
        <v>-0.04</v>
      </c>
      <c r="BO41" s="911">
        <v>25547</v>
      </c>
      <c r="BP41" s="909">
        <v>62736.73</v>
      </c>
      <c r="BQ41" s="910">
        <v>2092.71</v>
      </c>
      <c r="BR41" s="910">
        <v>52481</v>
      </c>
      <c r="BS41" s="910">
        <v>6174.22</v>
      </c>
      <c r="BT41" s="910">
        <v>-0.26</v>
      </c>
      <c r="BU41" s="911">
        <v>123484.4</v>
      </c>
      <c r="BV41" s="909">
        <v>14998.17</v>
      </c>
      <c r="BW41" s="910">
        <v>0</v>
      </c>
      <c r="BX41" s="910">
        <v>10348.74</v>
      </c>
      <c r="BY41" s="910">
        <v>4649.4399999999996</v>
      </c>
      <c r="BZ41" s="910">
        <v>-0.02</v>
      </c>
      <c r="CA41" s="911">
        <v>29996.33</v>
      </c>
      <c r="CB41" s="909">
        <v>901.69</v>
      </c>
      <c r="CC41" s="910">
        <v>0</v>
      </c>
      <c r="CD41" s="910">
        <v>0</v>
      </c>
      <c r="CE41" s="910">
        <v>1555.25</v>
      </c>
      <c r="CF41" s="910">
        <v>0</v>
      </c>
      <c r="CG41" s="911">
        <v>2456.94</v>
      </c>
      <c r="CH41" s="912"/>
      <c r="CI41" s="913"/>
      <c r="CJ41" s="913"/>
      <c r="CK41" s="913"/>
      <c r="CL41" s="913"/>
      <c r="CM41" s="914"/>
      <c r="CN41" s="909">
        <v>27750.400000000001</v>
      </c>
      <c r="CO41" s="910">
        <v>0</v>
      </c>
      <c r="CP41" s="910">
        <v>0</v>
      </c>
      <c r="CQ41" s="910">
        <v>0</v>
      </c>
      <c r="CR41" s="910">
        <v>0</v>
      </c>
      <c r="CS41" s="911">
        <v>27750.400000000001</v>
      </c>
      <c r="CT41" s="912"/>
      <c r="CU41" s="913"/>
      <c r="CV41" s="913"/>
      <c r="CW41" s="913"/>
      <c r="CX41" s="913"/>
      <c r="CY41" s="914"/>
      <c r="CZ41" s="909">
        <v>81231.8</v>
      </c>
      <c r="DA41" s="910">
        <v>11664.4</v>
      </c>
      <c r="DB41" s="910">
        <v>0</v>
      </c>
      <c r="DC41" s="910">
        <v>0</v>
      </c>
      <c r="DD41" s="910">
        <v>0</v>
      </c>
      <c r="DE41" s="911">
        <v>92896.2</v>
      </c>
      <c r="DF41" s="912"/>
      <c r="DG41" s="913"/>
      <c r="DH41" s="913"/>
      <c r="DI41" s="913"/>
      <c r="DJ41" s="913"/>
      <c r="DK41" s="914"/>
      <c r="DL41" s="909">
        <v>6097.7</v>
      </c>
      <c r="DM41" s="910">
        <v>0</v>
      </c>
      <c r="DN41" s="910">
        <v>36.299999999999997</v>
      </c>
      <c r="DO41" s="910">
        <v>1125.18</v>
      </c>
      <c r="DP41" s="910">
        <v>-0.01</v>
      </c>
      <c r="DQ41" s="911">
        <v>7259.17</v>
      </c>
      <c r="DR41" s="912"/>
      <c r="DS41" s="913"/>
      <c r="DT41" s="913"/>
      <c r="DU41" s="913"/>
      <c r="DV41" s="913"/>
      <c r="DW41" s="914"/>
    </row>
    <row r="42" spans="1:127">
      <c r="A42" s="1107" t="s">
        <v>97</v>
      </c>
      <c r="B42" s="904" t="s">
        <v>98</v>
      </c>
      <c r="C42" s="905">
        <f t="shared" si="5"/>
        <v>164120.08000000002</v>
      </c>
      <c r="D42" s="906">
        <f t="shared" si="4"/>
        <v>21256.41</v>
      </c>
      <c r="E42" s="907">
        <f t="shared" si="6"/>
        <v>96869.7</v>
      </c>
      <c r="F42" s="908">
        <f t="shared" si="7"/>
        <v>9186.01</v>
      </c>
      <c r="G42" s="907">
        <f t="shared" si="7"/>
        <v>87683.69</v>
      </c>
      <c r="H42" s="912"/>
      <c r="I42" s="913"/>
      <c r="J42" s="913"/>
      <c r="K42" s="913"/>
      <c r="L42" s="913"/>
      <c r="M42" s="914"/>
      <c r="N42" s="909">
        <v>1026.33</v>
      </c>
      <c r="O42" s="910">
        <v>0</v>
      </c>
      <c r="P42" s="910">
        <v>0</v>
      </c>
      <c r="Q42" s="910">
        <v>256.58999999999997</v>
      </c>
      <c r="R42" s="910">
        <v>0</v>
      </c>
      <c r="S42" s="911">
        <v>1282.92</v>
      </c>
      <c r="T42" s="909">
        <v>945.7</v>
      </c>
      <c r="U42" s="910">
        <v>0</v>
      </c>
      <c r="V42" s="910">
        <v>5.64</v>
      </c>
      <c r="W42" s="910">
        <v>174.52</v>
      </c>
      <c r="X42" s="910">
        <v>-0.03</v>
      </c>
      <c r="Y42" s="911">
        <v>1125.83</v>
      </c>
      <c r="Z42" s="915">
        <v>15558.4</v>
      </c>
      <c r="AA42" s="916">
        <v>0</v>
      </c>
      <c r="AB42" s="916">
        <v>0</v>
      </c>
      <c r="AC42" s="916">
        <v>3889.6</v>
      </c>
      <c r="AD42" s="916">
        <v>87683.94</v>
      </c>
      <c r="AE42" s="917">
        <v>107131.94</v>
      </c>
      <c r="AF42" s="912"/>
      <c r="AG42" s="913"/>
      <c r="AH42" s="913"/>
      <c r="AI42" s="913"/>
      <c r="AJ42" s="913"/>
      <c r="AK42" s="914"/>
      <c r="AL42" s="909">
        <v>11923.8</v>
      </c>
      <c r="AM42" s="910">
        <v>0</v>
      </c>
      <c r="AN42" s="910">
        <v>2980.95</v>
      </c>
      <c r="AO42" s="910">
        <v>0</v>
      </c>
      <c r="AP42" s="910">
        <v>0</v>
      </c>
      <c r="AQ42" s="911">
        <v>14904.75</v>
      </c>
      <c r="AR42" s="909">
        <v>1898.4</v>
      </c>
      <c r="AS42" s="910">
        <v>0</v>
      </c>
      <c r="AT42" s="910">
        <v>474.61</v>
      </c>
      <c r="AU42" s="910">
        <v>0</v>
      </c>
      <c r="AV42" s="910">
        <v>0</v>
      </c>
      <c r="AW42" s="911">
        <v>2373.0100000000002</v>
      </c>
      <c r="AX42" s="912"/>
      <c r="AY42" s="913"/>
      <c r="AZ42" s="913"/>
      <c r="BA42" s="913"/>
      <c r="BB42" s="913"/>
      <c r="BC42" s="914"/>
      <c r="BD42" s="912"/>
      <c r="BE42" s="913"/>
      <c r="BF42" s="913"/>
      <c r="BG42" s="913"/>
      <c r="BH42" s="913"/>
      <c r="BI42" s="914"/>
      <c r="BJ42" s="912"/>
      <c r="BK42" s="913"/>
      <c r="BL42" s="913"/>
      <c r="BM42" s="913"/>
      <c r="BN42" s="913"/>
      <c r="BO42" s="914"/>
      <c r="BP42" s="909">
        <v>14594.6</v>
      </c>
      <c r="BQ42" s="910">
        <v>629.66999999999996</v>
      </c>
      <c r="BR42" s="910">
        <v>12324.41</v>
      </c>
      <c r="BS42" s="910">
        <v>1449.91</v>
      </c>
      <c r="BT42" s="910">
        <v>-0.14000000000000001</v>
      </c>
      <c r="BU42" s="911">
        <v>28998.45</v>
      </c>
      <c r="BV42" s="909">
        <v>4050.74</v>
      </c>
      <c r="BW42" s="910">
        <v>0</v>
      </c>
      <c r="BX42" s="910">
        <v>2262.85</v>
      </c>
      <c r="BY42" s="910">
        <v>1158.1400000000001</v>
      </c>
      <c r="BZ42" s="910">
        <v>-0.06</v>
      </c>
      <c r="CA42" s="911">
        <v>7471.67</v>
      </c>
      <c r="CB42" s="909">
        <v>367</v>
      </c>
      <c r="CC42" s="910">
        <v>0</v>
      </c>
      <c r="CD42" s="910">
        <v>0</v>
      </c>
      <c r="CE42" s="910">
        <v>633</v>
      </c>
      <c r="CF42" s="910">
        <v>0</v>
      </c>
      <c r="CG42" s="911">
        <v>1000</v>
      </c>
      <c r="CH42" s="912"/>
      <c r="CI42" s="913"/>
      <c r="CJ42" s="913"/>
      <c r="CK42" s="913"/>
      <c r="CL42" s="913"/>
      <c r="CM42" s="914"/>
      <c r="CN42" s="909">
        <v>3649</v>
      </c>
      <c r="CO42" s="910">
        <v>0</v>
      </c>
      <c r="CP42" s="910">
        <v>0</v>
      </c>
      <c r="CQ42" s="910">
        <v>0</v>
      </c>
      <c r="CR42" s="910">
        <v>0</v>
      </c>
      <c r="CS42" s="911">
        <v>3649</v>
      </c>
      <c r="CT42" s="912"/>
      <c r="CU42" s="913"/>
      <c r="CV42" s="913"/>
      <c r="CW42" s="913"/>
      <c r="CX42" s="913"/>
      <c r="CY42" s="914"/>
      <c r="CZ42" s="909">
        <v>90133.57</v>
      </c>
      <c r="DA42" s="910">
        <v>13696</v>
      </c>
      <c r="DB42" s="910">
        <v>0</v>
      </c>
      <c r="DC42" s="910">
        <v>0</v>
      </c>
      <c r="DD42" s="910">
        <v>0</v>
      </c>
      <c r="DE42" s="911">
        <v>103829.57</v>
      </c>
      <c r="DF42" s="909">
        <v>4640.51</v>
      </c>
      <c r="DG42" s="910">
        <v>0</v>
      </c>
      <c r="DH42" s="910">
        <v>3201.96</v>
      </c>
      <c r="DI42" s="910">
        <v>1438.56</v>
      </c>
      <c r="DJ42" s="910">
        <v>-0.03</v>
      </c>
      <c r="DK42" s="911">
        <v>9281</v>
      </c>
      <c r="DL42" s="909">
        <v>1006.36</v>
      </c>
      <c r="DM42" s="910">
        <v>0</v>
      </c>
      <c r="DN42" s="910">
        <v>5.99</v>
      </c>
      <c r="DO42" s="910">
        <v>185.69</v>
      </c>
      <c r="DP42" s="910">
        <v>0.01</v>
      </c>
      <c r="DQ42" s="911">
        <v>1198.05</v>
      </c>
      <c r="DR42" s="912"/>
      <c r="DS42" s="913"/>
      <c r="DT42" s="913"/>
      <c r="DU42" s="913"/>
      <c r="DV42" s="913"/>
      <c r="DW42" s="914"/>
    </row>
    <row r="43" spans="1:127">
      <c r="A43" s="1107" t="s">
        <v>99</v>
      </c>
      <c r="B43" s="904" t="s">
        <v>100</v>
      </c>
      <c r="C43" s="905">
        <f t="shared" si="5"/>
        <v>123339.94</v>
      </c>
      <c r="D43" s="906">
        <f t="shared" si="4"/>
        <v>24209.66</v>
      </c>
      <c r="E43" s="907">
        <f t="shared" si="6"/>
        <v>16317.939999999999</v>
      </c>
      <c r="F43" s="908">
        <f t="shared" si="7"/>
        <v>16318.169999999998</v>
      </c>
      <c r="G43" s="907">
        <f t="shared" si="7"/>
        <v>-0.23</v>
      </c>
      <c r="H43" s="912"/>
      <c r="I43" s="913"/>
      <c r="J43" s="913"/>
      <c r="K43" s="913"/>
      <c r="L43" s="913"/>
      <c r="M43" s="914"/>
      <c r="N43" s="909">
        <v>3327.27</v>
      </c>
      <c r="O43" s="910">
        <v>0</v>
      </c>
      <c r="P43" s="910">
        <v>0</v>
      </c>
      <c r="Q43" s="910">
        <v>831.85</v>
      </c>
      <c r="R43" s="910">
        <v>0</v>
      </c>
      <c r="S43" s="911">
        <v>4159.12</v>
      </c>
      <c r="T43" s="909">
        <v>2241.14</v>
      </c>
      <c r="U43" s="910">
        <v>0</v>
      </c>
      <c r="V43" s="910">
        <v>13.33</v>
      </c>
      <c r="W43" s="910">
        <v>413.55</v>
      </c>
      <c r="X43" s="910">
        <v>0.01</v>
      </c>
      <c r="Y43" s="911">
        <v>2668.03</v>
      </c>
      <c r="Z43" s="915">
        <v>18158.88</v>
      </c>
      <c r="AA43" s="916">
        <v>0</v>
      </c>
      <c r="AB43" s="916">
        <v>0</v>
      </c>
      <c r="AC43" s="916">
        <v>4539.76</v>
      </c>
      <c r="AD43" s="916">
        <v>0</v>
      </c>
      <c r="AE43" s="917">
        <v>22698.639999999999</v>
      </c>
      <c r="AF43" s="912"/>
      <c r="AG43" s="913"/>
      <c r="AH43" s="913"/>
      <c r="AI43" s="913"/>
      <c r="AJ43" s="913"/>
      <c r="AK43" s="914"/>
      <c r="AL43" s="909">
        <v>704</v>
      </c>
      <c r="AM43" s="910">
        <v>0</v>
      </c>
      <c r="AN43" s="910">
        <v>176</v>
      </c>
      <c r="AO43" s="910">
        <v>0</v>
      </c>
      <c r="AP43" s="910">
        <v>0</v>
      </c>
      <c r="AQ43" s="911">
        <v>880</v>
      </c>
      <c r="AR43" s="909">
        <v>989.31</v>
      </c>
      <c r="AS43" s="910">
        <v>0</v>
      </c>
      <c r="AT43" s="910">
        <v>247.32</v>
      </c>
      <c r="AU43" s="910">
        <v>0</v>
      </c>
      <c r="AV43" s="910">
        <v>0</v>
      </c>
      <c r="AW43" s="911">
        <v>1236.6300000000001</v>
      </c>
      <c r="AX43" s="912"/>
      <c r="AY43" s="913"/>
      <c r="AZ43" s="913"/>
      <c r="BA43" s="913"/>
      <c r="BB43" s="913"/>
      <c r="BC43" s="914"/>
      <c r="BD43" s="912"/>
      <c r="BE43" s="913"/>
      <c r="BF43" s="913"/>
      <c r="BG43" s="913"/>
      <c r="BH43" s="913"/>
      <c r="BI43" s="914"/>
      <c r="BJ43" s="909">
        <v>11294.26</v>
      </c>
      <c r="BK43" s="910">
        <v>0</v>
      </c>
      <c r="BL43" s="910">
        <v>1430.62</v>
      </c>
      <c r="BM43" s="910">
        <v>2334.16</v>
      </c>
      <c r="BN43" s="910">
        <v>-0.04</v>
      </c>
      <c r="BO43" s="911">
        <v>15059</v>
      </c>
      <c r="BP43" s="909">
        <v>13202.04</v>
      </c>
      <c r="BQ43" s="910">
        <v>605.6</v>
      </c>
      <c r="BR43" s="910">
        <v>11177.62</v>
      </c>
      <c r="BS43" s="910">
        <v>1315.01</v>
      </c>
      <c r="BT43" s="910">
        <v>-7.0000000000000007E-2</v>
      </c>
      <c r="BU43" s="911">
        <v>26300.2</v>
      </c>
      <c r="BV43" s="909">
        <v>13637.14</v>
      </c>
      <c r="BW43" s="910">
        <v>0</v>
      </c>
      <c r="BX43" s="910">
        <v>8699.7900000000009</v>
      </c>
      <c r="BY43" s="910">
        <v>4097.32</v>
      </c>
      <c r="BZ43" s="910">
        <v>-0.12</v>
      </c>
      <c r="CA43" s="911">
        <v>26434.13</v>
      </c>
      <c r="CB43" s="909">
        <v>222.8</v>
      </c>
      <c r="CC43" s="910">
        <v>0</v>
      </c>
      <c r="CD43" s="910">
        <v>0</v>
      </c>
      <c r="CE43" s="910">
        <v>384.3</v>
      </c>
      <c r="CF43" s="910">
        <v>0</v>
      </c>
      <c r="CG43" s="911">
        <v>607.1</v>
      </c>
      <c r="CH43" s="912"/>
      <c r="CI43" s="913"/>
      <c r="CJ43" s="913"/>
      <c r="CK43" s="913"/>
      <c r="CL43" s="913"/>
      <c r="CM43" s="914"/>
      <c r="CN43" s="912"/>
      <c r="CO43" s="913"/>
      <c r="CP43" s="913"/>
      <c r="CQ43" s="913"/>
      <c r="CR43" s="913"/>
      <c r="CS43" s="914"/>
      <c r="CT43" s="912"/>
      <c r="CU43" s="913"/>
      <c r="CV43" s="913"/>
      <c r="CW43" s="913"/>
      <c r="CX43" s="913"/>
      <c r="CY43" s="914"/>
      <c r="CZ43" s="909">
        <v>41199.75</v>
      </c>
      <c r="DA43" s="910">
        <v>7126.75</v>
      </c>
      <c r="DB43" s="910">
        <v>0</v>
      </c>
      <c r="DC43" s="910">
        <v>0</v>
      </c>
      <c r="DD43" s="910">
        <v>0</v>
      </c>
      <c r="DE43" s="911">
        <v>48326.5</v>
      </c>
      <c r="DF43" s="909">
        <v>3511.01</v>
      </c>
      <c r="DG43" s="910">
        <v>0</v>
      </c>
      <c r="DH43" s="910">
        <v>2422.59</v>
      </c>
      <c r="DI43" s="910">
        <v>1088.4100000000001</v>
      </c>
      <c r="DJ43" s="910">
        <v>-0.01</v>
      </c>
      <c r="DK43" s="911">
        <v>7022</v>
      </c>
      <c r="DL43" s="909">
        <v>7119.99</v>
      </c>
      <c r="DM43" s="910">
        <v>0</v>
      </c>
      <c r="DN43" s="910">
        <v>42.39</v>
      </c>
      <c r="DO43" s="910">
        <v>1313.81</v>
      </c>
      <c r="DP43" s="910">
        <v>0</v>
      </c>
      <c r="DQ43" s="911">
        <v>8476.19</v>
      </c>
      <c r="DR43" s="912"/>
      <c r="DS43" s="913"/>
      <c r="DT43" s="913"/>
      <c r="DU43" s="913"/>
      <c r="DV43" s="913"/>
      <c r="DW43" s="914"/>
    </row>
    <row r="44" spans="1:127">
      <c r="A44" s="1107" t="s">
        <v>101</v>
      </c>
      <c r="B44" s="904" t="s">
        <v>102</v>
      </c>
      <c r="C44" s="905">
        <f t="shared" si="5"/>
        <v>154824.41</v>
      </c>
      <c r="D44" s="906">
        <f t="shared" si="4"/>
        <v>65377.67</v>
      </c>
      <c r="E44" s="907">
        <f t="shared" si="6"/>
        <v>14983.9</v>
      </c>
      <c r="F44" s="908">
        <f t="shared" si="7"/>
        <v>14984.38</v>
      </c>
      <c r="G44" s="907">
        <f t="shared" si="7"/>
        <v>-0.48</v>
      </c>
      <c r="H44" s="909">
        <v>0</v>
      </c>
      <c r="I44" s="910">
        <v>0</v>
      </c>
      <c r="J44" s="910">
        <v>1061.06</v>
      </c>
      <c r="K44" s="910">
        <v>0</v>
      </c>
      <c r="L44" s="910">
        <v>0</v>
      </c>
      <c r="M44" s="911">
        <v>1061.06</v>
      </c>
      <c r="N44" s="909">
        <v>1133.1199999999999</v>
      </c>
      <c r="O44" s="910">
        <v>0</v>
      </c>
      <c r="P44" s="910">
        <v>0</v>
      </c>
      <c r="Q44" s="910">
        <v>283.29000000000002</v>
      </c>
      <c r="R44" s="910">
        <v>0</v>
      </c>
      <c r="S44" s="911">
        <v>1416.41</v>
      </c>
      <c r="T44" s="909">
        <v>75.599999999999994</v>
      </c>
      <c r="U44" s="910">
        <v>0</v>
      </c>
      <c r="V44" s="910">
        <v>0.45</v>
      </c>
      <c r="W44" s="910">
        <v>13.95</v>
      </c>
      <c r="X44" s="910">
        <v>0</v>
      </c>
      <c r="Y44" s="911">
        <v>90</v>
      </c>
      <c r="Z44" s="915">
        <v>5580.48</v>
      </c>
      <c r="AA44" s="916">
        <v>0</v>
      </c>
      <c r="AB44" s="916">
        <v>0</v>
      </c>
      <c r="AC44" s="916">
        <v>1395.12</v>
      </c>
      <c r="AD44" s="916">
        <v>0</v>
      </c>
      <c r="AE44" s="917">
        <v>6975.6</v>
      </c>
      <c r="AF44" s="912"/>
      <c r="AG44" s="913"/>
      <c r="AH44" s="913"/>
      <c r="AI44" s="913"/>
      <c r="AJ44" s="913"/>
      <c r="AK44" s="914"/>
      <c r="AL44" s="909">
        <v>521.58000000000004</v>
      </c>
      <c r="AM44" s="910">
        <v>0</v>
      </c>
      <c r="AN44" s="910">
        <v>130.4</v>
      </c>
      <c r="AO44" s="910">
        <v>0</v>
      </c>
      <c r="AP44" s="910">
        <v>0</v>
      </c>
      <c r="AQ44" s="911">
        <v>651.98</v>
      </c>
      <c r="AR44" s="909">
        <v>2571.48</v>
      </c>
      <c r="AS44" s="910">
        <v>0</v>
      </c>
      <c r="AT44" s="910">
        <v>642.87</v>
      </c>
      <c r="AU44" s="910">
        <v>0</v>
      </c>
      <c r="AV44" s="910">
        <v>0</v>
      </c>
      <c r="AW44" s="911">
        <v>3214.35</v>
      </c>
      <c r="AX44" s="912"/>
      <c r="AY44" s="913"/>
      <c r="AZ44" s="913"/>
      <c r="BA44" s="913"/>
      <c r="BB44" s="913"/>
      <c r="BC44" s="914"/>
      <c r="BD44" s="912"/>
      <c r="BE44" s="913"/>
      <c r="BF44" s="913"/>
      <c r="BG44" s="913"/>
      <c r="BH44" s="913"/>
      <c r="BI44" s="914"/>
      <c r="BJ44" s="912"/>
      <c r="BK44" s="913"/>
      <c r="BL44" s="913"/>
      <c r="BM44" s="913"/>
      <c r="BN44" s="913"/>
      <c r="BO44" s="914"/>
      <c r="BP44" s="909">
        <v>46347.7</v>
      </c>
      <c r="BQ44" s="910">
        <v>1055.0899999999999</v>
      </c>
      <c r="BR44" s="910">
        <v>38373.71</v>
      </c>
      <c r="BS44" s="910">
        <v>4514.54</v>
      </c>
      <c r="BT44" s="910">
        <v>-0.24</v>
      </c>
      <c r="BU44" s="911">
        <v>90290.8</v>
      </c>
      <c r="BV44" s="909">
        <v>20838.009999999998</v>
      </c>
      <c r="BW44" s="910">
        <v>0</v>
      </c>
      <c r="BX44" s="910">
        <v>14378.23</v>
      </c>
      <c r="BY44" s="910">
        <v>6459.83</v>
      </c>
      <c r="BZ44" s="910">
        <v>-0.13</v>
      </c>
      <c r="CA44" s="911">
        <v>41675.94</v>
      </c>
      <c r="CB44" s="912"/>
      <c r="CC44" s="913"/>
      <c r="CD44" s="913"/>
      <c r="CE44" s="913"/>
      <c r="CF44" s="913"/>
      <c r="CG44" s="914"/>
      <c r="CH44" s="912"/>
      <c r="CI44" s="913"/>
      <c r="CJ44" s="913"/>
      <c r="CK44" s="913"/>
      <c r="CL44" s="913"/>
      <c r="CM44" s="914"/>
      <c r="CN44" s="912"/>
      <c r="CO44" s="913"/>
      <c r="CP44" s="913"/>
      <c r="CQ44" s="913"/>
      <c r="CR44" s="913"/>
      <c r="CS44" s="914"/>
      <c r="CT44" s="909">
        <v>10386.82</v>
      </c>
      <c r="CU44" s="910">
        <v>302.58</v>
      </c>
      <c r="CV44" s="910">
        <v>8653.34</v>
      </c>
      <c r="CW44" s="910">
        <v>1018.03</v>
      </c>
      <c r="CX44" s="910">
        <v>-0.09</v>
      </c>
      <c r="CY44" s="911">
        <v>20360.68</v>
      </c>
      <c r="CZ44" s="909">
        <v>49758.9</v>
      </c>
      <c r="DA44" s="910">
        <v>11305.7</v>
      </c>
      <c r="DB44" s="910">
        <v>0</v>
      </c>
      <c r="DC44" s="910">
        <v>0</v>
      </c>
      <c r="DD44" s="910">
        <v>0</v>
      </c>
      <c r="DE44" s="911">
        <v>61064.6</v>
      </c>
      <c r="DF44" s="909">
        <v>3081.89</v>
      </c>
      <c r="DG44" s="910">
        <v>0</v>
      </c>
      <c r="DH44" s="910">
        <v>2126.5</v>
      </c>
      <c r="DI44" s="910">
        <v>955.39</v>
      </c>
      <c r="DJ44" s="910">
        <v>-0.01</v>
      </c>
      <c r="DK44" s="911">
        <v>6163.77</v>
      </c>
      <c r="DL44" s="909">
        <v>1865.46</v>
      </c>
      <c r="DM44" s="910">
        <v>0</v>
      </c>
      <c r="DN44" s="910">
        <v>11.11</v>
      </c>
      <c r="DO44" s="910">
        <v>344.23</v>
      </c>
      <c r="DP44" s="910">
        <v>-0.01</v>
      </c>
      <c r="DQ44" s="911">
        <v>2220.79</v>
      </c>
      <c r="DR44" s="912"/>
      <c r="DS44" s="913"/>
      <c r="DT44" s="913"/>
      <c r="DU44" s="913"/>
      <c r="DV44" s="913"/>
      <c r="DW44" s="914"/>
    </row>
    <row r="45" spans="1:127">
      <c r="A45" s="1107" t="s">
        <v>103</v>
      </c>
      <c r="B45" s="904" t="s">
        <v>104</v>
      </c>
      <c r="C45" s="905">
        <f t="shared" si="5"/>
        <v>342856.53</v>
      </c>
      <c r="D45" s="906">
        <f t="shared" si="4"/>
        <v>53075.100000000006</v>
      </c>
      <c r="E45" s="907">
        <f t="shared" si="6"/>
        <v>20162.729999999996</v>
      </c>
      <c r="F45" s="908">
        <f t="shared" si="7"/>
        <v>20162.979999999996</v>
      </c>
      <c r="G45" s="907">
        <f t="shared" si="7"/>
        <v>-0.25</v>
      </c>
      <c r="H45" s="912"/>
      <c r="I45" s="913"/>
      <c r="J45" s="913"/>
      <c r="K45" s="913"/>
      <c r="L45" s="913"/>
      <c r="M45" s="914"/>
      <c r="N45" s="909">
        <v>-246.67</v>
      </c>
      <c r="O45" s="910">
        <v>0</v>
      </c>
      <c r="P45" s="910">
        <v>0</v>
      </c>
      <c r="Q45" s="910">
        <v>-61.67</v>
      </c>
      <c r="R45" s="910">
        <v>0</v>
      </c>
      <c r="S45" s="911">
        <v>-308.33999999999997</v>
      </c>
      <c r="T45" s="912"/>
      <c r="U45" s="913"/>
      <c r="V45" s="913"/>
      <c r="W45" s="913"/>
      <c r="X45" s="913"/>
      <c r="Y45" s="914"/>
      <c r="Z45" s="915">
        <v>44426.64</v>
      </c>
      <c r="AA45" s="916">
        <v>0</v>
      </c>
      <c r="AB45" s="916">
        <v>0</v>
      </c>
      <c r="AC45" s="916">
        <v>11106.64</v>
      </c>
      <c r="AD45" s="916">
        <v>0</v>
      </c>
      <c r="AE45" s="917">
        <v>55533.279999999999</v>
      </c>
      <c r="AF45" s="912"/>
      <c r="AG45" s="913"/>
      <c r="AH45" s="913"/>
      <c r="AI45" s="913"/>
      <c r="AJ45" s="913"/>
      <c r="AK45" s="914"/>
      <c r="AL45" s="912"/>
      <c r="AM45" s="913"/>
      <c r="AN45" s="913"/>
      <c r="AO45" s="913"/>
      <c r="AP45" s="913"/>
      <c r="AQ45" s="914"/>
      <c r="AR45" s="912"/>
      <c r="AS45" s="913"/>
      <c r="AT45" s="913"/>
      <c r="AU45" s="913"/>
      <c r="AV45" s="913"/>
      <c r="AW45" s="914"/>
      <c r="AX45" s="912"/>
      <c r="AY45" s="913"/>
      <c r="AZ45" s="913"/>
      <c r="BA45" s="913"/>
      <c r="BB45" s="913"/>
      <c r="BC45" s="914"/>
      <c r="BD45" s="912"/>
      <c r="BE45" s="913"/>
      <c r="BF45" s="913"/>
      <c r="BG45" s="913"/>
      <c r="BH45" s="913"/>
      <c r="BI45" s="914"/>
      <c r="BJ45" s="909">
        <v>5993.77</v>
      </c>
      <c r="BK45" s="910">
        <v>0</v>
      </c>
      <c r="BL45" s="910">
        <v>759.23</v>
      </c>
      <c r="BM45" s="910">
        <v>1238.73</v>
      </c>
      <c r="BN45" s="910">
        <v>-0.04</v>
      </c>
      <c r="BO45" s="911">
        <v>7991.69</v>
      </c>
      <c r="BP45" s="909">
        <v>53328.09</v>
      </c>
      <c r="BQ45" s="910">
        <v>1262</v>
      </c>
      <c r="BR45" s="910">
        <v>44191.99</v>
      </c>
      <c r="BS45" s="910">
        <v>5199.05</v>
      </c>
      <c r="BT45" s="910">
        <v>-0.13</v>
      </c>
      <c r="BU45" s="911">
        <v>103981</v>
      </c>
      <c r="BV45" s="909">
        <v>5923.38</v>
      </c>
      <c r="BW45" s="910">
        <v>0</v>
      </c>
      <c r="BX45" s="910">
        <v>4087.15</v>
      </c>
      <c r="BY45" s="910">
        <v>1836.26</v>
      </c>
      <c r="BZ45" s="910">
        <v>-0.04</v>
      </c>
      <c r="CA45" s="911">
        <v>11846.75</v>
      </c>
      <c r="CB45" s="909">
        <v>83.58</v>
      </c>
      <c r="CC45" s="910">
        <v>0</v>
      </c>
      <c r="CD45" s="910">
        <v>0</v>
      </c>
      <c r="CE45" s="910">
        <v>144.16999999999999</v>
      </c>
      <c r="CF45" s="910">
        <v>0</v>
      </c>
      <c r="CG45" s="911">
        <v>227.75</v>
      </c>
      <c r="CH45" s="909">
        <v>21.22</v>
      </c>
      <c r="CI45" s="910">
        <v>0</v>
      </c>
      <c r="CJ45" s="910">
        <v>0</v>
      </c>
      <c r="CK45" s="910">
        <v>65.41</v>
      </c>
      <c r="CL45" s="910">
        <v>0</v>
      </c>
      <c r="CM45" s="911">
        <v>86.63</v>
      </c>
      <c r="CN45" s="912"/>
      <c r="CO45" s="913"/>
      <c r="CP45" s="913"/>
      <c r="CQ45" s="913"/>
      <c r="CR45" s="913"/>
      <c r="CS45" s="914"/>
      <c r="CT45" s="909">
        <v>4860.32</v>
      </c>
      <c r="CU45" s="910">
        <v>119.85</v>
      </c>
      <c r="CV45" s="910">
        <v>4031.57</v>
      </c>
      <c r="CW45" s="910">
        <v>474.3</v>
      </c>
      <c r="CX45" s="910">
        <v>-0.04</v>
      </c>
      <c r="CY45" s="911">
        <v>9486</v>
      </c>
      <c r="CZ45" s="909">
        <v>201757.6</v>
      </c>
      <c r="DA45" s="910">
        <v>24459.200000000001</v>
      </c>
      <c r="DB45" s="910">
        <v>0</v>
      </c>
      <c r="DC45" s="910">
        <v>0</v>
      </c>
      <c r="DD45" s="910">
        <v>0</v>
      </c>
      <c r="DE45" s="911">
        <v>226216.8</v>
      </c>
      <c r="DF45" s="912"/>
      <c r="DG45" s="913"/>
      <c r="DH45" s="913"/>
      <c r="DI45" s="913"/>
      <c r="DJ45" s="913"/>
      <c r="DK45" s="914"/>
      <c r="DL45" s="909">
        <v>867.55</v>
      </c>
      <c r="DM45" s="910">
        <v>0</v>
      </c>
      <c r="DN45" s="910">
        <v>5.16</v>
      </c>
      <c r="DO45" s="910">
        <v>160.09</v>
      </c>
      <c r="DP45" s="910">
        <v>0</v>
      </c>
      <c r="DQ45" s="911">
        <v>1032.8</v>
      </c>
      <c r="DR45" s="912"/>
      <c r="DS45" s="913"/>
      <c r="DT45" s="913"/>
      <c r="DU45" s="913"/>
      <c r="DV45" s="913"/>
      <c r="DW45" s="914"/>
    </row>
    <row r="46" spans="1:127">
      <c r="A46" s="1107" t="s">
        <v>105</v>
      </c>
      <c r="B46" s="904" t="s">
        <v>388</v>
      </c>
      <c r="C46" s="905">
        <f t="shared" si="5"/>
        <v>271210.45</v>
      </c>
      <c r="D46" s="906">
        <f t="shared" si="4"/>
        <v>52296.959999999999</v>
      </c>
      <c r="E46" s="907">
        <f t="shared" si="6"/>
        <v>46067.35</v>
      </c>
      <c r="F46" s="908">
        <f t="shared" si="7"/>
        <v>46067.57</v>
      </c>
      <c r="G46" s="907">
        <f t="shared" si="7"/>
        <v>-0.22</v>
      </c>
      <c r="H46" s="912"/>
      <c r="I46" s="913"/>
      <c r="J46" s="913"/>
      <c r="K46" s="913"/>
      <c r="L46" s="913"/>
      <c r="M46" s="914"/>
      <c r="N46" s="909">
        <v>7978.56</v>
      </c>
      <c r="O46" s="910">
        <v>0</v>
      </c>
      <c r="P46" s="910">
        <v>0</v>
      </c>
      <c r="Q46" s="910">
        <v>1994.61</v>
      </c>
      <c r="R46" s="910">
        <v>0</v>
      </c>
      <c r="S46" s="911">
        <v>9973.17</v>
      </c>
      <c r="T46" s="909">
        <v>7472.26</v>
      </c>
      <c r="U46" s="910">
        <v>0</v>
      </c>
      <c r="V46" s="910">
        <v>44.48</v>
      </c>
      <c r="W46" s="910">
        <v>1378.81</v>
      </c>
      <c r="X46" s="910">
        <v>0</v>
      </c>
      <c r="Y46" s="911">
        <v>8895.5499999999993</v>
      </c>
      <c r="Z46" s="915">
        <v>33382.61</v>
      </c>
      <c r="AA46" s="916">
        <v>0</v>
      </c>
      <c r="AB46" s="916">
        <v>0</v>
      </c>
      <c r="AC46" s="916">
        <v>8345.65</v>
      </c>
      <c r="AD46" s="916">
        <v>0</v>
      </c>
      <c r="AE46" s="917">
        <v>41728.26</v>
      </c>
      <c r="AF46" s="912"/>
      <c r="AG46" s="913"/>
      <c r="AH46" s="913"/>
      <c r="AI46" s="913"/>
      <c r="AJ46" s="913"/>
      <c r="AK46" s="914"/>
      <c r="AL46" s="909">
        <v>1559.54</v>
      </c>
      <c r="AM46" s="910">
        <v>0</v>
      </c>
      <c r="AN46" s="910">
        <v>389.89</v>
      </c>
      <c r="AO46" s="910">
        <v>0</v>
      </c>
      <c r="AP46" s="910">
        <v>0</v>
      </c>
      <c r="AQ46" s="911">
        <v>1949.43</v>
      </c>
      <c r="AR46" s="909">
        <v>2997.23</v>
      </c>
      <c r="AS46" s="910">
        <v>0</v>
      </c>
      <c r="AT46" s="910">
        <v>749.31</v>
      </c>
      <c r="AU46" s="910">
        <v>0</v>
      </c>
      <c r="AV46" s="910">
        <v>0</v>
      </c>
      <c r="AW46" s="911">
        <v>3746.54</v>
      </c>
      <c r="AX46" s="912"/>
      <c r="AY46" s="913"/>
      <c r="AZ46" s="913"/>
      <c r="BA46" s="913"/>
      <c r="BB46" s="913"/>
      <c r="BC46" s="914"/>
      <c r="BD46" s="909">
        <v>120.84</v>
      </c>
      <c r="BE46" s="910">
        <v>0</v>
      </c>
      <c r="BF46" s="910">
        <v>927.23</v>
      </c>
      <c r="BG46" s="910">
        <v>0</v>
      </c>
      <c r="BH46" s="910">
        <v>0</v>
      </c>
      <c r="BI46" s="911">
        <v>1048.07</v>
      </c>
      <c r="BJ46" s="909">
        <v>9525</v>
      </c>
      <c r="BK46" s="910">
        <v>0</v>
      </c>
      <c r="BL46" s="910">
        <v>1206.5</v>
      </c>
      <c r="BM46" s="910">
        <v>1968.5</v>
      </c>
      <c r="BN46" s="910">
        <v>0</v>
      </c>
      <c r="BO46" s="911">
        <v>12700</v>
      </c>
      <c r="BP46" s="909">
        <v>12047.66</v>
      </c>
      <c r="BQ46" s="910">
        <v>250</v>
      </c>
      <c r="BR46" s="910">
        <v>9955.26</v>
      </c>
      <c r="BS46" s="910">
        <v>1171.2</v>
      </c>
      <c r="BT46" s="910">
        <v>-0.12</v>
      </c>
      <c r="BU46" s="911">
        <v>23424</v>
      </c>
      <c r="BV46" s="909">
        <v>54409.67</v>
      </c>
      <c r="BW46" s="910">
        <v>0</v>
      </c>
      <c r="BX46" s="910">
        <v>36363.4</v>
      </c>
      <c r="BY46" s="910">
        <v>16650.64</v>
      </c>
      <c r="BZ46" s="910">
        <v>-0.1</v>
      </c>
      <c r="CA46" s="911">
        <v>107423.61</v>
      </c>
      <c r="CB46" s="909">
        <v>7614.76</v>
      </c>
      <c r="CC46" s="910">
        <v>0</v>
      </c>
      <c r="CD46" s="910">
        <v>0</v>
      </c>
      <c r="CE46" s="910">
        <v>13133.87</v>
      </c>
      <c r="CF46" s="910">
        <v>0</v>
      </c>
      <c r="CG46" s="911">
        <v>20748.63</v>
      </c>
      <c r="CH46" s="912"/>
      <c r="CI46" s="913"/>
      <c r="CJ46" s="913"/>
      <c r="CK46" s="913"/>
      <c r="CL46" s="913"/>
      <c r="CM46" s="914"/>
      <c r="CN46" s="909">
        <v>15029</v>
      </c>
      <c r="CO46" s="910">
        <v>0</v>
      </c>
      <c r="CP46" s="910">
        <v>0</v>
      </c>
      <c r="CQ46" s="910">
        <v>0</v>
      </c>
      <c r="CR46" s="910">
        <v>0</v>
      </c>
      <c r="CS46" s="911">
        <v>15029</v>
      </c>
      <c r="CT46" s="912"/>
      <c r="CU46" s="913"/>
      <c r="CV46" s="913"/>
      <c r="CW46" s="913"/>
      <c r="CX46" s="913"/>
      <c r="CY46" s="914"/>
      <c r="CZ46" s="909">
        <v>97826.5</v>
      </c>
      <c r="DA46" s="910">
        <v>15893</v>
      </c>
      <c r="DB46" s="910">
        <v>0</v>
      </c>
      <c r="DC46" s="910">
        <v>0</v>
      </c>
      <c r="DD46" s="910">
        <v>0</v>
      </c>
      <c r="DE46" s="911">
        <v>113719.5</v>
      </c>
      <c r="DF46" s="909">
        <v>3845.5</v>
      </c>
      <c r="DG46" s="910">
        <v>0</v>
      </c>
      <c r="DH46" s="910">
        <v>2653.4</v>
      </c>
      <c r="DI46" s="910">
        <v>1192.1099999999999</v>
      </c>
      <c r="DJ46" s="910">
        <v>-0.01</v>
      </c>
      <c r="DK46" s="911">
        <v>7691</v>
      </c>
      <c r="DL46" s="909">
        <v>1258.32</v>
      </c>
      <c r="DM46" s="910">
        <v>0</v>
      </c>
      <c r="DN46" s="910">
        <v>7.49</v>
      </c>
      <c r="DO46" s="910">
        <v>232.18</v>
      </c>
      <c r="DP46" s="910">
        <v>0.01</v>
      </c>
      <c r="DQ46" s="911">
        <v>1498</v>
      </c>
      <c r="DR46" s="912"/>
      <c r="DS46" s="913"/>
      <c r="DT46" s="913"/>
      <c r="DU46" s="913"/>
      <c r="DV46" s="913"/>
      <c r="DW46" s="914"/>
    </row>
    <row r="47" spans="1:127">
      <c r="A47" s="1107" t="s">
        <v>109</v>
      </c>
      <c r="B47" s="904" t="s">
        <v>110</v>
      </c>
      <c r="C47" s="905">
        <f t="shared" si="5"/>
        <v>789397.35000000009</v>
      </c>
      <c r="D47" s="906">
        <f t="shared" si="4"/>
        <v>223644.62999999998</v>
      </c>
      <c r="E47" s="907">
        <f t="shared" si="6"/>
        <v>61929.64</v>
      </c>
      <c r="F47" s="908">
        <f t="shared" si="7"/>
        <v>61930.32</v>
      </c>
      <c r="G47" s="907">
        <f t="shared" si="7"/>
        <v>-0.68</v>
      </c>
      <c r="H47" s="912"/>
      <c r="I47" s="913"/>
      <c r="J47" s="913"/>
      <c r="K47" s="913"/>
      <c r="L47" s="913"/>
      <c r="M47" s="914"/>
      <c r="N47" s="909">
        <v>1073.3499999999999</v>
      </c>
      <c r="O47" s="910">
        <v>0</v>
      </c>
      <c r="P47" s="910">
        <v>0</v>
      </c>
      <c r="Q47" s="910">
        <v>268.33999999999997</v>
      </c>
      <c r="R47" s="910">
        <v>0</v>
      </c>
      <c r="S47" s="911">
        <v>1341.69</v>
      </c>
      <c r="T47" s="909">
        <v>5246.34</v>
      </c>
      <c r="U47" s="910">
        <v>0</v>
      </c>
      <c r="V47" s="910">
        <v>31.23</v>
      </c>
      <c r="W47" s="910">
        <v>968.07</v>
      </c>
      <c r="X47" s="910">
        <v>0</v>
      </c>
      <c r="Y47" s="911">
        <v>6245.64</v>
      </c>
      <c r="Z47" s="915">
        <v>5560.8</v>
      </c>
      <c r="AA47" s="916">
        <v>0</v>
      </c>
      <c r="AB47" s="916">
        <v>0</v>
      </c>
      <c r="AC47" s="916">
        <v>1390.2</v>
      </c>
      <c r="AD47" s="916">
        <v>0</v>
      </c>
      <c r="AE47" s="917">
        <v>6951</v>
      </c>
      <c r="AF47" s="912"/>
      <c r="AG47" s="913"/>
      <c r="AH47" s="913"/>
      <c r="AI47" s="913"/>
      <c r="AJ47" s="913"/>
      <c r="AK47" s="914"/>
      <c r="AL47" s="909">
        <v>12312.39</v>
      </c>
      <c r="AM47" s="910">
        <v>0</v>
      </c>
      <c r="AN47" s="910">
        <v>3078.09</v>
      </c>
      <c r="AO47" s="910">
        <v>0</v>
      </c>
      <c r="AP47" s="910">
        <v>0</v>
      </c>
      <c r="AQ47" s="911">
        <v>15390.48</v>
      </c>
      <c r="AR47" s="909">
        <v>5279.03</v>
      </c>
      <c r="AS47" s="910">
        <v>0</v>
      </c>
      <c r="AT47" s="910">
        <v>1319.75</v>
      </c>
      <c r="AU47" s="910">
        <v>0</v>
      </c>
      <c r="AV47" s="910">
        <v>0</v>
      </c>
      <c r="AW47" s="911">
        <v>6598.78</v>
      </c>
      <c r="AX47" s="912"/>
      <c r="AY47" s="913"/>
      <c r="AZ47" s="913"/>
      <c r="BA47" s="913"/>
      <c r="BB47" s="913"/>
      <c r="BC47" s="914"/>
      <c r="BD47" s="909">
        <v>341.44</v>
      </c>
      <c r="BE47" s="910">
        <v>0</v>
      </c>
      <c r="BF47" s="910">
        <v>1719.56</v>
      </c>
      <c r="BG47" s="910">
        <v>0</v>
      </c>
      <c r="BH47" s="910">
        <v>0</v>
      </c>
      <c r="BI47" s="911">
        <v>2061</v>
      </c>
      <c r="BJ47" s="909">
        <v>27976.12</v>
      </c>
      <c r="BK47" s="910">
        <v>0</v>
      </c>
      <c r="BL47" s="910">
        <v>3543.67</v>
      </c>
      <c r="BM47" s="910">
        <v>5781.77</v>
      </c>
      <c r="BN47" s="910">
        <v>-0.1</v>
      </c>
      <c r="BO47" s="911">
        <v>37301.46</v>
      </c>
      <c r="BP47" s="909">
        <v>174812.63</v>
      </c>
      <c r="BQ47" s="910">
        <v>5850.22</v>
      </c>
      <c r="BR47" s="910">
        <v>146250.91</v>
      </c>
      <c r="BS47" s="910">
        <v>17205.97</v>
      </c>
      <c r="BT47" s="910">
        <v>-0.33</v>
      </c>
      <c r="BU47" s="911">
        <v>344119.4</v>
      </c>
      <c r="BV47" s="909">
        <v>37783.15</v>
      </c>
      <c r="BW47" s="910">
        <v>0</v>
      </c>
      <c r="BX47" s="910">
        <v>26035.47</v>
      </c>
      <c r="BY47" s="910">
        <v>11706.39</v>
      </c>
      <c r="BZ47" s="910">
        <v>-0.09</v>
      </c>
      <c r="CA47" s="911">
        <v>75524.92</v>
      </c>
      <c r="CB47" s="909">
        <v>10593.27</v>
      </c>
      <c r="CC47" s="910">
        <v>0</v>
      </c>
      <c r="CD47" s="910">
        <v>0</v>
      </c>
      <c r="CE47" s="910">
        <v>18271.169999999998</v>
      </c>
      <c r="CF47" s="910">
        <v>-0.01</v>
      </c>
      <c r="CG47" s="911">
        <v>28864.43</v>
      </c>
      <c r="CH47" s="912"/>
      <c r="CI47" s="913"/>
      <c r="CJ47" s="913"/>
      <c r="CK47" s="913"/>
      <c r="CL47" s="913"/>
      <c r="CM47" s="914"/>
      <c r="CN47" s="909">
        <v>55373.9</v>
      </c>
      <c r="CO47" s="910">
        <v>0</v>
      </c>
      <c r="CP47" s="910">
        <v>0</v>
      </c>
      <c r="CQ47" s="910">
        <v>0</v>
      </c>
      <c r="CR47" s="910">
        <v>0</v>
      </c>
      <c r="CS47" s="911">
        <v>55373.9</v>
      </c>
      <c r="CT47" s="909">
        <v>46051.09</v>
      </c>
      <c r="CU47" s="910">
        <v>209.86</v>
      </c>
      <c r="CV47" s="910">
        <v>37449.339999999997</v>
      </c>
      <c r="CW47" s="910">
        <v>4405.8100000000004</v>
      </c>
      <c r="CX47" s="910">
        <v>-0.1</v>
      </c>
      <c r="CY47" s="911">
        <v>88116</v>
      </c>
      <c r="CZ47" s="909">
        <v>346776.75</v>
      </c>
      <c r="DA47" s="910">
        <v>47837.77</v>
      </c>
      <c r="DB47" s="910">
        <v>0</v>
      </c>
      <c r="DC47" s="910">
        <v>0</v>
      </c>
      <c r="DD47" s="910">
        <v>-0.04</v>
      </c>
      <c r="DE47" s="911">
        <v>394614.48</v>
      </c>
      <c r="DF47" s="909">
        <v>6109.24</v>
      </c>
      <c r="DG47" s="910">
        <v>0</v>
      </c>
      <c r="DH47" s="910">
        <v>4215.3599999999997</v>
      </c>
      <c r="DI47" s="910">
        <v>1893.85</v>
      </c>
      <c r="DJ47" s="910">
        <v>-0.01</v>
      </c>
      <c r="DK47" s="911">
        <v>12218.44</v>
      </c>
      <c r="DL47" s="909">
        <v>210</v>
      </c>
      <c r="DM47" s="910">
        <v>0</v>
      </c>
      <c r="DN47" s="910">
        <v>1.25</v>
      </c>
      <c r="DO47" s="910">
        <v>38.75</v>
      </c>
      <c r="DP47" s="910">
        <v>0</v>
      </c>
      <c r="DQ47" s="911">
        <v>250</v>
      </c>
      <c r="DR47" s="912"/>
      <c r="DS47" s="913"/>
      <c r="DT47" s="913"/>
      <c r="DU47" s="913"/>
      <c r="DV47" s="913"/>
      <c r="DW47" s="914"/>
    </row>
    <row r="48" spans="1:127">
      <c r="A48" s="1107" t="s">
        <v>111</v>
      </c>
      <c r="B48" s="904" t="s">
        <v>112</v>
      </c>
      <c r="C48" s="905">
        <f t="shared" si="5"/>
        <v>5188472.4500000011</v>
      </c>
      <c r="D48" s="906">
        <f t="shared" si="4"/>
        <v>2603886.89</v>
      </c>
      <c r="E48" s="907">
        <f t="shared" si="6"/>
        <v>547700.41999999993</v>
      </c>
      <c r="F48" s="908">
        <f t="shared" si="7"/>
        <v>547701.29999999993</v>
      </c>
      <c r="G48" s="907">
        <f t="shared" si="7"/>
        <v>-0.88</v>
      </c>
      <c r="H48" s="912"/>
      <c r="I48" s="913"/>
      <c r="J48" s="913"/>
      <c r="K48" s="913"/>
      <c r="L48" s="913"/>
      <c r="M48" s="914"/>
      <c r="N48" s="909">
        <v>1133.5999999999999</v>
      </c>
      <c r="O48" s="910">
        <v>0</v>
      </c>
      <c r="P48" s="910">
        <v>0</v>
      </c>
      <c r="Q48" s="910">
        <v>283.39999999999998</v>
      </c>
      <c r="R48" s="910">
        <v>0</v>
      </c>
      <c r="S48" s="911">
        <v>1417</v>
      </c>
      <c r="T48" s="909">
        <v>29776.09</v>
      </c>
      <c r="U48" s="910">
        <v>0</v>
      </c>
      <c r="V48" s="910">
        <v>177.26</v>
      </c>
      <c r="W48" s="910">
        <v>5494.39</v>
      </c>
      <c r="X48" s="910">
        <v>-0.01</v>
      </c>
      <c r="Y48" s="911">
        <v>35447.730000000003</v>
      </c>
      <c r="Z48" s="915">
        <v>95908.62</v>
      </c>
      <c r="AA48" s="916">
        <v>0</v>
      </c>
      <c r="AB48" s="916">
        <v>0</v>
      </c>
      <c r="AC48" s="916">
        <v>23977.13</v>
      </c>
      <c r="AD48" s="916">
        <v>0.12</v>
      </c>
      <c r="AE48" s="917">
        <v>119885.87</v>
      </c>
      <c r="AF48" s="912"/>
      <c r="AG48" s="913"/>
      <c r="AH48" s="913"/>
      <c r="AI48" s="913"/>
      <c r="AJ48" s="913"/>
      <c r="AK48" s="914"/>
      <c r="AL48" s="909">
        <v>22901.599999999999</v>
      </c>
      <c r="AM48" s="910">
        <v>0</v>
      </c>
      <c r="AN48" s="910">
        <v>5725.4</v>
      </c>
      <c r="AO48" s="910">
        <v>0</v>
      </c>
      <c r="AP48" s="910">
        <v>0</v>
      </c>
      <c r="AQ48" s="911">
        <v>28627</v>
      </c>
      <c r="AR48" s="909">
        <v>22540</v>
      </c>
      <c r="AS48" s="910">
        <v>0</v>
      </c>
      <c r="AT48" s="910">
        <v>5635</v>
      </c>
      <c r="AU48" s="910">
        <v>0</v>
      </c>
      <c r="AV48" s="910">
        <v>0</v>
      </c>
      <c r="AW48" s="911">
        <v>28175</v>
      </c>
      <c r="AX48" s="912"/>
      <c r="AY48" s="913"/>
      <c r="AZ48" s="913"/>
      <c r="BA48" s="913"/>
      <c r="BB48" s="913"/>
      <c r="BC48" s="914"/>
      <c r="BD48" s="909">
        <v>594.48</v>
      </c>
      <c r="BE48" s="910">
        <v>0</v>
      </c>
      <c r="BF48" s="910">
        <v>3779.52</v>
      </c>
      <c r="BG48" s="910">
        <v>0</v>
      </c>
      <c r="BH48" s="910">
        <v>0</v>
      </c>
      <c r="BI48" s="911">
        <v>4374</v>
      </c>
      <c r="BJ48" s="909">
        <v>106343.05</v>
      </c>
      <c r="BK48" s="910">
        <v>0</v>
      </c>
      <c r="BL48" s="910">
        <v>13470.15</v>
      </c>
      <c r="BM48" s="910">
        <v>21977.58</v>
      </c>
      <c r="BN48" s="910">
        <v>-0.03</v>
      </c>
      <c r="BO48" s="911">
        <v>141790.75</v>
      </c>
      <c r="BP48" s="909">
        <v>1942466.05</v>
      </c>
      <c r="BQ48" s="910">
        <v>61808.38</v>
      </c>
      <c r="BR48" s="910">
        <v>1622507.89</v>
      </c>
      <c r="BS48" s="910">
        <v>190883.31</v>
      </c>
      <c r="BT48" s="910">
        <v>-0.38</v>
      </c>
      <c r="BU48" s="911">
        <v>3817665.25</v>
      </c>
      <c r="BV48" s="909">
        <v>731618.58</v>
      </c>
      <c r="BW48" s="910">
        <v>0</v>
      </c>
      <c r="BX48" s="910">
        <v>501515.86</v>
      </c>
      <c r="BY48" s="910">
        <v>226196.25</v>
      </c>
      <c r="BZ48" s="910">
        <v>-0.46</v>
      </c>
      <c r="CA48" s="911">
        <v>1459330.23</v>
      </c>
      <c r="CB48" s="909">
        <v>12113.49</v>
      </c>
      <c r="CC48" s="910">
        <v>0</v>
      </c>
      <c r="CD48" s="910">
        <v>0</v>
      </c>
      <c r="CE48" s="910">
        <v>20893.3</v>
      </c>
      <c r="CF48" s="910">
        <v>-0.02</v>
      </c>
      <c r="CG48" s="911">
        <v>33006.769999999997</v>
      </c>
      <c r="CH48" s="912"/>
      <c r="CI48" s="913"/>
      <c r="CJ48" s="913"/>
      <c r="CK48" s="913"/>
      <c r="CL48" s="913"/>
      <c r="CM48" s="914"/>
      <c r="CN48" s="909">
        <v>44487</v>
      </c>
      <c r="CO48" s="910">
        <v>0</v>
      </c>
      <c r="CP48" s="910">
        <v>0</v>
      </c>
      <c r="CQ48" s="910">
        <v>0</v>
      </c>
      <c r="CR48" s="910">
        <v>0</v>
      </c>
      <c r="CS48" s="911">
        <v>44487</v>
      </c>
      <c r="CT48" s="909">
        <v>543284.71</v>
      </c>
      <c r="CU48" s="910">
        <v>976.04</v>
      </c>
      <c r="CV48" s="910">
        <v>440592.04</v>
      </c>
      <c r="CW48" s="910">
        <v>51834.35</v>
      </c>
      <c r="CX48" s="910">
        <v>-0.08</v>
      </c>
      <c r="CY48" s="911">
        <v>1036687.06</v>
      </c>
      <c r="CZ48" s="909">
        <v>1194131.69</v>
      </c>
      <c r="DA48" s="910">
        <v>355282.41</v>
      </c>
      <c r="DB48" s="910">
        <v>0</v>
      </c>
      <c r="DC48" s="910">
        <v>0</v>
      </c>
      <c r="DD48" s="910">
        <v>0</v>
      </c>
      <c r="DE48" s="911">
        <v>1549414.1</v>
      </c>
      <c r="DF48" s="909">
        <v>15124.99</v>
      </c>
      <c r="DG48" s="910">
        <v>0</v>
      </c>
      <c r="DH48" s="910">
        <v>10436.27</v>
      </c>
      <c r="DI48" s="910">
        <v>4688.7700000000004</v>
      </c>
      <c r="DJ48" s="910">
        <v>-0.03</v>
      </c>
      <c r="DK48" s="911">
        <v>30250</v>
      </c>
      <c r="DL48" s="909">
        <v>7981.67</v>
      </c>
      <c r="DM48" s="910">
        <v>0</v>
      </c>
      <c r="DN48" s="910">
        <v>47.5</v>
      </c>
      <c r="DO48" s="910">
        <v>1472.82</v>
      </c>
      <c r="DP48" s="910">
        <v>0.01</v>
      </c>
      <c r="DQ48" s="911">
        <v>9502</v>
      </c>
      <c r="DR48" s="912"/>
      <c r="DS48" s="913"/>
      <c r="DT48" s="913"/>
      <c r="DU48" s="913"/>
      <c r="DV48" s="913"/>
      <c r="DW48" s="914"/>
    </row>
    <row r="49" spans="1:127">
      <c r="A49" s="1107" t="s">
        <v>113</v>
      </c>
      <c r="B49" s="904" t="s">
        <v>367</v>
      </c>
      <c r="C49" s="905">
        <f t="shared" si="5"/>
        <v>646196.34</v>
      </c>
      <c r="D49" s="906">
        <f t="shared" si="4"/>
        <v>217946.81</v>
      </c>
      <c r="E49" s="907">
        <f t="shared" si="6"/>
        <v>64723.549999999996</v>
      </c>
      <c r="F49" s="908">
        <f t="shared" si="7"/>
        <v>64724.7</v>
      </c>
      <c r="G49" s="907">
        <f t="shared" si="7"/>
        <v>-1.1499999999999999</v>
      </c>
      <c r="H49" s="912"/>
      <c r="I49" s="913"/>
      <c r="J49" s="913"/>
      <c r="K49" s="913"/>
      <c r="L49" s="913"/>
      <c r="M49" s="914"/>
      <c r="N49" s="912"/>
      <c r="O49" s="913"/>
      <c r="P49" s="913"/>
      <c r="Q49" s="913"/>
      <c r="R49" s="913"/>
      <c r="S49" s="914"/>
      <c r="T49" s="909">
        <v>11385.79</v>
      </c>
      <c r="U49" s="910">
        <v>0</v>
      </c>
      <c r="V49" s="910">
        <v>67.8</v>
      </c>
      <c r="W49" s="910">
        <v>2100.9899999999998</v>
      </c>
      <c r="X49" s="910">
        <v>-0.08</v>
      </c>
      <c r="Y49" s="911">
        <v>13554.5</v>
      </c>
      <c r="Z49" s="915">
        <v>32359.23</v>
      </c>
      <c r="AA49" s="916">
        <v>0</v>
      </c>
      <c r="AB49" s="916">
        <v>0</v>
      </c>
      <c r="AC49" s="916">
        <v>8089.84</v>
      </c>
      <c r="AD49" s="916">
        <v>0</v>
      </c>
      <c r="AE49" s="917">
        <v>40449.07</v>
      </c>
      <c r="AF49" s="909">
        <v>4173.57</v>
      </c>
      <c r="AG49" s="910">
        <v>0</v>
      </c>
      <c r="AH49" s="910">
        <v>2038.48</v>
      </c>
      <c r="AI49" s="910">
        <v>1139.54</v>
      </c>
      <c r="AJ49" s="910">
        <v>-0.12</v>
      </c>
      <c r="AK49" s="911">
        <v>7351.47</v>
      </c>
      <c r="AL49" s="909">
        <v>3024.77</v>
      </c>
      <c r="AM49" s="910">
        <v>0</v>
      </c>
      <c r="AN49" s="910">
        <v>756.17</v>
      </c>
      <c r="AO49" s="910">
        <v>0</v>
      </c>
      <c r="AP49" s="910">
        <v>0</v>
      </c>
      <c r="AQ49" s="911">
        <v>3780.94</v>
      </c>
      <c r="AR49" s="909">
        <v>5282.39</v>
      </c>
      <c r="AS49" s="910">
        <v>0</v>
      </c>
      <c r="AT49" s="910">
        <v>1320.61</v>
      </c>
      <c r="AU49" s="910">
        <v>0</v>
      </c>
      <c r="AV49" s="910">
        <v>0</v>
      </c>
      <c r="AW49" s="911">
        <v>6603</v>
      </c>
      <c r="AX49" s="912"/>
      <c r="AY49" s="913"/>
      <c r="AZ49" s="913"/>
      <c r="BA49" s="913"/>
      <c r="BB49" s="913"/>
      <c r="BC49" s="914"/>
      <c r="BD49" s="909">
        <v>196.02</v>
      </c>
      <c r="BE49" s="910">
        <v>0</v>
      </c>
      <c r="BF49" s="910">
        <v>1403.98</v>
      </c>
      <c r="BG49" s="910">
        <v>0</v>
      </c>
      <c r="BH49" s="910">
        <v>0</v>
      </c>
      <c r="BI49" s="911">
        <v>1600</v>
      </c>
      <c r="BJ49" s="909">
        <v>29294.959999999999</v>
      </c>
      <c r="BK49" s="910">
        <v>0</v>
      </c>
      <c r="BL49" s="910">
        <v>3710.73</v>
      </c>
      <c r="BM49" s="910">
        <v>6054.31</v>
      </c>
      <c r="BN49" s="910">
        <v>-0.1</v>
      </c>
      <c r="BO49" s="911">
        <v>39059.9</v>
      </c>
      <c r="BP49" s="909">
        <v>175000.66</v>
      </c>
      <c r="BQ49" s="910">
        <v>6196.79</v>
      </c>
      <c r="BR49" s="910">
        <v>146683.69</v>
      </c>
      <c r="BS49" s="910">
        <v>17256.88</v>
      </c>
      <c r="BT49" s="910">
        <v>-0.42</v>
      </c>
      <c r="BU49" s="911">
        <v>345137.6</v>
      </c>
      <c r="BV49" s="909">
        <v>81772.98</v>
      </c>
      <c r="BW49" s="910">
        <v>0</v>
      </c>
      <c r="BX49" s="910">
        <v>55917.43</v>
      </c>
      <c r="BY49" s="910">
        <v>25256.86</v>
      </c>
      <c r="BZ49" s="910">
        <v>-0.48</v>
      </c>
      <c r="CA49" s="911">
        <v>162946.79</v>
      </c>
      <c r="CB49" s="909">
        <v>872.94</v>
      </c>
      <c r="CC49" s="910">
        <v>0</v>
      </c>
      <c r="CD49" s="910">
        <v>0</v>
      </c>
      <c r="CE49" s="910">
        <v>1505.6</v>
      </c>
      <c r="CF49" s="910">
        <v>0</v>
      </c>
      <c r="CG49" s="911">
        <v>2378.54</v>
      </c>
      <c r="CH49" s="912"/>
      <c r="CI49" s="913"/>
      <c r="CJ49" s="913"/>
      <c r="CK49" s="913"/>
      <c r="CL49" s="913"/>
      <c r="CM49" s="914"/>
      <c r="CN49" s="912"/>
      <c r="CO49" s="913"/>
      <c r="CP49" s="913"/>
      <c r="CQ49" s="913"/>
      <c r="CR49" s="913"/>
      <c r="CS49" s="914"/>
      <c r="CT49" s="912"/>
      <c r="CU49" s="913"/>
      <c r="CV49" s="913"/>
      <c r="CW49" s="913"/>
      <c r="CX49" s="913"/>
      <c r="CY49" s="914"/>
      <c r="CZ49" s="909">
        <v>241588.25</v>
      </c>
      <c r="DA49" s="910">
        <v>42992.75</v>
      </c>
      <c r="DB49" s="910">
        <v>0</v>
      </c>
      <c r="DC49" s="910">
        <v>0</v>
      </c>
      <c r="DD49" s="910">
        <v>0</v>
      </c>
      <c r="DE49" s="911">
        <v>284581</v>
      </c>
      <c r="DF49" s="909">
        <v>8736.5</v>
      </c>
      <c r="DG49" s="910">
        <v>0</v>
      </c>
      <c r="DH49" s="910">
        <v>6028.19</v>
      </c>
      <c r="DI49" s="910">
        <v>2708.32</v>
      </c>
      <c r="DJ49" s="910">
        <v>-0.01</v>
      </c>
      <c r="DK49" s="911">
        <v>17473</v>
      </c>
      <c r="DL49" s="909">
        <v>3318.74</v>
      </c>
      <c r="DM49" s="910">
        <v>0</v>
      </c>
      <c r="DN49" s="910">
        <v>19.73</v>
      </c>
      <c r="DO49" s="910">
        <v>612.36</v>
      </c>
      <c r="DP49" s="910">
        <v>0.06</v>
      </c>
      <c r="DQ49" s="911">
        <v>3950.89</v>
      </c>
      <c r="DR49" s="912"/>
      <c r="DS49" s="913"/>
      <c r="DT49" s="913"/>
      <c r="DU49" s="913"/>
      <c r="DV49" s="913"/>
      <c r="DW49" s="914"/>
    </row>
    <row r="50" spans="1:127">
      <c r="A50" s="1107" t="s">
        <v>115</v>
      </c>
      <c r="B50" s="904" t="s">
        <v>116</v>
      </c>
      <c r="C50" s="905">
        <f t="shared" si="5"/>
        <v>27569.93</v>
      </c>
      <c r="D50" s="906">
        <f t="shared" si="4"/>
        <v>1484.8600000000001</v>
      </c>
      <c r="E50" s="907">
        <f t="shared" si="6"/>
        <v>6241.51</v>
      </c>
      <c r="F50" s="908">
        <f t="shared" si="7"/>
        <v>6241.58</v>
      </c>
      <c r="G50" s="907">
        <f t="shared" si="7"/>
        <v>-7.0000000000000007E-2</v>
      </c>
      <c r="H50" s="912"/>
      <c r="I50" s="913"/>
      <c r="J50" s="913"/>
      <c r="K50" s="913"/>
      <c r="L50" s="913"/>
      <c r="M50" s="914"/>
      <c r="N50" s="909">
        <v>1172.5899999999999</v>
      </c>
      <c r="O50" s="910">
        <v>0</v>
      </c>
      <c r="P50" s="910">
        <v>0</v>
      </c>
      <c r="Q50" s="910">
        <v>293.14999999999998</v>
      </c>
      <c r="R50" s="910">
        <v>0</v>
      </c>
      <c r="S50" s="911">
        <v>1465.74</v>
      </c>
      <c r="T50" s="909">
        <v>75.42</v>
      </c>
      <c r="U50" s="910">
        <v>0</v>
      </c>
      <c r="V50" s="910">
        <v>0.45</v>
      </c>
      <c r="W50" s="910">
        <v>13.92</v>
      </c>
      <c r="X50" s="910">
        <v>0</v>
      </c>
      <c r="Y50" s="911">
        <v>89.79</v>
      </c>
      <c r="Z50" s="915">
        <v>12526.94</v>
      </c>
      <c r="AA50" s="916">
        <v>0</v>
      </c>
      <c r="AB50" s="916">
        <v>0</v>
      </c>
      <c r="AC50" s="916">
        <v>3131.76</v>
      </c>
      <c r="AD50" s="916">
        <v>0</v>
      </c>
      <c r="AE50" s="917">
        <v>15658.7</v>
      </c>
      <c r="AF50" s="912"/>
      <c r="AG50" s="913"/>
      <c r="AH50" s="913"/>
      <c r="AI50" s="913"/>
      <c r="AJ50" s="913"/>
      <c r="AK50" s="914"/>
      <c r="AL50" s="912"/>
      <c r="AM50" s="913"/>
      <c r="AN50" s="913"/>
      <c r="AO50" s="913"/>
      <c r="AP50" s="913"/>
      <c r="AQ50" s="914"/>
      <c r="AR50" s="912"/>
      <c r="AS50" s="913"/>
      <c r="AT50" s="913"/>
      <c r="AU50" s="913"/>
      <c r="AV50" s="913"/>
      <c r="AW50" s="914"/>
      <c r="AX50" s="912"/>
      <c r="AY50" s="913"/>
      <c r="AZ50" s="913"/>
      <c r="BA50" s="913"/>
      <c r="BB50" s="913"/>
      <c r="BC50" s="914"/>
      <c r="BD50" s="912"/>
      <c r="BE50" s="913"/>
      <c r="BF50" s="913"/>
      <c r="BG50" s="913"/>
      <c r="BH50" s="913"/>
      <c r="BI50" s="914"/>
      <c r="BJ50" s="909">
        <v>11616.43</v>
      </c>
      <c r="BK50" s="910">
        <v>0</v>
      </c>
      <c r="BL50" s="910">
        <v>1471.43</v>
      </c>
      <c r="BM50" s="910">
        <v>2400.7399999999998</v>
      </c>
      <c r="BN50" s="910">
        <v>-0.04</v>
      </c>
      <c r="BO50" s="911">
        <v>15488.56</v>
      </c>
      <c r="BP50" s="912"/>
      <c r="BQ50" s="913"/>
      <c r="BR50" s="913"/>
      <c r="BS50" s="913"/>
      <c r="BT50" s="913"/>
      <c r="BU50" s="914"/>
      <c r="BV50" s="912"/>
      <c r="BW50" s="913"/>
      <c r="BX50" s="913"/>
      <c r="BY50" s="913"/>
      <c r="BZ50" s="913"/>
      <c r="CA50" s="914"/>
      <c r="CB50" s="912"/>
      <c r="CC50" s="913"/>
      <c r="CD50" s="913"/>
      <c r="CE50" s="913"/>
      <c r="CF50" s="913"/>
      <c r="CG50" s="914"/>
      <c r="CH50" s="912"/>
      <c r="CI50" s="913"/>
      <c r="CJ50" s="913"/>
      <c r="CK50" s="913"/>
      <c r="CL50" s="913"/>
      <c r="CM50" s="914"/>
      <c r="CN50" s="912"/>
      <c r="CO50" s="913"/>
      <c r="CP50" s="913"/>
      <c r="CQ50" s="913"/>
      <c r="CR50" s="913"/>
      <c r="CS50" s="914"/>
      <c r="CT50" s="912"/>
      <c r="CU50" s="913"/>
      <c r="CV50" s="913"/>
      <c r="CW50" s="913"/>
      <c r="CX50" s="913"/>
      <c r="CY50" s="914"/>
      <c r="CZ50" s="912"/>
      <c r="DA50" s="913"/>
      <c r="DB50" s="913"/>
      <c r="DC50" s="913"/>
      <c r="DD50" s="913"/>
      <c r="DE50" s="914"/>
      <c r="DF50" s="912"/>
      <c r="DG50" s="913"/>
      <c r="DH50" s="913"/>
      <c r="DI50" s="913"/>
      <c r="DJ50" s="913"/>
      <c r="DK50" s="914"/>
      <c r="DL50" s="909">
        <v>2178.5500000000002</v>
      </c>
      <c r="DM50" s="910">
        <v>0</v>
      </c>
      <c r="DN50" s="910">
        <v>12.98</v>
      </c>
      <c r="DO50" s="910">
        <v>402.01</v>
      </c>
      <c r="DP50" s="910">
        <v>-0.03</v>
      </c>
      <c r="DQ50" s="911">
        <v>2593.5100000000002</v>
      </c>
      <c r="DR50" s="912"/>
      <c r="DS50" s="913"/>
      <c r="DT50" s="913"/>
      <c r="DU50" s="913"/>
      <c r="DV50" s="913"/>
      <c r="DW50" s="914"/>
    </row>
    <row r="51" spans="1:127">
      <c r="A51" s="1107" t="s">
        <v>119</v>
      </c>
      <c r="B51" s="904" t="s">
        <v>120</v>
      </c>
      <c r="C51" s="905">
        <f t="shared" si="5"/>
        <v>345816.91</v>
      </c>
      <c r="D51" s="906">
        <f t="shared" si="4"/>
        <v>83817.489999999991</v>
      </c>
      <c r="E51" s="907">
        <f t="shared" si="6"/>
        <v>84854.8</v>
      </c>
      <c r="F51" s="908">
        <f t="shared" si="7"/>
        <v>38797.26999999999</v>
      </c>
      <c r="G51" s="907">
        <f t="shared" si="7"/>
        <v>46057.530000000013</v>
      </c>
      <c r="H51" s="912"/>
      <c r="I51" s="913"/>
      <c r="J51" s="913"/>
      <c r="K51" s="913"/>
      <c r="L51" s="913"/>
      <c r="M51" s="914"/>
      <c r="N51" s="909">
        <v>12116.99</v>
      </c>
      <c r="O51" s="910">
        <v>0</v>
      </c>
      <c r="P51" s="910">
        <v>0</v>
      </c>
      <c r="Q51" s="910">
        <v>3029.27</v>
      </c>
      <c r="R51" s="910">
        <v>39594.07</v>
      </c>
      <c r="S51" s="911">
        <v>54740.33</v>
      </c>
      <c r="T51" s="909">
        <v>4276.4399999999996</v>
      </c>
      <c r="U51" s="910">
        <v>0</v>
      </c>
      <c r="V51" s="910">
        <v>25.47</v>
      </c>
      <c r="W51" s="910">
        <v>789.11</v>
      </c>
      <c r="X51" s="910">
        <v>-0.02</v>
      </c>
      <c r="Y51" s="911">
        <v>5091</v>
      </c>
      <c r="Z51" s="915">
        <v>36882.25</v>
      </c>
      <c r="AA51" s="916">
        <v>0</v>
      </c>
      <c r="AB51" s="916">
        <v>0</v>
      </c>
      <c r="AC51" s="916">
        <v>9220.56</v>
      </c>
      <c r="AD51" s="916">
        <v>6006.66</v>
      </c>
      <c r="AE51" s="917">
        <v>52109.47</v>
      </c>
      <c r="AF51" s="912"/>
      <c r="AG51" s="913"/>
      <c r="AH51" s="913"/>
      <c r="AI51" s="913"/>
      <c r="AJ51" s="913"/>
      <c r="AK51" s="914"/>
      <c r="AL51" s="912"/>
      <c r="AM51" s="913"/>
      <c r="AN51" s="913"/>
      <c r="AO51" s="913"/>
      <c r="AP51" s="913"/>
      <c r="AQ51" s="914"/>
      <c r="AR51" s="909">
        <v>3361.61</v>
      </c>
      <c r="AS51" s="910">
        <v>0</v>
      </c>
      <c r="AT51" s="910">
        <v>840.39</v>
      </c>
      <c r="AU51" s="910">
        <v>0</v>
      </c>
      <c r="AV51" s="910">
        <v>0</v>
      </c>
      <c r="AW51" s="911">
        <v>4202</v>
      </c>
      <c r="AX51" s="912"/>
      <c r="AY51" s="913"/>
      <c r="AZ51" s="913"/>
      <c r="BA51" s="913"/>
      <c r="BB51" s="913"/>
      <c r="BC51" s="914"/>
      <c r="BD51" s="909">
        <v>308.64</v>
      </c>
      <c r="BE51" s="910">
        <v>0</v>
      </c>
      <c r="BF51" s="910">
        <v>707.36</v>
      </c>
      <c r="BG51" s="910">
        <v>0</v>
      </c>
      <c r="BH51" s="910">
        <v>0</v>
      </c>
      <c r="BI51" s="911">
        <v>1016</v>
      </c>
      <c r="BJ51" s="909">
        <v>14124</v>
      </c>
      <c r="BK51" s="910">
        <v>0</v>
      </c>
      <c r="BL51" s="910">
        <v>1789.04</v>
      </c>
      <c r="BM51" s="910">
        <v>2918.96</v>
      </c>
      <c r="BN51" s="910">
        <v>0</v>
      </c>
      <c r="BO51" s="911">
        <v>18832</v>
      </c>
      <c r="BP51" s="909">
        <v>58047.21</v>
      </c>
      <c r="BQ51" s="910">
        <v>1878</v>
      </c>
      <c r="BR51" s="910">
        <v>48510.91</v>
      </c>
      <c r="BS51" s="910">
        <v>5707.15</v>
      </c>
      <c r="BT51" s="910">
        <v>-0.27</v>
      </c>
      <c r="BU51" s="911">
        <v>114143</v>
      </c>
      <c r="BV51" s="909">
        <v>35451.800000000003</v>
      </c>
      <c r="BW51" s="910">
        <v>0</v>
      </c>
      <c r="BX51" s="910">
        <v>23631.83</v>
      </c>
      <c r="BY51" s="910">
        <v>10837.82</v>
      </c>
      <c r="BZ51" s="910">
        <v>-0.12</v>
      </c>
      <c r="CA51" s="911">
        <v>69921.33</v>
      </c>
      <c r="CB51" s="909">
        <v>2498.81</v>
      </c>
      <c r="CC51" s="910">
        <v>0</v>
      </c>
      <c r="CD51" s="910">
        <v>0</v>
      </c>
      <c r="CE51" s="910">
        <v>4309.96</v>
      </c>
      <c r="CF51" s="910">
        <v>-0.02</v>
      </c>
      <c r="CG51" s="911">
        <v>6808.75</v>
      </c>
      <c r="CH51" s="912"/>
      <c r="CI51" s="913"/>
      <c r="CJ51" s="913"/>
      <c r="CK51" s="913"/>
      <c r="CL51" s="913"/>
      <c r="CM51" s="914"/>
      <c r="CN51" s="909">
        <v>21137</v>
      </c>
      <c r="CO51" s="910">
        <v>0</v>
      </c>
      <c r="CP51" s="910">
        <v>0</v>
      </c>
      <c r="CQ51" s="910">
        <v>0</v>
      </c>
      <c r="CR51" s="910">
        <v>0</v>
      </c>
      <c r="CS51" s="911">
        <v>21137</v>
      </c>
      <c r="CT51" s="909">
        <v>7683.52</v>
      </c>
      <c r="CU51" s="910">
        <v>46.6</v>
      </c>
      <c r="CV51" s="910">
        <v>6257.72</v>
      </c>
      <c r="CW51" s="910">
        <v>736.2</v>
      </c>
      <c r="CX51" s="910">
        <v>-0.04</v>
      </c>
      <c r="CY51" s="911">
        <v>14724</v>
      </c>
      <c r="CZ51" s="909">
        <v>128753.5</v>
      </c>
      <c r="DA51" s="910">
        <v>14500.5</v>
      </c>
      <c r="DB51" s="910">
        <v>0</v>
      </c>
      <c r="DC51" s="910">
        <v>0</v>
      </c>
      <c r="DD51" s="910">
        <v>0</v>
      </c>
      <c r="DE51" s="911">
        <v>143254</v>
      </c>
      <c r="DF51" s="909">
        <v>2962.5</v>
      </c>
      <c r="DG51" s="910">
        <v>0</v>
      </c>
      <c r="DH51" s="910">
        <v>2044.12</v>
      </c>
      <c r="DI51" s="910">
        <v>918.38</v>
      </c>
      <c r="DJ51" s="910">
        <v>457.3</v>
      </c>
      <c r="DK51" s="911">
        <v>6382.3</v>
      </c>
      <c r="DL51" s="909">
        <v>1787.54</v>
      </c>
      <c r="DM51" s="910">
        <v>0</v>
      </c>
      <c r="DN51" s="910">
        <v>10.65</v>
      </c>
      <c r="DO51" s="910">
        <v>329.86</v>
      </c>
      <c r="DP51" s="910">
        <v>-0.03</v>
      </c>
      <c r="DQ51" s="911">
        <v>2128.02</v>
      </c>
      <c r="DR51" s="912"/>
      <c r="DS51" s="913"/>
      <c r="DT51" s="913"/>
      <c r="DU51" s="913"/>
      <c r="DV51" s="913"/>
      <c r="DW51" s="914"/>
    </row>
    <row r="52" spans="1:127">
      <c r="A52" s="1107" t="s">
        <v>121</v>
      </c>
      <c r="B52" s="904" t="s">
        <v>122</v>
      </c>
      <c r="C52" s="905">
        <f t="shared" si="5"/>
        <v>829496.40999999992</v>
      </c>
      <c r="D52" s="906">
        <f t="shared" si="4"/>
        <v>183089.00000000003</v>
      </c>
      <c r="E52" s="907">
        <f t="shared" si="6"/>
        <v>57408.659999999989</v>
      </c>
      <c r="F52" s="908">
        <f t="shared" si="7"/>
        <v>55547.349999999991</v>
      </c>
      <c r="G52" s="907">
        <f t="shared" si="7"/>
        <v>1861.31</v>
      </c>
      <c r="H52" s="912"/>
      <c r="I52" s="913"/>
      <c r="J52" s="913"/>
      <c r="K52" s="913"/>
      <c r="L52" s="913"/>
      <c r="M52" s="914"/>
      <c r="N52" s="909">
        <v>18587.41</v>
      </c>
      <c r="O52" s="910">
        <v>0</v>
      </c>
      <c r="P52" s="910">
        <v>0</v>
      </c>
      <c r="Q52" s="910">
        <v>4646.8599999999997</v>
      </c>
      <c r="R52" s="910">
        <v>0</v>
      </c>
      <c r="S52" s="911">
        <v>23234.27</v>
      </c>
      <c r="T52" s="909">
        <v>2605.33</v>
      </c>
      <c r="U52" s="910">
        <v>0</v>
      </c>
      <c r="V52" s="910">
        <v>15.51</v>
      </c>
      <c r="W52" s="910">
        <v>480.75</v>
      </c>
      <c r="X52" s="910">
        <v>-0.01</v>
      </c>
      <c r="Y52" s="911">
        <v>3101.58</v>
      </c>
      <c r="Z52" s="915">
        <v>17499.63</v>
      </c>
      <c r="AA52" s="916">
        <v>0</v>
      </c>
      <c r="AB52" s="916">
        <v>0</v>
      </c>
      <c r="AC52" s="916">
        <v>4374.92</v>
      </c>
      <c r="AD52" s="916">
        <v>0</v>
      </c>
      <c r="AE52" s="917">
        <v>21874.55</v>
      </c>
      <c r="AF52" s="912"/>
      <c r="AG52" s="913"/>
      <c r="AH52" s="913"/>
      <c r="AI52" s="913"/>
      <c r="AJ52" s="913"/>
      <c r="AK52" s="914"/>
      <c r="AL52" s="909">
        <v>8215.81</v>
      </c>
      <c r="AM52" s="910">
        <v>0</v>
      </c>
      <c r="AN52" s="910">
        <v>2053.96</v>
      </c>
      <c r="AO52" s="910">
        <v>0</v>
      </c>
      <c r="AP52" s="910">
        <v>0</v>
      </c>
      <c r="AQ52" s="911">
        <v>10269.77</v>
      </c>
      <c r="AR52" s="909">
        <v>3517.32</v>
      </c>
      <c r="AS52" s="910">
        <v>0</v>
      </c>
      <c r="AT52" s="910">
        <v>879.34</v>
      </c>
      <c r="AU52" s="910">
        <v>0</v>
      </c>
      <c r="AV52" s="910">
        <v>0</v>
      </c>
      <c r="AW52" s="911">
        <v>4396.66</v>
      </c>
      <c r="AX52" s="912"/>
      <c r="AY52" s="913"/>
      <c r="AZ52" s="913"/>
      <c r="BA52" s="913"/>
      <c r="BB52" s="913"/>
      <c r="BC52" s="914"/>
      <c r="BD52" s="909">
        <v>264.45</v>
      </c>
      <c r="BE52" s="910">
        <v>0</v>
      </c>
      <c r="BF52" s="910">
        <v>1914.55</v>
      </c>
      <c r="BG52" s="910">
        <v>0</v>
      </c>
      <c r="BH52" s="910">
        <v>0</v>
      </c>
      <c r="BI52" s="911">
        <v>2179</v>
      </c>
      <c r="BJ52" s="912"/>
      <c r="BK52" s="913"/>
      <c r="BL52" s="913"/>
      <c r="BM52" s="913"/>
      <c r="BN52" s="913"/>
      <c r="BO52" s="914"/>
      <c r="BP52" s="909">
        <v>120944.5</v>
      </c>
      <c r="BQ52" s="910">
        <v>4496.6499999999996</v>
      </c>
      <c r="BR52" s="910">
        <v>101547.62</v>
      </c>
      <c r="BS52" s="910">
        <v>11946.76</v>
      </c>
      <c r="BT52" s="910">
        <v>-0.31</v>
      </c>
      <c r="BU52" s="911">
        <v>238935.22</v>
      </c>
      <c r="BV52" s="909">
        <v>19928.11</v>
      </c>
      <c r="BW52" s="910">
        <v>0</v>
      </c>
      <c r="BX52" s="910">
        <v>10582.41</v>
      </c>
      <c r="BY52" s="910">
        <v>5596.71</v>
      </c>
      <c r="BZ52" s="910">
        <v>-0.33</v>
      </c>
      <c r="CA52" s="911">
        <v>36106.9</v>
      </c>
      <c r="CB52" s="909">
        <v>10859.01</v>
      </c>
      <c r="CC52" s="910">
        <v>0</v>
      </c>
      <c r="CD52" s="910">
        <v>0</v>
      </c>
      <c r="CE52" s="910">
        <v>18729.53</v>
      </c>
      <c r="CF52" s="910">
        <v>0</v>
      </c>
      <c r="CG52" s="911">
        <v>29588.54</v>
      </c>
      <c r="CH52" s="912"/>
      <c r="CI52" s="913"/>
      <c r="CJ52" s="913"/>
      <c r="CK52" s="913"/>
      <c r="CL52" s="913"/>
      <c r="CM52" s="914"/>
      <c r="CN52" s="909">
        <v>180240.27</v>
      </c>
      <c r="CO52" s="910">
        <v>0</v>
      </c>
      <c r="CP52" s="910">
        <v>0</v>
      </c>
      <c r="CQ52" s="910">
        <v>0</v>
      </c>
      <c r="CR52" s="910">
        <v>0</v>
      </c>
      <c r="CS52" s="911">
        <v>180240.27</v>
      </c>
      <c r="CT52" s="909">
        <v>75082.600000000006</v>
      </c>
      <c r="CU52" s="910">
        <v>2898.12</v>
      </c>
      <c r="CV52" s="910">
        <v>63127.25</v>
      </c>
      <c r="CW52" s="910">
        <v>7426.74</v>
      </c>
      <c r="CX52" s="910">
        <v>-0.05</v>
      </c>
      <c r="CY52" s="911">
        <v>148534.66</v>
      </c>
      <c r="CZ52" s="909">
        <v>307241.88</v>
      </c>
      <c r="DA52" s="910">
        <v>47299.34</v>
      </c>
      <c r="DB52" s="910">
        <v>0</v>
      </c>
      <c r="DC52" s="910">
        <v>0</v>
      </c>
      <c r="DD52" s="910">
        <v>0</v>
      </c>
      <c r="DE52" s="911">
        <v>354541.22</v>
      </c>
      <c r="DF52" s="909">
        <v>4254.01</v>
      </c>
      <c r="DG52" s="910">
        <v>0</v>
      </c>
      <c r="DH52" s="910">
        <v>2935.26</v>
      </c>
      <c r="DI52" s="910">
        <v>1318.74</v>
      </c>
      <c r="DJ52" s="910">
        <v>-0.01</v>
      </c>
      <c r="DK52" s="911">
        <v>8508</v>
      </c>
      <c r="DL52" s="909">
        <v>5561.97</v>
      </c>
      <c r="DM52" s="910">
        <v>0</v>
      </c>
      <c r="DN52" s="910">
        <v>33.1</v>
      </c>
      <c r="DO52" s="910">
        <v>1026.3399999999999</v>
      </c>
      <c r="DP52" s="910">
        <v>1862.02</v>
      </c>
      <c r="DQ52" s="911">
        <v>8483.43</v>
      </c>
      <c r="DR52" s="912"/>
      <c r="DS52" s="913"/>
      <c r="DT52" s="913"/>
      <c r="DU52" s="913"/>
      <c r="DV52" s="913"/>
      <c r="DW52" s="914"/>
    </row>
    <row r="53" spans="1:127">
      <c r="A53" s="1107" t="s">
        <v>123</v>
      </c>
      <c r="B53" s="904" t="s">
        <v>284</v>
      </c>
      <c r="C53" s="905">
        <f t="shared" si="5"/>
        <v>60066.93</v>
      </c>
      <c r="D53" s="906">
        <f t="shared" si="4"/>
        <v>21316.750000000004</v>
      </c>
      <c r="E53" s="907">
        <f t="shared" si="6"/>
        <v>6527.51</v>
      </c>
      <c r="F53" s="908">
        <f t="shared" si="7"/>
        <v>6527.72</v>
      </c>
      <c r="G53" s="907">
        <f t="shared" si="7"/>
        <v>-0.21000000000000002</v>
      </c>
      <c r="H53" s="912"/>
      <c r="I53" s="913"/>
      <c r="J53" s="913"/>
      <c r="K53" s="913"/>
      <c r="L53" s="913"/>
      <c r="M53" s="914"/>
      <c r="N53" s="909">
        <v>245.62</v>
      </c>
      <c r="O53" s="910">
        <v>0</v>
      </c>
      <c r="P53" s="910">
        <v>0</v>
      </c>
      <c r="Q53" s="910">
        <v>61.4</v>
      </c>
      <c r="R53" s="910">
        <v>0</v>
      </c>
      <c r="S53" s="911">
        <v>307.02</v>
      </c>
      <c r="T53" s="909">
        <v>151.19999999999999</v>
      </c>
      <c r="U53" s="910">
        <v>0</v>
      </c>
      <c r="V53" s="910">
        <v>0.9</v>
      </c>
      <c r="W53" s="910">
        <v>27.9</v>
      </c>
      <c r="X53" s="910">
        <v>0</v>
      </c>
      <c r="Y53" s="911">
        <v>180</v>
      </c>
      <c r="Z53" s="915">
        <v>2625.34</v>
      </c>
      <c r="AA53" s="916">
        <v>0</v>
      </c>
      <c r="AB53" s="916">
        <v>0</v>
      </c>
      <c r="AC53" s="916">
        <v>656.34</v>
      </c>
      <c r="AD53" s="916">
        <v>0</v>
      </c>
      <c r="AE53" s="917">
        <v>3281.68</v>
      </c>
      <c r="AF53" s="912"/>
      <c r="AG53" s="913"/>
      <c r="AH53" s="913"/>
      <c r="AI53" s="913"/>
      <c r="AJ53" s="913"/>
      <c r="AK53" s="914"/>
      <c r="AL53" s="909">
        <v>95.2</v>
      </c>
      <c r="AM53" s="910">
        <v>0</v>
      </c>
      <c r="AN53" s="910">
        <v>23.8</v>
      </c>
      <c r="AO53" s="910">
        <v>0</v>
      </c>
      <c r="AP53" s="910">
        <v>0</v>
      </c>
      <c r="AQ53" s="911">
        <v>119</v>
      </c>
      <c r="AR53" s="909">
        <v>1515.61</v>
      </c>
      <c r="AS53" s="910">
        <v>0</v>
      </c>
      <c r="AT53" s="910">
        <v>378.9</v>
      </c>
      <c r="AU53" s="910">
        <v>0</v>
      </c>
      <c r="AV53" s="910">
        <v>0</v>
      </c>
      <c r="AW53" s="911">
        <v>1894.51</v>
      </c>
      <c r="AX53" s="912"/>
      <c r="AY53" s="913"/>
      <c r="AZ53" s="913"/>
      <c r="BA53" s="913"/>
      <c r="BB53" s="913"/>
      <c r="BC53" s="914"/>
      <c r="BD53" s="909">
        <v>0</v>
      </c>
      <c r="BE53" s="910">
        <v>0</v>
      </c>
      <c r="BF53" s="910">
        <v>480</v>
      </c>
      <c r="BG53" s="910">
        <v>0</v>
      </c>
      <c r="BH53" s="910">
        <v>0</v>
      </c>
      <c r="BI53" s="911">
        <v>480</v>
      </c>
      <c r="BJ53" s="909">
        <v>12487.5</v>
      </c>
      <c r="BK53" s="910">
        <v>0</v>
      </c>
      <c r="BL53" s="910">
        <v>1581.75</v>
      </c>
      <c r="BM53" s="910">
        <v>2580.75</v>
      </c>
      <c r="BN53" s="910">
        <v>0</v>
      </c>
      <c r="BO53" s="911">
        <v>16650</v>
      </c>
      <c r="BP53" s="909">
        <v>12989.52</v>
      </c>
      <c r="BQ53" s="910">
        <v>488.35</v>
      </c>
      <c r="BR53" s="910">
        <v>10910.67</v>
      </c>
      <c r="BS53" s="910">
        <v>1283.5999999999999</v>
      </c>
      <c r="BT53" s="910">
        <v>-0.14000000000000001</v>
      </c>
      <c r="BU53" s="911">
        <v>25672</v>
      </c>
      <c r="BV53" s="909">
        <v>346.16</v>
      </c>
      <c r="BW53" s="910">
        <v>0</v>
      </c>
      <c r="BX53" s="910">
        <v>238.84</v>
      </c>
      <c r="BY53" s="910">
        <v>107.31</v>
      </c>
      <c r="BZ53" s="910">
        <v>0</v>
      </c>
      <c r="CA53" s="911">
        <v>692.31</v>
      </c>
      <c r="CB53" s="912"/>
      <c r="CC53" s="913"/>
      <c r="CD53" s="913"/>
      <c r="CE53" s="913"/>
      <c r="CF53" s="913"/>
      <c r="CG53" s="914"/>
      <c r="CH53" s="912"/>
      <c r="CI53" s="913"/>
      <c r="CJ53" s="913"/>
      <c r="CK53" s="913"/>
      <c r="CL53" s="913"/>
      <c r="CM53" s="914"/>
      <c r="CN53" s="912"/>
      <c r="CO53" s="913"/>
      <c r="CP53" s="913"/>
      <c r="CQ53" s="913"/>
      <c r="CR53" s="913"/>
      <c r="CS53" s="914"/>
      <c r="CT53" s="909">
        <v>6582.96</v>
      </c>
      <c r="CU53" s="910">
        <v>112.4</v>
      </c>
      <c r="CV53" s="910">
        <v>5420.06</v>
      </c>
      <c r="CW53" s="910">
        <v>637.65</v>
      </c>
      <c r="CX53" s="910">
        <v>-7.0000000000000007E-2</v>
      </c>
      <c r="CY53" s="911">
        <v>12753</v>
      </c>
      <c r="CZ53" s="909">
        <v>15924.1</v>
      </c>
      <c r="DA53" s="910">
        <v>2391.3000000000002</v>
      </c>
      <c r="DB53" s="910">
        <v>0</v>
      </c>
      <c r="DC53" s="910">
        <v>0</v>
      </c>
      <c r="DD53" s="910">
        <v>0</v>
      </c>
      <c r="DE53" s="911">
        <v>18315.400000000001</v>
      </c>
      <c r="DF53" s="909">
        <v>3300</v>
      </c>
      <c r="DG53" s="910">
        <v>0</v>
      </c>
      <c r="DH53" s="910">
        <v>2277</v>
      </c>
      <c r="DI53" s="910">
        <v>1023</v>
      </c>
      <c r="DJ53" s="910">
        <v>0</v>
      </c>
      <c r="DK53" s="911">
        <v>6600</v>
      </c>
      <c r="DL53" s="909">
        <v>811.67</v>
      </c>
      <c r="DM53" s="910">
        <v>0</v>
      </c>
      <c r="DN53" s="910">
        <v>4.83</v>
      </c>
      <c r="DO53" s="910">
        <v>149.77000000000001</v>
      </c>
      <c r="DP53" s="910">
        <v>0</v>
      </c>
      <c r="DQ53" s="911">
        <v>966.27</v>
      </c>
      <c r="DR53" s="912"/>
      <c r="DS53" s="913"/>
      <c r="DT53" s="913"/>
      <c r="DU53" s="913"/>
      <c r="DV53" s="913"/>
      <c r="DW53" s="914"/>
    </row>
    <row r="54" spans="1:127">
      <c r="A54" s="1107" t="s">
        <v>125</v>
      </c>
      <c r="B54" s="904" t="s">
        <v>126</v>
      </c>
      <c r="C54" s="905">
        <f t="shared" si="5"/>
        <v>208509.88</v>
      </c>
      <c r="D54" s="906">
        <f t="shared" si="4"/>
        <v>52093.069999999992</v>
      </c>
      <c r="E54" s="907">
        <f t="shared" si="6"/>
        <v>14905.76</v>
      </c>
      <c r="F54" s="908">
        <f t="shared" si="7"/>
        <v>14906.17</v>
      </c>
      <c r="G54" s="907">
        <f t="shared" si="7"/>
        <v>-0.41000000000000003</v>
      </c>
      <c r="H54" s="912"/>
      <c r="I54" s="913"/>
      <c r="J54" s="913"/>
      <c r="K54" s="913"/>
      <c r="L54" s="913"/>
      <c r="M54" s="914"/>
      <c r="N54" s="909">
        <v>385.92</v>
      </c>
      <c r="O54" s="910">
        <v>0</v>
      </c>
      <c r="P54" s="910">
        <v>0</v>
      </c>
      <c r="Q54" s="910">
        <v>96.48</v>
      </c>
      <c r="R54" s="910">
        <v>0</v>
      </c>
      <c r="S54" s="911">
        <v>482.4</v>
      </c>
      <c r="T54" s="912"/>
      <c r="U54" s="913"/>
      <c r="V54" s="913"/>
      <c r="W54" s="913"/>
      <c r="X54" s="913"/>
      <c r="Y54" s="914"/>
      <c r="Z54" s="915">
        <v>9752.1200000000008</v>
      </c>
      <c r="AA54" s="916">
        <v>0</v>
      </c>
      <c r="AB54" s="916">
        <v>0</v>
      </c>
      <c r="AC54" s="916">
        <v>2438.0500000000002</v>
      </c>
      <c r="AD54" s="916">
        <v>0</v>
      </c>
      <c r="AE54" s="917">
        <v>12190.17</v>
      </c>
      <c r="AF54" s="912"/>
      <c r="AG54" s="913"/>
      <c r="AH54" s="913"/>
      <c r="AI54" s="913"/>
      <c r="AJ54" s="913"/>
      <c r="AK54" s="914"/>
      <c r="AL54" s="909">
        <v>837.94</v>
      </c>
      <c r="AM54" s="910">
        <v>0</v>
      </c>
      <c r="AN54" s="910">
        <v>209.48</v>
      </c>
      <c r="AO54" s="910">
        <v>0</v>
      </c>
      <c r="AP54" s="910">
        <v>0</v>
      </c>
      <c r="AQ54" s="911">
        <v>1047.42</v>
      </c>
      <c r="AR54" s="909">
        <v>3841.6</v>
      </c>
      <c r="AS54" s="910">
        <v>0</v>
      </c>
      <c r="AT54" s="910">
        <v>960.4</v>
      </c>
      <c r="AU54" s="910">
        <v>0</v>
      </c>
      <c r="AV54" s="910">
        <v>0</v>
      </c>
      <c r="AW54" s="911">
        <v>4802</v>
      </c>
      <c r="AX54" s="912"/>
      <c r="AY54" s="913"/>
      <c r="AZ54" s="913"/>
      <c r="BA54" s="913"/>
      <c r="BB54" s="913"/>
      <c r="BC54" s="914"/>
      <c r="BD54" s="909">
        <v>0</v>
      </c>
      <c r="BE54" s="910">
        <v>0</v>
      </c>
      <c r="BF54" s="910">
        <v>373.64</v>
      </c>
      <c r="BG54" s="910">
        <v>0</v>
      </c>
      <c r="BH54" s="910">
        <v>0</v>
      </c>
      <c r="BI54" s="911">
        <v>373.64</v>
      </c>
      <c r="BJ54" s="909">
        <v>14531.88</v>
      </c>
      <c r="BK54" s="910">
        <v>0</v>
      </c>
      <c r="BL54" s="910">
        <v>1840.69</v>
      </c>
      <c r="BM54" s="910">
        <v>3003.26</v>
      </c>
      <c r="BN54" s="910">
        <v>0.01</v>
      </c>
      <c r="BO54" s="911">
        <v>19375.84</v>
      </c>
      <c r="BP54" s="909">
        <v>35011.39</v>
      </c>
      <c r="BQ54" s="910">
        <v>1335.92</v>
      </c>
      <c r="BR54" s="910">
        <v>29424.03</v>
      </c>
      <c r="BS54" s="910">
        <v>3461.66</v>
      </c>
      <c r="BT54" s="910">
        <v>-0.3</v>
      </c>
      <c r="BU54" s="911">
        <v>69232.7</v>
      </c>
      <c r="BV54" s="909">
        <v>7108</v>
      </c>
      <c r="BW54" s="910">
        <v>0</v>
      </c>
      <c r="BX54" s="910">
        <v>4904.5200000000004</v>
      </c>
      <c r="BY54" s="910">
        <v>2203.5</v>
      </c>
      <c r="BZ54" s="910">
        <v>-0.06</v>
      </c>
      <c r="CA54" s="911">
        <v>14215.96</v>
      </c>
      <c r="CB54" s="912"/>
      <c r="CC54" s="913"/>
      <c r="CD54" s="913"/>
      <c r="CE54" s="913"/>
      <c r="CF54" s="913"/>
      <c r="CG54" s="914"/>
      <c r="CH54" s="912"/>
      <c r="CI54" s="913"/>
      <c r="CJ54" s="913"/>
      <c r="CK54" s="913"/>
      <c r="CL54" s="913"/>
      <c r="CM54" s="914"/>
      <c r="CN54" s="909">
        <v>22056</v>
      </c>
      <c r="CO54" s="910">
        <v>0</v>
      </c>
      <c r="CP54" s="910">
        <v>0</v>
      </c>
      <c r="CQ54" s="910">
        <v>0</v>
      </c>
      <c r="CR54" s="910">
        <v>0</v>
      </c>
      <c r="CS54" s="911">
        <v>22056</v>
      </c>
      <c r="CT54" s="909">
        <v>13860.65</v>
      </c>
      <c r="CU54" s="910">
        <v>75.2</v>
      </c>
      <c r="CV54" s="910">
        <v>11281.4</v>
      </c>
      <c r="CW54" s="910">
        <v>1327.22</v>
      </c>
      <c r="CX54" s="910">
        <v>-0.03</v>
      </c>
      <c r="CY54" s="911">
        <v>26544.44</v>
      </c>
      <c r="CZ54" s="909">
        <v>79571.679999999993</v>
      </c>
      <c r="DA54" s="910">
        <v>10287.6</v>
      </c>
      <c r="DB54" s="910">
        <v>0</v>
      </c>
      <c r="DC54" s="910">
        <v>0</v>
      </c>
      <c r="DD54" s="910">
        <v>0</v>
      </c>
      <c r="DE54" s="911">
        <v>89859.28</v>
      </c>
      <c r="DF54" s="909">
        <v>4444.5</v>
      </c>
      <c r="DG54" s="910">
        <v>0</v>
      </c>
      <c r="DH54" s="910">
        <v>3066.71</v>
      </c>
      <c r="DI54" s="910">
        <v>1377.8</v>
      </c>
      <c r="DJ54" s="910">
        <v>-0.01</v>
      </c>
      <c r="DK54" s="911">
        <v>8889</v>
      </c>
      <c r="DL54" s="909">
        <v>5409.48</v>
      </c>
      <c r="DM54" s="910">
        <v>0</v>
      </c>
      <c r="DN54" s="910">
        <v>32.200000000000003</v>
      </c>
      <c r="DO54" s="910">
        <v>998.2</v>
      </c>
      <c r="DP54" s="910">
        <v>-0.02</v>
      </c>
      <c r="DQ54" s="911">
        <v>6439.86</v>
      </c>
      <c r="DR54" s="912"/>
      <c r="DS54" s="913"/>
      <c r="DT54" s="913"/>
      <c r="DU54" s="913"/>
      <c r="DV54" s="913"/>
      <c r="DW54" s="914"/>
    </row>
    <row r="55" spans="1:127">
      <c r="A55" s="1107" t="s">
        <v>127</v>
      </c>
      <c r="B55" s="904" t="s">
        <v>128</v>
      </c>
      <c r="C55" s="905">
        <f t="shared" si="5"/>
        <v>197249.72000000003</v>
      </c>
      <c r="D55" s="906">
        <f t="shared" si="4"/>
        <v>51397.06</v>
      </c>
      <c r="E55" s="907">
        <f t="shared" si="6"/>
        <v>12165.03</v>
      </c>
      <c r="F55" s="908">
        <f t="shared" si="7"/>
        <v>12165.42</v>
      </c>
      <c r="G55" s="907">
        <f t="shared" si="7"/>
        <v>-0.39</v>
      </c>
      <c r="H55" s="912"/>
      <c r="I55" s="913"/>
      <c r="J55" s="913"/>
      <c r="K55" s="913"/>
      <c r="L55" s="913"/>
      <c r="M55" s="914"/>
      <c r="N55" s="909">
        <v>1133.31</v>
      </c>
      <c r="O55" s="910">
        <v>0</v>
      </c>
      <c r="P55" s="910">
        <v>0</v>
      </c>
      <c r="Q55" s="910">
        <v>283.33</v>
      </c>
      <c r="R55" s="910">
        <v>0</v>
      </c>
      <c r="S55" s="911">
        <v>1416.64</v>
      </c>
      <c r="T55" s="909">
        <v>1585.78</v>
      </c>
      <c r="U55" s="910">
        <v>0</v>
      </c>
      <c r="V55" s="910">
        <v>9.4600000000000009</v>
      </c>
      <c r="W55" s="910">
        <v>292.64</v>
      </c>
      <c r="X55" s="910">
        <v>-0.04</v>
      </c>
      <c r="Y55" s="911">
        <v>1887.84</v>
      </c>
      <c r="Z55" s="915">
        <v>1680</v>
      </c>
      <c r="AA55" s="916">
        <v>0</v>
      </c>
      <c r="AB55" s="916">
        <v>0</v>
      </c>
      <c r="AC55" s="916">
        <v>420</v>
      </c>
      <c r="AD55" s="916">
        <v>0</v>
      </c>
      <c r="AE55" s="917">
        <v>2100</v>
      </c>
      <c r="AF55" s="912"/>
      <c r="AG55" s="913"/>
      <c r="AH55" s="913"/>
      <c r="AI55" s="913"/>
      <c r="AJ55" s="913"/>
      <c r="AK55" s="914"/>
      <c r="AL55" s="909">
        <v>704</v>
      </c>
      <c r="AM55" s="910">
        <v>0</v>
      </c>
      <c r="AN55" s="910">
        <v>176</v>
      </c>
      <c r="AO55" s="910">
        <v>0</v>
      </c>
      <c r="AP55" s="910">
        <v>0</v>
      </c>
      <c r="AQ55" s="911">
        <v>880</v>
      </c>
      <c r="AR55" s="909">
        <v>577.62</v>
      </c>
      <c r="AS55" s="910">
        <v>0</v>
      </c>
      <c r="AT55" s="910">
        <v>144.41</v>
      </c>
      <c r="AU55" s="910">
        <v>0</v>
      </c>
      <c r="AV55" s="910">
        <v>0</v>
      </c>
      <c r="AW55" s="911">
        <v>722.03</v>
      </c>
      <c r="AX55" s="912"/>
      <c r="AY55" s="913"/>
      <c r="AZ55" s="913"/>
      <c r="BA55" s="913"/>
      <c r="BB55" s="913"/>
      <c r="BC55" s="914"/>
      <c r="BD55" s="912"/>
      <c r="BE55" s="913"/>
      <c r="BF55" s="913"/>
      <c r="BG55" s="913"/>
      <c r="BH55" s="913"/>
      <c r="BI55" s="914"/>
      <c r="BJ55" s="909">
        <v>14060.69</v>
      </c>
      <c r="BK55" s="910">
        <v>0</v>
      </c>
      <c r="BL55" s="910">
        <v>1781.02</v>
      </c>
      <c r="BM55" s="910">
        <v>2905.87</v>
      </c>
      <c r="BN55" s="910">
        <v>-0.01</v>
      </c>
      <c r="BO55" s="911">
        <v>18747.57</v>
      </c>
      <c r="BP55" s="909">
        <v>50134.83</v>
      </c>
      <c r="BQ55" s="910">
        <v>1216.51</v>
      </c>
      <c r="BR55" s="910">
        <v>41570.15</v>
      </c>
      <c r="BS55" s="910">
        <v>4890.59</v>
      </c>
      <c r="BT55" s="910">
        <v>-0.25</v>
      </c>
      <c r="BU55" s="911">
        <v>97811.83</v>
      </c>
      <c r="BV55" s="909">
        <v>7584.08</v>
      </c>
      <c r="BW55" s="910">
        <v>0</v>
      </c>
      <c r="BX55" s="910">
        <v>5155.45</v>
      </c>
      <c r="BY55" s="910">
        <v>2336.84</v>
      </c>
      <c r="BZ55" s="910">
        <v>-0.08</v>
      </c>
      <c r="CA55" s="911">
        <v>15076.29</v>
      </c>
      <c r="CB55" s="912"/>
      <c r="CC55" s="913"/>
      <c r="CD55" s="913"/>
      <c r="CE55" s="913"/>
      <c r="CF55" s="913"/>
      <c r="CG55" s="914"/>
      <c r="CH55" s="912"/>
      <c r="CI55" s="913"/>
      <c r="CJ55" s="913"/>
      <c r="CK55" s="913"/>
      <c r="CL55" s="913"/>
      <c r="CM55" s="914"/>
      <c r="CN55" s="909">
        <v>39830.129999999997</v>
      </c>
      <c r="CO55" s="910">
        <v>0</v>
      </c>
      <c r="CP55" s="910">
        <v>0</v>
      </c>
      <c r="CQ55" s="910">
        <v>0</v>
      </c>
      <c r="CR55" s="910">
        <v>0</v>
      </c>
      <c r="CS55" s="911">
        <v>39830.129999999997</v>
      </c>
      <c r="CT55" s="909">
        <v>351.09</v>
      </c>
      <c r="CU55" s="910">
        <v>0</v>
      </c>
      <c r="CV55" s="910">
        <v>284.22000000000003</v>
      </c>
      <c r="CW55" s="910">
        <v>33.44</v>
      </c>
      <c r="CX55" s="910">
        <v>-0.02</v>
      </c>
      <c r="CY55" s="911">
        <v>668.73</v>
      </c>
      <c r="CZ55" s="909">
        <v>67166.44</v>
      </c>
      <c r="DA55" s="910">
        <v>8035.1</v>
      </c>
      <c r="DB55" s="910">
        <v>0</v>
      </c>
      <c r="DC55" s="910">
        <v>0</v>
      </c>
      <c r="DD55" s="910">
        <v>0</v>
      </c>
      <c r="DE55" s="911">
        <v>75201.539999999994</v>
      </c>
      <c r="DF55" s="909">
        <v>3300</v>
      </c>
      <c r="DG55" s="910">
        <v>0</v>
      </c>
      <c r="DH55" s="910">
        <v>2277</v>
      </c>
      <c r="DI55" s="910">
        <v>1023</v>
      </c>
      <c r="DJ55" s="910">
        <v>0</v>
      </c>
      <c r="DK55" s="911">
        <v>6600</v>
      </c>
      <c r="DL55" s="909">
        <v>-109.86</v>
      </c>
      <c r="DM55" s="910">
        <v>0</v>
      </c>
      <c r="DN55" s="910">
        <v>-0.65</v>
      </c>
      <c r="DO55" s="910">
        <v>-20.29</v>
      </c>
      <c r="DP55" s="910">
        <v>0.01</v>
      </c>
      <c r="DQ55" s="911">
        <v>-130.79</v>
      </c>
      <c r="DR55" s="912"/>
      <c r="DS55" s="913"/>
      <c r="DT55" s="913"/>
      <c r="DU55" s="913"/>
      <c r="DV55" s="913"/>
      <c r="DW55" s="914"/>
    </row>
    <row r="56" spans="1:127">
      <c r="A56" s="1107" t="s">
        <v>129</v>
      </c>
      <c r="B56" s="904" t="s">
        <v>130</v>
      </c>
      <c r="C56" s="905">
        <f t="shared" si="5"/>
        <v>122058.56</v>
      </c>
      <c r="D56" s="906">
        <f t="shared" si="4"/>
        <v>16931.25</v>
      </c>
      <c r="E56" s="907">
        <f t="shared" si="6"/>
        <v>18664.32</v>
      </c>
      <c r="F56" s="908">
        <f t="shared" si="7"/>
        <v>7222.57</v>
      </c>
      <c r="G56" s="907">
        <f t="shared" si="7"/>
        <v>11441.75</v>
      </c>
      <c r="H56" s="912"/>
      <c r="I56" s="913"/>
      <c r="J56" s="913"/>
      <c r="K56" s="913"/>
      <c r="L56" s="913"/>
      <c r="M56" s="914"/>
      <c r="N56" s="909">
        <v>3149.42</v>
      </c>
      <c r="O56" s="910">
        <v>0</v>
      </c>
      <c r="P56" s="910">
        <v>0</v>
      </c>
      <c r="Q56" s="910">
        <v>787.36</v>
      </c>
      <c r="R56" s="910">
        <v>0</v>
      </c>
      <c r="S56" s="911">
        <v>3936.78</v>
      </c>
      <c r="T56" s="909">
        <v>1345.2</v>
      </c>
      <c r="U56" s="910">
        <v>0</v>
      </c>
      <c r="V56" s="910">
        <v>8.02</v>
      </c>
      <c r="W56" s="910">
        <v>248.23</v>
      </c>
      <c r="X56" s="910">
        <v>-0.01</v>
      </c>
      <c r="Y56" s="911">
        <v>1601.44</v>
      </c>
      <c r="Z56" s="915">
        <v>2484</v>
      </c>
      <c r="AA56" s="916">
        <v>0</v>
      </c>
      <c r="AB56" s="916">
        <v>0</v>
      </c>
      <c r="AC56" s="916">
        <v>621</v>
      </c>
      <c r="AD56" s="916">
        <v>0</v>
      </c>
      <c r="AE56" s="917">
        <v>3105</v>
      </c>
      <c r="AF56" s="912"/>
      <c r="AG56" s="913"/>
      <c r="AH56" s="913"/>
      <c r="AI56" s="913"/>
      <c r="AJ56" s="913"/>
      <c r="AK56" s="914"/>
      <c r="AL56" s="909">
        <v>400</v>
      </c>
      <c r="AM56" s="910">
        <v>0</v>
      </c>
      <c r="AN56" s="910">
        <v>100</v>
      </c>
      <c r="AO56" s="910">
        <v>0</v>
      </c>
      <c r="AP56" s="910">
        <v>0</v>
      </c>
      <c r="AQ56" s="911">
        <v>500</v>
      </c>
      <c r="AR56" s="909">
        <v>1440.8</v>
      </c>
      <c r="AS56" s="910">
        <v>0</v>
      </c>
      <c r="AT56" s="910">
        <v>360.2</v>
      </c>
      <c r="AU56" s="910">
        <v>0</v>
      </c>
      <c r="AV56" s="910">
        <v>2212</v>
      </c>
      <c r="AW56" s="911">
        <v>4013</v>
      </c>
      <c r="AX56" s="912"/>
      <c r="AY56" s="913"/>
      <c r="AZ56" s="913"/>
      <c r="BA56" s="913"/>
      <c r="BB56" s="913"/>
      <c r="BC56" s="914"/>
      <c r="BD56" s="912"/>
      <c r="BE56" s="913"/>
      <c r="BF56" s="913"/>
      <c r="BG56" s="913"/>
      <c r="BH56" s="913"/>
      <c r="BI56" s="914"/>
      <c r="BJ56" s="909">
        <v>8899.5</v>
      </c>
      <c r="BK56" s="910">
        <v>0</v>
      </c>
      <c r="BL56" s="910">
        <v>1127.27</v>
      </c>
      <c r="BM56" s="910">
        <v>1839.23</v>
      </c>
      <c r="BN56" s="910">
        <v>8634</v>
      </c>
      <c r="BO56" s="911">
        <v>20500</v>
      </c>
      <c r="BP56" s="909">
        <v>11430.22</v>
      </c>
      <c r="BQ56" s="910">
        <v>352.55</v>
      </c>
      <c r="BR56" s="910">
        <v>9538.4500000000007</v>
      </c>
      <c r="BS56" s="910">
        <v>1122.1600000000001</v>
      </c>
      <c r="BT56" s="910">
        <v>-0.18</v>
      </c>
      <c r="BU56" s="911">
        <v>22443.200000000001</v>
      </c>
      <c r="BV56" s="909">
        <v>5074.7299999999996</v>
      </c>
      <c r="BW56" s="910">
        <v>0</v>
      </c>
      <c r="BX56" s="910">
        <v>3501.58</v>
      </c>
      <c r="BY56" s="910">
        <v>1573.18</v>
      </c>
      <c r="BZ56" s="910">
        <v>595.94000000000005</v>
      </c>
      <c r="CA56" s="911">
        <v>10745.43</v>
      </c>
      <c r="CB56" s="912"/>
      <c r="CC56" s="913"/>
      <c r="CD56" s="913"/>
      <c r="CE56" s="913"/>
      <c r="CF56" s="913"/>
      <c r="CG56" s="914"/>
      <c r="CH56" s="912"/>
      <c r="CI56" s="913"/>
      <c r="CJ56" s="913"/>
      <c r="CK56" s="913"/>
      <c r="CL56" s="913"/>
      <c r="CM56" s="914"/>
      <c r="CN56" s="909">
        <v>136</v>
      </c>
      <c r="CO56" s="910">
        <v>0</v>
      </c>
      <c r="CP56" s="910">
        <v>0</v>
      </c>
      <c r="CQ56" s="910">
        <v>0</v>
      </c>
      <c r="CR56" s="910">
        <v>0</v>
      </c>
      <c r="CS56" s="911">
        <v>136</v>
      </c>
      <c r="CT56" s="912"/>
      <c r="CU56" s="913"/>
      <c r="CV56" s="913"/>
      <c r="CW56" s="913"/>
      <c r="CX56" s="913"/>
      <c r="CY56" s="914"/>
      <c r="CZ56" s="909">
        <v>70919.5</v>
      </c>
      <c r="DA56" s="910">
        <v>13099.5</v>
      </c>
      <c r="DB56" s="910">
        <v>0</v>
      </c>
      <c r="DC56" s="910">
        <v>0</v>
      </c>
      <c r="DD56" s="910">
        <v>0</v>
      </c>
      <c r="DE56" s="911">
        <v>84019</v>
      </c>
      <c r="DF56" s="909">
        <v>3327.14</v>
      </c>
      <c r="DG56" s="910">
        <v>0</v>
      </c>
      <c r="DH56" s="910">
        <v>2295.73</v>
      </c>
      <c r="DI56" s="910">
        <v>1031.4100000000001</v>
      </c>
      <c r="DJ56" s="910">
        <v>0</v>
      </c>
      <c r="DK56" s="911">
        <v>6654.28</v>
      </c>
      <c r="DL56" s="912"/>
      <c r="DM56" s="913"/>
      <c r="DN56" s="913"/>
      <c r="DO56" s="913"/>
      <c r="DP56" s="913"/>
      <c r="DQ56" s="914"/>
      <c r="DR56" s="912"/>
      <c r="DS56" s="913"/>
      <c r="DT56" s="913"/>
      <c r="DU56" s="913"/>
      <c r="DV56" s="913"/>
      <c r="DW56" s="914"/>
    </row>
    <row r="57" spans="1:127">
      <c r="A57" s="1107" t="s">
        <v>131</v>
      </c>
      <c r="B57" s="904" t="s">
        <v>132</v>
      </c>
      <c r="C57" s="905">
        <f t="shared" si="5"/>
        <v>267543.67</v>
      </c>
      <c r="D57" s="906">
        <f t="shared" si="4"/>
        <v>85932.13</v>
      </c>
      <c r="E57" s="907">
        <f t="shared" si="6"/>
        <v>39320.69000000001</v>
      </c>
      <c r="F57" s="908">
        <f t="shared" si="7"/>
        <v>39321.140000000007</v>
      </c>
      <c r="G57" s="907">
        <f t="shared" si="7"/>
        <v>-0.45</v>
      </c>
      <c r="H57" s="912"/>
      <c r="I57" s="913"/>
      <c r="J57" s="913"/>
      <c r="K57" s="913"/>
      <c r="L57" s="913"/>
      <c r="M57" s="914"/>
      <c r="N57" s="909">
        <v>3088.32</v>
      </c>
      <c r="O57" s="910">
        <v>0</v>
      </c>
      <c r="P57" s="910">
        <v>0</v>
      </c>
      <c r="Q57" s="910">
        <v>772.09</v>
      </c>
      <c r="R57" s="910">
        <v>0</v>
      </c>
      <c r="S57" s="911">
        <v>3860.41</v>
      </c>
      <c r="T57" s="909">
        <v>252.06</v>
      </c>
      <c r="U57" s="910">
        <v>0</v>
      </c>
      <c r="V57" s="910">
        <v>1.5</v>
      </c>
      <c r="W57" s="910">
        <v>46.51</v>
      </c>
      <c r="X57" s="910">
        <v>0</v>
      </c>
      <c r="Y57" s="911">
        <v>300.07</v>
      </c>
      <c r="Z57" s="915">
        <v>31472.44</v>
      </c>
      <c r="AA57" s="916">
        <v>0</v>
      </c>
      <c r="AB57" s="916">
        <v>0</v>
      </c>
      <c r="AC57" s="916">
        <v>7868.09</v>
      </c>
      <c r="AD57" s="916">
        <v>0</v>
      </c>
      <c r="AE57" s="917">
        <v>39340.53</v>
      </c>
      <c r="AF57" s="912"/>
      <c r="AG57" s="913"/>
      <c r="AH57" s="913"/>
      <c r="AI57" s="913"/>
      <c r="AJ57" s="913"/>
      <c r="AK57" s="914"/>
      <c r="AL57" s="909">
        <v>5771.08</v>
      </c>
      <c r="AM57" s="910">
        <v>0</v>
      </c>
      <c r="AN57" s="910">
        <v>1442.77</v>
      </c>
      <c r="AO57" s="910">
        <v>0</v>
      </c>
      <c r="AP57" s="910">
        <v>0</v>
      </c>
      <c r="AQ57" s="911">
        <v>7213.85</v>
      </c>
      <c r="AR57" s="909">
        <v>10065.790000000001</v>
      </c>
      <c r="AS57" s="910">
        <v>0</v>
      </c>
      <c r="AT57" s="910">
        <v>2516.44</v>
      </c>
      <c r="AU57" s="910">
        <v>0</v>
      </c>
      <c r="AV57" s="910">
        <v>0</v>
      </c>
      <c r="AW57" s="911">
        <v>12582.23</v>
      </c>
      <c r="AX57" s="912"/>
      <c r="AY57" s="913"/>
      <c r="AZ57" s="913"/>
      <c r="BA57" s="913"/>
      <c r="BB57" s="913"/>
      <c r="BC57" s="914"/>
      <c r="BD57" s="912"/>
      <c r="BE57" s="913"/>
      <c r="BF57" s="913"/>
      <c r="BG57" s="913"/>
      <c r="BH57" s="913"/>
      <c r="BI57" s="914"/>
      <c r="BJ57" s="909">
        <v>21523.87</v>
      </c>
      <c r="BK57" s="910">
        <v>0</v>
      </c>
      <c r="BL57" s="910">
        <v>2726.37</v>
      </c>
      <c r="BM57" s="910">
        <v>4448.28</v>
      </c>
      <c r="BN57" s="910">
        <v>-0.02</v>
      </c>
      <c r="BO57" s="911">
        <v>28698.5</v>
      </c>
      <c r="BP57" s="909">
        <v>41189.089999999997</v>
      </c>
      <c r="BQ57" s="910">
        <v>1802.09</v>
      </c>
      <c r="BR57" s="910">
        <v>34802.400000000001</v>
      </c>
      <c r="BS57" s="910">
        <v>4094.39</v>
      </c>
      <c r="BT57" s="910">
        <v>-0.19</v>
      </c>
      <c r="BU57" s="911">
        <v>81887.78</v>
      </c>
      <c r="BV57" s="909">
        <v>65055.96</v>
      </c>
      <c r="BW57" s="910">
        <v>0</v>
      </c>
      <c r="BX57" s="910">
        <v>41887.4</v>
      </c>
      <c r="BY57" s="910">
        <v>19616.77</v>
      </c>
      <c r="BZ57" s="910">
        <v>-0.23</v>
      </c>
      <c r="CA57" s="911">
        <v>126559.9</v>
      </c>
      <c r="CB57" s="909">
        <v>550.5</v>
      </c>
      <c r="CC57" s="910">
        <v>0</v>
      </c>
      <c r="CD57" s="910">
        <v>0</v>
      </c>
      <c r="CE57" s="910">
        <v>949.5</v>
      </c>
      <c r="CF57" s="910">
        <v>0</v>
      </c>
      <c r="CG57" s="911">
        <v>1500</v>
      </c>
      <c r="CH57" s="909">
        <v>122.5</v>
      </c>
      <c r="CI57" s="910">
        <v>0</v>
      </c>
      <c r="CJ57" s="910">
        <v>0</v>
      </c>
      <c r="CK57" s="910">
        <v>377.5</v>
      </c>
      <c r="CL57" s="910">
        <v>0</v>
      </c>
      <c r="CM57" s="911">
        <v>500</v>
      </c>
      <c r="CN57" s="912"/>
      <c r="CO57" s="913"/>
      <c r="CP57" s="913"/>
      <c r="CQ57" s="913"/>
      <c r="CR57" s="913"/>
      <c r="CS57" s="914"/>
      <c r="CT57" s="912"/>
      <c r="CU57" s="913"/>
      <c r="CV57" s="913"/>
      <c r="CW57" s="913"/>
      <c r="CX57" s="913"/>
      <c r="CY57" s="914"/>
      <c r="CZ57" s="909">
        <v>70045.84</v>
      </c>
      <c r="DA57" s="910">
        <v>12900.88</v>
      </c>
      <c r="DB57" s="910">
        <v>0</v>
      </c>
      <c r="DC57" s="910">
        <v>0</v>
      </c>
      <c r="DD57" s="910">
        <v>0</v>
      </c>
      <c r="DE57" s="911">
        <v>82946.720000000001</v>
      </c>
      <c r="DF57" s="909">
        <v>3703.25</v>
      </c>
      <c r="DG57" s="910">
        <v>0</v>
      </c>
      <c r="DH57" s="910">
        <v>2555.25</v>
      </c>
      <c r="DI57" s="910">
        <v>1148.01</v>
      </c>
      <c r="DJ57" s="910">
        <v>-0.01</v>
      </c>
      <c r="DK57" s="911">
        <v>7406.5</v>
      </c>
      <c r="DL57" s="912"/>
      <c r="DM57" s="913"/>
      <c r="DN57" s="913"/>
      <c r="DO57" s="913"/>
      <c r="DP57" s="913"/>
      <c r="DQ57" s="914"/>
      <c r="DR57" s="912"/>
      <c r="DS57" s="913"/>
      <c r="DT57" s="913"/>
      <c r="DU57" s="913"/>
      <c r="DV57" s="913"/>
      <c r="DW57" s="914"/>
    </row>
    <row r="58" spans="1:127">
      <c r="A58" s="1107" t="s">
        <v>133</v>
      </c>
      <c r="B58" s="904" t="s">
        <v>134</v>
      </c>
      <c r="C58" s="905">
        <f t="shared" si="5"/>
        <v>2480725.2399999998</v>
      </c>
      <c r="D58" s="906">
        <f t="shared" si="4"/>
        <v>887581.8400000002</v>
      </c>
      <c r="E58" s="907">
        <f t="shared" si="6"/>
        <v>883764.76</v>
      </c>
      <c r="F58" s="908">
        <f t="shared" si="7"/>
        <v>184403.83000000002</v>
      </c>
      <c r="G58" s="907">
        <f t="shared" si="7"/>
        <v>699360.92999999993</v>
      </c>
      <c r="H58" s="912"/>
      <c r="I58" s="913"/>
      <c r="J58" s="913"/>
      <c r="K58" s="913"/>
      <c r="L58" s="913"/>
      <c r="M58" s="914"/>
      <c r="N58" s="909">
        <v>5141.04</v>
      </c>
      <c r="O58" s="910">
        <v>0</v>
      </c>
      <c r="P58" s="910">
        <v>0</v>
      </c>
      <c r="Q58" s="910">
        <v>1285.26</v>
      </c>
      <c r="R58" s="910">
        <v>0</v>
      </c>
      <c r="S58" s="911">
        <v>6426.3</v>
      </c>
      <c r="T58" s="909">
        <v>6159.22</v>
      </c>
      <c r="U58" s="910">
        <v>0</v>
      </c>
      <c r="V58" s="910">
        <v>36.68</v>
      </c>
      <c r="W58" s="910">
        <v>1136.53</v>
      </c>
      <c r="X58" s="910">
        <v>-0.02</v>
      </c>
      <c r="Y58" s="911">
        <v>7332.41</v>
      </c>
      <c r="Z58" s="915">
        <v>33775.440000000002</v>
      </c>
      <c r="AA58" s="916">
        <v>0</v>
      </c>
      <c r="AB58" s="916">
        <v>0</v>
      </c>
      <c r="AC58" s="916">
        <v>8443.8700000000008</v>
      </c>
      <c r="AD58" s="916">
        <v>687869.18</v>
      </c>
      <c r="AE58" s="917">
        <v>730088.49</v>
      </c>
      <c r="AF58" s="912"/>
      <c r="AG58" s="913"/>
      <c r="AH58" s="913"/>
      <c r="AI58" s="913"/>
      <c r="AJ58" s="913"/>
      <c r="AK58" s="914"/>
      <c r="AL58" s="909">
        <v>7130.83</v>
      </c>
      <c r="AM58" s="910">
        <v>0</v>
      </c>
      <c r="AN58" s="910">
        <v>1782.7</v>
      </c>
      <c r="AO58" s="910">
        <v>0</v>
      </c>
      <c r="AP58" s="910">
        <v>0</v>
      </c>
      <c r="AQ58" s="911">
        <v>8913.5300000000007</v>
      </c>
      <c r="AR58" s="909">
        <v>9708.24</v>
      </c>
      <c r="AS58" s="910">
        <v>0</v>
      </c>
      <c r="AT58" s="910">
        <v>2427.0700000000002</v>
      </c>
      <c r="AU58" s="910">
        <v>0</v>
      </c>
      <c r="AV58" s="910">
        <v>0</v>
      </c>
      <c r="AW58" s="911">
        <v>12135.31</v>
      </c>
      <c r="AX58" s="912"/>
      <c r="AY58" s="913"/>
      <c r="AZ58" s="913"/>
      <c r="BA58" s="913"/>
      <c r="BB58" s="913"/>
      <c r="BC58" s="914"/>
      <c r="BD58" s="909">
        <v>124.74</v>
      </c>
      <c r="BE58" s="910">
        <v>0</v>
      </c>
      <c r="BF58" s="910">
        <v>3317.26</v>
      </c>
      <c r="BG58" s="910">
        <v>0</v>
      </c>
      <c r="BH58" s="910">
        <v>218</v>
      </c>
      <c r="BI58" s="911">
        <v>3660</v>
      </c>
      <c r="BJ58" s="909">
        <v>39405.93</v>
      </c>
      <c r="BK58" s="910">
        <v>0</v>
      </c>
      <c r="BL58" s="910">
        <v>4991.41</v>
      </c>
      <c r="BM58" s="910">
        <v>8143.9</v>
      </c>
      <c r="BN58" s="910">
        <v>-0.03</v>
      </c>
      <c r="BO58" s="911">
        <v>52541.21</v>
      </c>
      <c r="BP58" s="909">
        <v>676426.11</v>
      </c>
      <c r="BQ58" s="910">
        <v>23968.639999999999</v>
      </c>
      <c r="BR58" s="910">
        <v>566986.29</v>
      </c>
      <c r="BS58" s="910">
        <v>66704.259999999995</v>
      </c>
      <c r="BT58" s="910">
        <v>-0.43</v>
      </c>
      <c r="BU58" s="911">
        <v>1334084.8700000001</v>
      </c>
      <c r="BV58" s="909">
        <v>217284.53</v>
      </c>
      <c r="BW58" s="910">
        <v>0</v>
      </c>
      <c r="BX58" s="910">
        <v>142010.70000000001</v>
      </c>
      <c r="BY58" s="910">
        <v>65906.25</v>
      </c>
      <c r="BZ58" s="910">
        <v>-0.28000000000000003</v>
      </c>
      <c r="CA58" s="911">
        <v>425201.2</v>
      </c>
      <c r="CB58" s="909">
        <v>5490.85</v>
      </c>
      <c r="CC58" s="910">
        <v>0</v>
      </c>
      <c r="CD58" s="910">
        <v>0</v>
      </c>
      <c r="CE58" s="910">
        <v>9470.58</v>
      </c>
      <c r="CF58" s="910">
        <v>37.92</v>
      </c>
      <c r="CG58" s="911">
        <v>14999.35</v>
      </c>
      <c r="CH58" s="912"/>
      <c r="CI58" s="913"/>
      <c r="CJ58" s="913"/>
      <c r="CK58" s="913"/>
      <c r="CL58" s="913"/>
      <c r="CM58" s="914"/>
      <c r="CN58" s="909">
        <v>621552.71</v>
      </c>
      <c r="CO58" s="910">
        <v>0</v>
      </c>
      <c r="CP58" s="910">
        <v>0</v>
      </c>
      <c r="CQ58" s="910">
        <v>0</v>
      </c>
      <c r="CR58" s="910">
        <v>0</v>
      </c>
      <c r="CS58" s="911">
        <v>621552.71</v>
      </c>
      <c r="CT58" s="909">
        <v>195878.63</v>
      </c>
      <c r="CU58" s="910">
        <v>0</v>
      </c>
      <c r="CV58" s="910">
        <v>158568.41</v>
      </c>
      <c r="CW58" s="910">
        <v>18655.099999999999</v>
      </c>
      <c r="CX58" s="910">
        <v>0.01</v>
      </c>
      <c r="CY58" s="911">
        <v>373102.15</v>
      </c>
      <c r="CZ58" s="909">
        <v>520160.07</v>
      </c>
      <c r="DA58" s="910">
        <v>100585.65</v>
      </c>
      <c r="DB58" s="910">
        <v>0</v>
      </c>
      <c r="DC58" s="910">
        <v>0</v>
      </c>
      <c r="DD58" s="910">
        <v>-0.03</v>
      </c>
      <c r="DE58" s="911">
        <v>620745.68999999994</v>
      </c>
      <c r="DF58" s="909">
        <v>10751.53</v>
      </c>
      <c r="DG58" s="910">
        <v>0</v>
      </c>
      <c r="DH58" s="910">
        <v>7418.56</v>
      </c>
      <c r="DI58" s="910">
        <v>3333.01</v>
      </c>
      <c r="DJ58" s="910">
        <v>11236.63</v>
      </c>
      <c r="DK58" s="911">
        <v>32739.73</v>
      </c>
      <c r="DL58" s="909">
        <v>7181.08</v>
      </c>
      <c r="DM58" s="910">
        <v>0</v>
      </c>
      <c r="DN58" s="910">
        <v>42.76</v>
      </c>
      <c r="DO58" s="910">
        <v>1325.07</v>
      </c>
      <c r="DP58" s="910">
        <v>-0.02</v>
      </c>
      <c r="DQ58" s="911">
        <v>8548.89</v>
      </c>
      <c r="DR58" s="912"/>
      <c r="DS58" s="913"/>
      <c r="DT58" s="913"/>
      <c r="DU58" s="913"/>
      <c r="DV58" s="913"/>
      <c r="DW58" s="914"/>
    </row>
    <row r="59" spans="1:127">
      <c r="A59" s="1107" t="s">
        <v>135</v>
      </c>
      <c r="B59" s="904" t="s">
        <v>136</v>
      </c>
      <c r="C59" s="905">
        <f t="shared" si="5"/>
        <v>249074.20999999996</v>
      </c>
      <c r="D59" s="906">
        <f t="shared" si="4"/>
        <v>86777.07</v>
      </c>
      <c r="E59" s="907">
        <f t="shared" si="6"/>
        <v>27867.37</v>
      </c>
      <c r="F59" s="908">
        <f t="shared" si="7"/>
        <v>27867.75</v>
      </c>
      <c r="G59" s="907">
        <f t="shared" si="7"/>
        <v>-0.38</v>
      </c>
      <c r="H59" s="912"/>
      <c r="I59" s="913"/>
      <c r="J59" s="913"/>
      <c r="K59" s="913"/>
      <c r="L59" s="913"/>
      <c r="M59" s="914"/>
      <c r="N59" s="909">
        <v>3967.43</v>
      </c>
      <c r="O59" s="910">
        <v>0</v>
      </c>
      <c r="P59" s="910">
        <v>0</v>
      </c>
      <c r="Q59" s="910">
        <v>991.86</v>
      </c>
      <c r="R59" s="910">
        <v>0</v>
      </c>
      <c r="S59" s="911">
        <v>4959.29</v>
      </c>
      <c r="T59" s="909">
        <v>3296.45</v>
      </c>
      <c r="U59" s="910">
        <v>0</v>
      </c>
      <c r="V59" s="910">
        <v>19.63</v>
      </c>
      <c r="W59" s="910">
        <v>608.28</v>
      </c>
      <c r="X59" s="910">
        <v>-0.02</v>
      </c>
      <c r="Y59" s="911">
        <v>3924.34</v>
      </c>
      <c r="Z59" s="915">
        <v>16764.96</v>
      </c>
      <c r="AA59" s="916">
        <v>0</v>
      </c>
      <c r="AB59" s="916">
        <v>0</v>
      </c>
      <c r="AC59" s="916">
        <v>4191.2700000000004</v>
      </c>
      <c r="AD59" s="916">
        <v>0</v>
      </c>
      <c r="AE59" s="917">
        <v>20956.23</v>
      </c>
      <c r="AF59" s="912"/>
      <c r="AG59" s="913"/>
      <c r="AH59" s="913"/>
      <c r="AI59" s="913"/>
      <c r="AJ59" s="913"/>
      <c r="AK59" s="914"/>
      <c r="AL59" s="909">
        <v>2056.8000000000002</v>
      </c>
      <c r="AM59" s="910">
        <v>0</v>
      </c>
      <c r="AN59" s="910">
        <v>514.20000000000005</v>
      </c>
      <c r="AO59" s="910">
        <v>0</v>
      </c>
      <c r="AP59" s="910">
        <v>0</v>
      </c>
      <c r="AQ59" s="911">
        <v>2571</v>
      </c>
      <c r="AR59" s="909">
        <v>5910.89</v>
      </c>
      <c r="AS59" s="910">
        <v>0</v>
      </c>
      <c r="AT59" s="910">
        <v>1477.75</v>
      </c>
      <c r="AU59" s="910">
        <v>0</v>
      </c>
      <c r="AV59" s="910">
        <v>0</v>
      </c>
      <c r="AW59" s="911">
        <v>7388.64</v>
      </c>
      <c r="AX59" s="912"/>
      <c r="AY59" s="913"/>
      <c r="AZ59" s="913"/>
      <c r="BA59" s="913"/>
      <c r="BB59" s="913"/>
      <c r="BC59" s="914"/>
      <c r="BD59" s="909">
        <v>0</v>
      </c>
      <c r="BE59" s="910">
        <v>0</v>
      </c>
      <c r="BF59" s="910">
        <v>2000</v>
      </c>
      <c r="BG59" s="910">
        <v>0</v>
      </c>
      <c r="BH59" s="910">
        <v>0</v>
      </c>
      <c r="BI59" s="911">
        <v>2000</v>
      </c>
      <c r="BJ59" s="909">
        <v>1493.25</v>
      </c>
      <c r="BK59" s="910">
        <v>0</v>
      </c>
      <c r="BL59" s="910">
        <v>189.15</v>
      </c>
      <c r="BM59" s="910">
        <v>308.61</v>
      </c>
      <c r="BN59" s="910">
        <v>-0.01</v>
      </c>
      <c r="BO59" s="911">
        <v>1991</v>
      </c>
      <c r="BP59" s="909">
        <v>56875.37</v>
      </c>
      <c r="BQ59" s="910">
        <v>2212.13</v>
      </c>
      <c r="BR59" s="910">
        <v>47832.76</v>
      </c>
      <c r="BS59" s="910">
        <v>5627.37</v>
      </c>
      <c r="BT59" s="910">
        <v>-0.23</v>
      </c>
      <c r="BU59" s="911">
        <v>112547.4</v>
      </c>
      <c r="BV59" s="909">
        <v>34025.67</v>
      </c>
      <c r="BW59" s="910">
        <v>0</v>
      </c>
      <c r="BX59" s="910">
        <v>23477.65</v>
      </c>
      <c r="BY59" s="910">
        <v>10547.93</v>
      </c>
      <c r="BZ59" s="910">
        <v>-0.06</v>
      </c>
      <c r="CA59" s="911">
        <v>68051.19</v>
      </c>
      <c r="CB59" s="909">
        <v>2473.9299999999998</v>
      </c>
      <c r="CC59" s="910">
        <v>0</v>
      </c>
      <c r="CD59" s="910">
        <v>0</v>
      </c>
      <c r="CE59" s="910">
        <v>4267.03</v>
      </c>
      <c r="CF59" s="910">
        <v>0</v>
      </c>
      <c r="CG59" s="911">
        <v>6740.96</v>
      </c>
      <c r="CH59" s="912"/>
      <c r="CI59" s="913"/>
      <c r="CJ59" s="913"/>
      <c r="CK59" s="913"/>
      <c r="CL59" s="913"/>
      <c r="CM59" s="914"/>
      <c r="CN59" s="912"/>
      <c r="CO59" s="913"/>
      <c r="CP59" s="913"/>
      <c r="CQ59" s="913"/>
      <c r="CR59" s="913"/>
      <c r="CS59" s="914"/>
      <c r="CT59" s="909">
        <v>13846.93</v>
      </c>
      <c r="CU59" s="910">
        <v>69.8</v>
      </c>
      <c r="CV59" s="910">
        <v>11265.93</v>
      </c>
      <c r="CW59" s="910">
        <v>1325.4</v>
      </c>
      <c r="CX59" s="910">
        <v>-0.06</v>
      </c>
      <c r="CY59" s="911">
        <v>26508</v>
      </c>
      <c r="CZ59" s="909">
        <v>84227.8</v>
      </c>
      <c r="DA59" s="910">
        <v>21852.799999999999</v>
      </c>
      <c r="DB59" s="910">
        <v>0</v>
      </c>
      <c r="DC59" s="910">
        <v>0</v>
      </c>
      <c r="DD59" s="910">
        <v>0</v>
      </c>
      <c r="DE59" s="911">
        <v>106080.6</v>
      </c>
      <c r="DF59" s="912"/>
      <c r="DG59" s="913"/>
      <c r="DH59" s="913"/>
      <c r="DI59" s="913"/>
      <c r="DJ59" s="913"/>
      <c r="DK59" s="914"/>
      <c r="DL59" s="912"/>
      <c r="DM59" s="913"/>
      <c r="DN59" s="913"/>
      <c r="DO59" s="913"/>
      <c r="DP59" s="913"/>
      <c r="DQ59" s="914"/>
      <c r="DR59" s="912"/>
      <c r="DS59" s="913"/>
      <c r="DT59" s="913"/>
      <c r="DU59" s="913"/>
      <c r="DV59" s="913"/>
      <c r="DW59" s="914"/>
    </row>
    <row r="60" spans="1:127">
      <c r="A60" s="1107" t="s">
        <v>137</v>
      </c>
      <c r="B60" s="904" t="s">
        <v>138</v>
      </c>
      <c r="C60" s="905">
        <f t="shared" si="5"/>
        <v>27579.109999999997</v>
      </c>
      <c r="D60" s="906">
        <f t="shared" si="4"/>
        <v>2178.96</v>
      </c>
      <c r="E60" s="907">
        <f t="shared" si="6"/>
        <v>1044.3400000000001</v>
      </c>
      <c r="F60" s="908">
        <f t="shared" si="7"/>
        <v>1044.3600000000001</v>
      </c>
      <c r="G60" s="907">
        <f t="shared" si="7"/>
        <v>-0.02</v>
      </c>
      <c r="H60" s="912"/>
      <c r="I60" s="913"/>
      <c r="J60" s="913"/>
      <c r="K60" s="913"/>
      <c r="L60" s="913"/>
      <c r="M60" s="914"/>
      <c r="N60" s="909">
        <v>475.87</v>
      </c>
      <c r="O60" s="910">
        <v>0</v>
      </c>
      <c r="P60" s="910">
        <v>0</v>
      </c>
      <c r="Q60" s="910">
        <v>118.97</v>
      </c>
      <c r="R60" s="910">
        <v>0</v>
      </c>
      <c r="S60" s="911">
        <v>594.84</v>
      </c>
      <c r="T60" s="912"/>
      <c r="U60" s="913"/>
      <c r="V60" s="913"/>
      <c r="W60" s="913"/>
      <c r="X60" s="913"/>
      <c r="Y60" s="914"/>
      <c r="Z60" s="915">
        <v>498.97</v>
      </c>
      <c r="AA60" s="916">
        <v>0</v>
      </c>
      <c r="AB60" s="916">
        <v>0</v>
      </c>
      <c r="AC60" s="916">
        <v>124.74</v>
      </c>
      <c r="AD60" s="916">
        <v>0</v>
      </c>
      <c r="AE60" s="917">
        <v>623.71</v>
      </c>
      <c r="AF60" s="912"/>
      <c r="AG60" s="913"/>
      <c r="AH60" s="913"/>
      <c r="AI60" s="913"/>
      <c r="AJ60" s="913"/>
      <c r="AK60" s="914"/>
      <c r="AL60" s="912"/>
      <c r="AM60" s="913"/>
      <c r="AN60" s="913"/>
      <c r="AO60" s="913"/>
      <c r="AP60" s="913"/>
      <c r="AQ60" s="914"/>
      <c r="AR60" s="912"/>
      <c r="AS60" s="913"/>
      <c r="AT60" s="913"/>
      <c r="AU60" s="913"/>
      <c r="AV60" s="913"/>
      <c r="AW60" s="914"/>
      <c r="AX60" s="912"/>
      <c r="AY60" s="913"/>
      <c r="AZ60" s="913"/>
      <c r="BA60" s="913"/>
      <c r="BB60" s="913"/>
      <c r="BC60" s="914"/>
      <c r="BD60" s="912"/>
      <c r="BE60" s="913"/>
      <c r="BF60" s="913"/>
      <c r="BG60" s="913"/>
      <c r="BH60" s="913"/>
      <c r="BI60" s="914"/>
      <c r="BJ60" s="909">
        <v>44.73</v>
      </c>
      <c r="BK60" s="910">
        <v>0</v>
      </c>
      <c r="BL60" s="910">
        <v>5.66</v>
      </c>
      <c r="BM60" s="910">
        <v>9.24</v>
      </c>
      <c r="BN60" s="910">
        <v>0</v>
      </c>
      <c r="BO60" s="911">
        <v>59.63</v>
      </c>
      <c r="BP60" s="909">
        <v>1372.36</v>
      </c>
      <c r="BQ60" s="910">
        <v>0</v>
      </c>
      <c r="BR60" s="910">
        <v>1110.96</v>
      </c>
      <c r="BS60" s="910">
        <v>130.69999999999999</v>
      </c>
      <c r="BT60" s="910">
        <v>-0.02</v>
      </c>
      <c r="BU60" s="911">
        <v>2614</v>
      </c>
      <c r="BV60" s="909">
        <v>2539.58</v>
      </c>
      <c r="BW60" s="910">
        <v>0</v>
      </c>
      <c r="BX60" s="910">
        <v>1062.3399999999999</v>
      </c>
      <c r="BY60" s="910">
        <v>660.71</v>
      </c>
      <c r="BZ60" s="910">
        <v>0</v>
      </c>
      <c r="CA60" s="911">
        <v>4262.63</v>
      </c>
      <c r="CB60" s="912"/>
      <c r="CC60" s="913"/>
      <c r="CD60" s="913"/>
      <c r="CE60" s="913"/>
      <c r="CF60" s="913"/>
      <c r="CG60" s="914"/>
      <c r="CH60" s="912"/>
      <c r="CI60" s="913"/>
      <c r="CJ60" s="913"/>
      <c r="CK60" s="913"/>
      <c r="CL60" s="913"/>
      <c r="CM60" s="914"/>
      <c r="CN60" s="912"/>
      <c r="CO60" s="913"/>
      <c r="CP60" s="913"/>
      <c r="CQ60" s="913"/>
      <c r="CR60" s="913"/>
      <c r="CS60" s="914"/>
      <c r="CT60" s="912"/>
      <c r="CU60" s="913"/>
      <c r="CV60" s="913"/>
      <c r="CW60" s="913"/>
      <c r="CX60" s="913"/>
      <c r="CY60" s="914"/>
      <c r="CZ60" s="909">
        <v>18031.8</v>
      </c>
      <c r="DA60" s="910">
        <v>4615.8</v>
      </c>
      <c r="DB60" s="910">
        <v>0</v>
      </c>
      <c r="DC60" s="910">
        <v>0</v>
      </c>
      <c r="DD60" s="910">
        <v>0</v>
      </c>
      <c r="DE60" s="911">
        <v>22647.599999999999</v>
      </c>
      <c r="DF60" s="912"/>
      <c r="DG60" s="913"/>
      <c r="DH60" s="913"/>
      <c r="DI60" s="913"/>
      <c r="DJ60" s="913"/>
      <c r="DK60" s="914"/>
      <c r="DL60" s="912"/>
      <c r="DM60" s="913"/>
      <c r="DN60" s="913"/>
      <c r="DO60" s="913"/>
      <c r="DP60" s="913"/>
      <c r="DQ60" s="914"/>
      <c r="DR60" s="912"/>
      <c r="DS60" s="913"/>
      <c r="DT60" s="913"/>
      <c r="DU60" s="913"/>
      <c r="DV60" s="913"/>
      <c r="DW60" s="914"/>
    </row>
    <row r="61" spans="1:127">
      <c r="A61" s="1107" t="s">
        <v>141</v>
      </c>
      <c r="B61" s="904" t="s">
        <v>142</v>
      </c>
      <c r="C61" s="905">
        <f t="shared" si="5"/>
        <v>113872.40000000001</v>
      </c>
      <c r="D61" s="906">
        <f t="shared" si="4"/>
        <v>20666.810000000001</v>
      </c>
      <c r="E61" s="907">
        <f t="shared" si="6"/>
        <v>9747.8100000000013</v>
      </c>
      <c r="F61" s="908">
        <f t="shared" si="7"/>
        <v>9748.2000000000007</v>
      </c>
      <c r="G61" s="907">
        <f t="shared" si="7"/>
        <v>-0.39</v>
      </c>
      <c r="H61" s="912"/>
      <c r="I61" s="913"/>
      <c r="J61" s="913"/>
      <c r="K61" s="913"/>
      <c r="L61" s="913"/>
      <c r="M61" s="914"/>
      <c r="N61" s="909">
        <v>6022.73</v>
      </c>
      <c r="O61" s="910">
        <v>0</v>
      </c>
      <c r="P61" s="910">
        <v>0</v>
      </c>
      <c r="Q61" s="910">
        <v>1505.69</v>
      </c>
      <c r="R61" s="910">
        <v>0</v>
      </c>
      <c r="S61" s="911">
        <v>7528.42</v>
      </c>
      <c r="T61" s="909">
        <v>177.36</v>
      </c>
      <c r="U61" s="910">
        <v>0</v>
      </c>
      <c r="V61" s="910">
        <v>1.06</v>
      </c>
      <c r="W61" s="910">
        <v>32.729999999999997</v>
      </c>
      <c r="X61" s="910">
        <v>-0.01</v>
      </c>
      <c r="Y61" s="911">
        <v>211.14</v>
      </c>
      <c r="Z61" s="915">
        <v>7557.09</v>
      </c>
      <c r="AA61" s="916">
        <v>0</v>
      </c>
      <c r="AB61" s="916">
        <v>0</v>
      </c>
      <c r="AC61" s="916">
        <v>1889.26</v>
      </c>
      <c r="AD61" s="916">
        <v>0</v>
      </c>
      <c r="AE61" s="917">
        <v>9446.35</v>
      </c>
      <c r="AF61" s="912"/>
      <c r="AG61" s="913"/>
      <c r="AH61" s="913"/>
      <c r="AI61" s="913"/>
      <c r="AJ61" s="913"/>
      <c r="AK61" s="914"/>
      <c r="AL61" s="909">
        <v>3808.8</v>
      </c>
      <c r="AM61" s="910">
        <v>0</v>
      </c>
      <c r="AN61" s="910">
        <v>952.2</v>
      </c>
      <c r="AO61" s="910">
        <v>0</v>
      </c>
      <c r="AP61" s="910">
        <v>0</v>
      </c>
      <c r="AQ61" s="911">
        <v>4761</v>
      </c>
      <c r="AR61" s="909">
        <v>2320.4</v>
      </c>
      <c r="AS61" s="910">
        <v>0</v>
      </c>
      <c r="AT61" s="910">
        <v>580.1</v>
      </c>
      <c r="AU61" s="910">
        <v>0</v>
      </c>
      <c r="AV61" s="910">
        <v>0</v>
      </c>
      <c r="AW61" s="911">
        <v>2900.5</v>
      </c>
      <c r="AX61" s="912"/>
      <c r="AY61" s="913"/>
      <c r="AZ61" s="913"/>
      <c r="BA61" s="913"/>
      <c r="BB61" s="913"/>
      <c r="BC61" s="914"/>
      <c r="BD61" s="912"/>
      <c r="BE61" s="913"/>
      <c r="BF61" s="913"/>
      <c r="BG61" s="913"/>
      <c r="BH61" s="913"/>
      <c r="BI61" s="914"/>
      <c r="BJ61" s="909">
        <v>12870.01</v>
      </c>
      <c r="BK61" s="910">
        <v>0</v>
      </c>
      <c r="BL61" s="910">
        <v>1630.22</v>
      </c>
      <c r="BM61" s="910">
        <v>2659.81</v>
      </c>
      <c r="BN61" s="910">
        <v>-0.04</v>
      </c>
      <c r="BO61" s="911">
        <v>17160</v>
      </c>
      <c r="BP61" s="909">
        <v>15043.65</v>
      </c>
      <c r="BQ61" s="910">
        <v>719.66</v>
      </c>
      <c r="BR61" s="910">
        <v>12760.79</v>
      </c>
      <c r="BS61" s="910">
        <v>1501.26</v>
      </c>
      <c r="BT61" s="910">
        <v>-0.16</v>
      </c>
      <c r="BU61" s="911">
        <v>30025.200000000001</v>
      </c>
      <c r="BV61" s="909">
        <v>3315.42</v>
      </c>
      <c r="BW61" s="910">
        <v>0</v>
      </c>
      <c r="BX61" s="910">
        <v>1947.41</v>
      </c>
      <c r="BY61" s="910">
        <v>965.43</v>
      </c>
      <c r="BZ61" s="910">
        <v>-0.13</v>
      </c>
      <c r="CA61" s="911">
        <v>6228.13</v>
      </c>
      <c r="CB61" s="912"/>
      <c r="CC61" s="913"/>
      <c r="CD61" s="913"/>
      <c r="CE61" s="913"/>
      <c r="CF61" s="913"/>
      <c r="CG61" s="914"/>
      <c r="CH61" s="912"/>
      <c r="CI61" s="913"/>
      <c r="CJ61" s="913"/>
      <c r="CK61" s="913"/>
      <c r="CL61" s="913"/>
      <c r="CM61" s="914"/>
      <c r="CN61" s="909">
        <v>15640.2</v>
      </c>
      <c r="CO61" s="910">
        <v>0</v>
      </c>
      <c r="CP61" s="910">
        <v>0</v>
      </c>
      <c r="CQ61" s="910">
        <v>0</v>
      </c>
      <c r="CR61" s="910">
        <v>0</v>
      </c>
      <c r="CS61" s="911">
        <v>15640.2</v>
      </c>
      <c r="CT61" s="909">
        <v>661.52</v>
      </c>
      <c r="CU61" s="910">
        <v>0</v>
      </c>
      <c r="CV61" s="910">
        <v>535.52</v>
      </c>
      <c r="CW61" s="910">
        <v>63</v>
      </c>
      <c r="CX61" s="910">
        <v>-0.04</v>
      </c>
      <c r="CY61" s="911">
        <v>1260</v>
      </c>
      <c r="CZ61" s="909">
        <v>37393.199999999997</v>
      </c>
      <c r="DA61" s="910">
        <v>4436</v>
      </c>
      <c r="DB61" s="910">
        <v>0</v>
      </c>
      <c r="DC61" s="910">
        <v>0</v>
      </c>
      <c r="DD61" s="910">
        <v>0</v>
      </c>
      <c r="DE61" s="911">
        <v>41829.199999999997</v>
      </c>
      <c r="DF61" s="909">
        <v>3269.15</v>
      </c>
      <c r="DG61" s="910">
        <v>0</v>
      </c>
      <c r="DH61" s="910">
        <v>2255.71</v>
      </c>
      <c r="DI61" s="910">
        <v>1013.44</v>
      </c>
      <c r="DJ61" s="910">
        <v>0</v>
      </c>
      <c r="DK61" s="911">
        <v>6538.3</v>
      </c>
      <c r="DL61" s="909">
        <v>637.21</v>
      </c>
      <c r="DM61" s="910">
        <v>0</v>
      </c>
      <c r="DN61" s="910">
        <v>3.8</v>
      </c>
      <c r="DO61" s="910">
        <v>117.58</v>
      </c>
      <c r="DP61" s="910">
        <v>-0.01</v>
      </c>
      <c r="DQ61" s="911">
        <v>758.58</v>
      </c>
      <c r="DR61" s="912"/>
      <c r="DS61" s="913"/>
      <c r="DT61" s="913"/>
      <c r="DU61" s="913"/>
      <c r="DV61" s="913"/>
      <c r="DW61" s="914"/>
    </row>
    <row r="62" spans="1:127">
      <c r="A62" s="1107" t="s">
        <v>147</v>
      </c>
      <c r="B62" s="904" t="s">
        <v>148</v>
      </c>
      <c r="C62" s="905">
        <f t="shared" si="5"/>
        <v>80837.31</v>
      </c>
      <c r="D62" s="906">
        <f t="shared" si="4"/>
        <v>13066.869999999999</v>
      </c>
      <c r="E62" s="907">
        <f t="shared" si="6"/>
        <v>10022.41</v>
      </c>
      <c r="F62" s="908">
        <f t="shared" si="7"/>
        <v>10022.61</v>
      </c>
      <c r="G62" s="907">
        <f t="shared" si="7"/>
        <v>-0.2</v>
      </c>
      <c r="H62" s="912"/>
      <c r="I62" s="913"/>
      <c r="J62" s="913"/>
      <c r="K62" s="913"/>
      <c r="L62" s="913"/>
      <c r="M62" s="914"/>
      <c r="N62" s="909">
        <v>1011.13</v>
      </c>
      <c r="O62" s="910">
        <v>0</v>
      </c>
      <c r="P62" s="910">
        <v>0</v>
      </c>
      <c r="Q62" s="910">
        <v>252.78</v>
      </c>
      <c r="R62" s="910">
        <v>0</v>
      </c>
      <c r="S62" s="911">
        <v>1263.9100000000001</v>
      </c>
      <c r="T62" s="909">
        <v>998.76</v>
      </c>
      <c r="U62" s="910">
        <v>0</v>
      </c>
      <c r="V62" s="910">
        <v>5.95</v>
      </c>
      <c r="W62" s="910">
        <v>184.3</v>
      </c>
      <c r="X62" s="910">
        <v>-0.01</v>
      </c>
      <c r="Y62" s="911">
        <v>1189</v>
      </c>
      <c r="Z62" s="915">
        <v>8796</v>
      </c>
      <c r="AA62" s="916">
        <v>0</v>
      </c>
      <c r="AB62" s="916">
        <v>0</v>
      </c>
      <c r="AC62" s="916">
        <v>2199</v>
      </c>
      <c r="AD62" s="916">
        <v>0</v>
      </c>
      <c r="AE62" s="917">
        <v>10995</v>
      </c>
      <c r="AF62" s="912"/>
      <c r="AG62" s="913"/>
      <c r="AH62" s="913"/>
      <c r="AI62" s="913"/>
      <c r="AJ62" s="913"/>
      <c r="AK62" s="914"/>
      <c r="AL62" s="912"/>
      <c r="AM62" s="913"/>
      <c r="AN62" s="913"/>
      <c r="AO62" s="913"/>
      <c r="AP62" s="913"/>
      <c r="AQ62" s="914"/>
      <c r="AR62" s="912"/>
      <c r="AS62" s="913"/>
      <c r="AT62" s="913"/>
      <c r="AU62" s="913"/>
      <c r="AV62" s="913"/>
      <c r="AW62" s="914"/>
      <c r="AX62" s="912"/>
      <c r="AY62" s="913"/>
      <c r="AZ62" s="913"/>
      <c r="BA62" s="913"/>
      <c r="BB62" s="913"/>
      <c r="BC62" s="914"/>
      <c r="BD62" s="912"/>
      <c r="BE62" s="913"/>
      <c r="BF62" s="913"/>
      <c r="BG62" s="913"/>
      <c r="BH62" s="913"/>
      <c r="BI62" s="914"/>
      <c r="BJ62" s="909">
        <v>13486.77</v>
      </c>
      <c r="BK62" s="910">
        <v>0</v>
      </c>
      <c r="BL62" s="910">
        <v>1708.36</v>
      </c>
      <c r="BM62" s="910">
        <v>2787.3</v>
      </c>
      <c r="BN62" s="910">
        <v>-0.06</v>
      </c>
      <c r="BO62" s="911">
        <v>17982.37</v>
      </c>
      <c r="BP62" s="909">
        <v>7974.17</v>
      </c>
      <c r="BQ62" s="910">
        <v>416.34</v>
      </c>
      <c r="BR62" s="910">
        <v>6792.33</v>
      </c>
      <c r="BS62" s="910">
        <v>799.09</v>
      </c>
      <c r="BT62" s="910">
        <v>-0.13</v>
      </c>
      <c r="BU62" s="911">
        <v>15981.8</v>
      </c>
      <c r="BV62" s="909">
        <v>2571.6999999999998</v>
      </c>
      <c r="BW62" s="910">
        <v>0</v>
      </c>
      <c r="BX62" s="910">
        <v>1707.57</v>
      </c>
      <c r="BY62" s="910">
        <v>784.95</v>
      </c>
      <c r="BZ62" s="910">
        <v>-0.01</v>
      </c>
      <c r="CA62" s="911">
        <v>5064.21</v>
      </c>
      <c r="CB62" s="909">
        <v>672.71</v>
      </c>
      <c r="CC62" s="910">
        <v>0</v>
      </c>
      <c r="CD62" s="910">
        <v>0</v>
      </c>
      <c r="CE62" s="910">
        <v>1160.24</v>
      </c>
      <c r="CF62" s="910">
        <v>0</v>
      </c>
      <c r="CG62" s="911">
        <v>1832.95</v>
      </c>
      <c r="CH62" s="909">
        <v>122.5</v>
      </c>
      <c r="CI62" s="910">
        <v>0</v>
      </c>
      <c r="CJ62" s="910">
        <v>0</v>
      </c>
      <c r="CK62" s="910">
        <v>377.5</v>
      </c>
      <c r="CL62" s="910">
        <v>0</v>
      </c>
      <c r="CM62" s="911">
        <v>500</v>
      </c>
      <c r="CN62" s="909">
        <v>3398</v>
      </c>
      <c r="CO62" s="910">
        <v>0</v>
      </c>
      <c r="CP62" s="910">
        <v>0</v>
      </c>
      <c r="CQ62" s="910">
        <v>0</v>
      </c>
      <c r="CR62" s="910">
        <v>0</v>
      </c>
      <c r="CS62" s="911">
        <v>3398</v>
      </c>
      <c r="CT62" s="912"/>
      <c r="CU62" s="913"/>
      <c r="CV62" s="913"/>
      <c r="CW62" s="913"/>
      <c r="CX62" s="913"/>
      <c r="CY62" s="914"/>
      <c r="CZ62" s="909">
        <v>32476.1</v>
      </c>
      <c r="DA62" s="910">
        <v>3711.3</v>
      </c>
      <c r="DB62" s="910">
        <v>0</v>
      </c>
      <c r="DC62" s="910">
        <v>0</v>
      </c>
      <c r="DD62" s="910">
        <v>0</v>
      </c>
      <c r="DE62" s="911">
        <v>36187.4</v>
      </c>
      <c r="DF62" s="909">
        <v>4125</v>
      </c>
      <c r="DG62" s="910">
        <v>0</v>
      </c>
      <c r="DH62" s="910">
        <v>2846.25</v>
      </c>
      <c r="DI62" s="910">
        <v>1278.75</v>
      </c>
      <c r="DJ62" s="910">
        <v>0</v>
      </c>
      <c r="DK62" s="911">
        <v>8250</v>
      </c>
      <c r="DL62" s="909">
        <v>1076.83</v>
      </c>
      <c r="DM62" s="910">
        <v>0</v>
      </c>
      <c r="DN62" s="910">
        <v>6.41</v>
      </c>
      <c r="DO62" s="910">
        <v>198.7</v>
      </c>
      <c r="DP62" s="910">
        <v>0.01</v>
      </c>
      <c r="DQ62" s="911">
        <v>1281.95</v>
      </c>
      <c r="DR62" s="912"/>
      <c r="DS62" s="913"/>
      <c r="DT62" s="913"/>
      <c r="DU62" s="913"/>
      <c r="DV62" s="913"/>
      <c r="DW62" s="914"/>
    </row>
    <row r="63" spans="1:127">
      <c r="A63" s="1107" t="s">
        <v>149</v>
      </c>
      <c r="B63" s="904" t="s">
        <v>150</v>
      </c>
      <c r="C63" s="905">
        <f t="shared" si="5"/>
        <v>273550.91000000003</v>
      </c>
      <c r="D63" s="906">
        <f t="shared" si="4"/>
        <v>76432.579999999987</v>
      </c>
      <c r="E63" s="907">
        <f t="shared" si="6"/>
        <v>35072.310000000005</v>
      </c>
      <c r="F63" s="908">
        <f t="shared" si="7"/>
        <v>35072.800000000003</v>
      </c>
      <c r="G63" s="907">
        <f t="shared" si="7"/>
        <v>-0.49000000000000005</v>
      </c>
      <c r="H63" s="912"/>
      <c r="I63" s="913"/>
      <c r="J63" s="913"/>
      <c r="K63" s="913"/>
      <c r="L63" s="913"/>
      <c r="M63" s="914"/>
      <c r="N63" s="909">
        <v>11650.79</v>
      </c>
      <c r="O63" s="910">
        <v>0</v>
      </c>
      <c r="P63" s="910">
        <v>0</v>
      </c>
      <c r="Q63" s="910">
        <v>2912.68</v>
      </c>
      <c r="R63" s="910">
        <v>0</v>
      </c>
      <c r="S63" s="911">
        <v>14563.47</v>
      </c>
      <c r="T63" s="909">
        <v>6699.36</v>
      </c>
      <c r="U63" s="910">
        <v>0</v>
      </c>
      <c r="V63" s="910">
        <v>39.880000000000003</v>
      </c>
      <c r="W63" s="910">
        <v>1236.19</v>
      </c>
      <c r="X63" s="910">
        <v>-0.01</v>
      </c>
      <c r="Y63" s="911">
        <v>7975.42</v>
      </c>
      <c r="Z63" s="915">
        <v>13855.85</v>
      </c>
      <c r="AA63" s="916">
        <v>0</v>
      </c>
      <c r="AB63" s="916">
        <v>0</v>
      </c>
      <c r="AC63" s="916">
        <v>3463.95</v>
      </c>
      <c r="AD63" s="916">
        <v>0</v>
      </c>
      <c r="AE63" s="917">
        <v>17319.8</v>
      </c>
      <c r="AF63" s="912"/>
      <c r="AG63" s="913"/>
      <c r="AH63" s="913"/>
      <c r="AI63" s="913"/>
      <c r="AJ63" s="913"/>
      <c r="AK63" s="914"/>
      <c r="AL63" s="912"/>
      <c r="AM63" s="913"/>
      <c r="AN63" s="913"/>
      <c r="AO63" s="913"/>
      <c r="AP63" s="913"/>
      <c r="AQ63" s="914"/>
      <c r="AR63" s="912"/>
      <c r="AS63" s="913"/>
      <c r="AT63" s="913"/>
      <c r="AU63" s="913"/>
      <c r="AV63" s="913"/>
      <c r="AW63" s="914"/>
      <c r="AX63" s="912"/>
      <c r="AY63" s="913"/>
      <c r="AZ63" s="913"/>
      <c r="BA63" s="913"/>
      <c r="BB63" s="913"/>
      <c r="BC63" s="914"/>
      <c r="BD63" s="912"/>
      <c r="BE63" s="913"/>
      <c r="BF63" s="913"/>
      <c r="BG63" s="913"/>
      <c r="BH63" s="913"/>
      <c r="BI63" s="914"/>
      <c r="BJ63" s="909">
        <v>18842.12</v>
      </c>
      <c r="BK63" s="910">
        <v>0</v>
      </c>
      <c r="BL63" s="910">
        <v>2386.66</v>
      </c>
      <c r="BM63" s="910">
        <v>3894.03</v>
      </c>
      <c r="BN63" s="910">
        <v>-0.01</v>
      </c>
      <c r="BO63" s="911">
        <v>25122.799999999999</v>
      </c>
      <c r="BP63" s="909">
        <v>41197.4</v>
      </c>
      <c r="BQ63" s="910">
        <v>1538.97</v>
      </c>
      <c r="BR63" s="910">
        <v>34596.129999999997</v>
      </c>
      <c r="BS63" s="910">
        <v>4070.12</v>
      </c>
      <c r="BT63" s="910">
        <v>-0.26</v>
      </c>
      <c r="BU63" s="911">
        <v>81402.36</v>
      </c>
      <c r="BV63" s="909">
        <v>54757.13</v>
      </c>
      <c r="BW63" s="910">
        <v>0</v>
      </c>
      <c r="BX63" s="910">
        <v>37757.980000000003</v>
      </c>
      <c r="BY63" s="910">
        <v>16970.240000000002</v>
      </c>
      <c r="BZ63" s="910">
        <v>-0.18</v>
      </c>
      <c r="CA63" s="911">
        <v>109485.17</v>
      </c>
      <c r="CB63" s="909">
        <v>615.63</v>
      </c>
      <c r="CC63" s="910">
        <v>0</v>
      </c>
      <c r="CD63" s="910">
        <v>0</v>
      </c>
      <c r="CE63" s="910">
        <v>1061.8399999999999</v>
      </c>
      <c r="CF63" s="910">
        <v>0</v>
      </c>
      <c r="CG63" s="911">
        <v>1677.47</v>
      </c>
      <c r="CH63" s="912"/>
      <c r="CI63" s="913"/>
      <c r="CJ63" s="913"/>
      <c r="CK63" s="913"/>
      <c r="CL63" s="913"/>
      <c r="CM63" s="914"/>
      <c r="CN63" s="909">
        <v>2406.6</v>
      </c>
      <c r="CO63" s="910">
        <v>0</v>
      </c>
      <c r="CP63" s="910">
        <v>0</v>
      </c>
      <c r="CQ63" s="910">
        <v>0</v>
      </c>
      <c r="CR63" s="910">
        <v>0</v>
      </c>
      <c r="CS63" s="911">
        <v>2406.6</v>
      </c>
      <c r="CT63" s="912"/>
      <c r="CU63" s="913"/>
      <c r="CV63" s="913"/>
      <c r="CW63" s="913"/>
      <c r="CX63" s="913"/>
      <c r="CY63" s="914"/>
      <c r="CZ63" s="909">
        <v>98908.09</v>
      </c>
      <c r="DA63" s="910">
        <v>16750.97</v>
      </c>
      <c r="DB63" s="910">
        <v>0</v>
      </c>
      <c r="DC63" s="910">
        <v>0</v>
      </c>
      <c r="DD63" s="910">
        <v>-0.02</v>
      </c>
      <c r="DE63" s="911">
        <v>115659.04</v>
      </c>
      <c r="DF63" s="909">
        <v>2359.88</v>
      </c>
      <c r="DG63" s="910">
        <v>0</v>
      </c>
      <c r="DH63" s="910">
        <v>1628.31</v>
      </c>
      <c r="DI63" s="910">
        <v>731.56</v>
      </c>
      <c r="DJ63" s="910">
        <v>0</v>
      </c>
      <c r="DK63" s="911">
        <v>4719.75</v>
      </c>
      <c r="DL63" s="909">
        <v>3968.12</v>
      </c>
      <c r="DM63" s="910">
        <v>0</v>
      </c>
      <c r="DN63" s="910">
        <v>23.62</v>
      </c>
      <c r="DO63" s="910">
        <v>732.19</v>
      </c>
      <c r="DP63" s="910">
        <v>-0.01</v>
      </c>
      <c r="DQ63" s="911">
        <v>4723.92</v>
      </c>
      <c r="DR63" s="912"/>
      <c r="DS63" s="913"/>
      <c r="DT63" s="913"/>
      <c r="DU63" s="913"/>
      <c r="DV63" s="913"/>
      <c r="DW63" s="914"/>
    </row>
    <row r="64" spans="1:127">
      <c r="A64" s="1107" t="s">
        <v>151</v>
      </c>
      <c r="B64" s="904" t="s">
        <v>152</v>
      </c>
      <c r="C64" s="905">
        <f t="shared" si="5"/>
        <v>120682.84</v>
      </c>
      <c r="D64" s="906">
        <f t="shared" si="4"/>
        <v>31307.809999999998</v>
      </c>
      <c r="E64" s="907">
        <f t="shared" si="6"/>
        <v>16061.320000000002</v>
      </c>
      <c r="F64" s="908">
        <f t="shared" si="7"/>
        <v>14914.080000000002</v>
      </c>
      <c r="G64" s="907">
        <f t="shared" si="7"/>
        <v>1147.24</v>
      </c>
      <c r="H64" s="912"/>
      <c r="I64" s="913"/>
      <c r="J64" s="913"/>
      <c r="K64" s="913"/>
      <c r="L64" s="913"/>
      <c r="M64" s="914"/>
      <c r="N64" s="909">
        <v>1736.32</v>
      </c>
      <c r="O64" s="910">
        <v>0</v>
      </c>
      <c r="P64" s="910">
        <v>0</v>
      </c>
      <c r="Q64" s="910">
        <v>434.09</v>
      </c>
      <c r="R64" s="910">
        <v>0</v>
      </c>
      <c r="S64" s="911">
        <v>2170.41</v>
      </c>
      <c r="T64" s="909">
        <v>799.78</v>
      </c>
      <c r="U64" s="910">
        <v>0</v>
      </c>
      <c r="V64" s="910">
        <v>4.7699999999999996</v>
      </c>
      <c r="W64" s="910">
        <v>147.58000000000001</v>
      </c>
      <c r="X64" s="910">
        <v>-0.01</v>
      </c>
      <c r="Y64" s="911">
        <v>952.12</v>
      </c>
      <c r="Z64" s="915">
        <v>17200</v>
      </c>
      <c r="AA64" s="916">
        <v>0</v>
      </c>
      <c r="AB64" s="916">
        <v>0</v>
      </c>
      <c r="AC64" s="916">
        <v>4300</v>
      </c>
      <c r="AD64" s="916">
        <v>0</v>
      </c>
      <c r="AE64" s="917">
        <v>21500</v>
      </c>
      <c r="AF64" s="912"/>
      <c r="AG64" s="913"/>
      <c r="AH64" s="913"/>
      <c r="AI64" s="913"/>
      <c r="AJ64" s="913"/>
      <c r="AK64" s="914"/>
      <c r="AL64" s="912"/>
      <c r="AM64" s="913"/>
      <c r="AN64" s="913"/>
      <c r="AO64" s="913"/>
      <c r="AP64" s="913"/>
      <c r="AQ64" s="914"/>
      <c r="AR64" s="909">
        <v>1155.93</v>
      </c>
      <c r="AS64" s="910">
        <v>0</v>
      </c>
      <c r="AT64" s="910">
        <v>288.99</v>
      </c>
      <c r="AU64" s="910">
        <v>0</v>
      </c>
      <c r="AV64" s="910">
        <v>0</v>
      </c>
      <c r="AW64" s="911">
        <v>1444.92</v>
      </c>
      <c r="AX64" s="912"/>
      <c r="AY64" s="913"/>
      <c r="AZ64" s="913"/>
      <c r="BA64" s="913"/>
      <c r="BB64" s="913"/>
      <c r="BC64" s="914"/>
      <c r="BD64" s="912"/>
      <c r="BE64" s="913"/>
      <c r="BF64" s="913"/>
      <c r="BG64" s="913"/>
      <c r="BH64" s="913"/>
      <c r="BI64" s="914"/>
      <c r="BJ64" s="909">
        <v>12669.01</v>
      </c>
      <c r="BK64" s="910">
        <v>0</v>
      </c>
      <c r="BL64" s="910">
        <v>1604.74</v>
      </c>
      <c r="BM64" s="910">
        <v>2618.2600000000002</v>
      </c>
      <c r="BN64" s="910">
        <v>-0.01</v>
      </c>
      <c r="BO64" s="911">
        <v>16892</v>
      </c>
      <c r="BP64" s="909">
        <v>20852.060000000001</v>
      </c>
      <c r="BQ64" s="910">
        <v>626.23</v>
      </c>
      <c r="BR64" s="910">
        <v>17387.189999999999</v>
      </c>
      <c r="BS64" s="910">
        <v>2045.55</v>
      </c>
      <c r="BT64" s="910">
        <v>-0.03</v>
      </c>
      <c r="BU64" s="911">
        <v>40911</v>
      </c>
      <c r="BV64" s="909">
        <v>9208.39</v>
      </c>
      <c r="BW64" s="910">
        <v>0</v>
      </c>
      <c r="BX64" s="910">
        <v>4968.26</v>
      </c>
      <c r="BY64" s="910">
        <v>2600.4499999999998</v>
      </c>
      <c r="BZ64" s="910">
        <v>-0.02</v>
      </c>
      <c r="CA64" s="911">
        <v>16777.080000000002</v>
      </c>
      <c r="CB64" s="909">
        <v>680.62</v>
      </c>
      <c r="CC64" s="910">
        <v>0</v>
      </c>
      <c r="CD64" s="910">
        <v>0</v>
      </c>
      <c r="CE64" s="910">
        <v>1173.92</v>
      </c>
      <c r="CF64" s="910">
        <v>0</v>
      </c>
      <c r="CG64" s="911">
        <v>1854.54</v>
      </c>
      <c r="CH64" s="912"/>
      <c r="CI64" s="913"/>
      <c r="CJ64" s="913"/>
      <c r="CK64" s="913"/>
      <c r="CL64" s="913"/>
      <c r="CM64" s="914"/>
      <c r="CN64" s="909">
        <v>10879.2</v>
      </c>
      <c r="CO64" s="910">
        <v>0</v>
      </c>
      <c r="CP64" s="910">
        <v>0</v>
      </c>
      <c r="CQ64" s="910">
        <v>0</v>
      </c>
      <c r="CR64" s="910">
        <v>0</v>
      </c>
      <c r="CS64" s="911">
        <v>10879.2</v>
      </c>
      <c r="CT64" s="909">
        <v>5696.58</v>
      </c>
      <c r="CU64" s="910">
        <v>203.92</v>
      </c>
      <c r="CV64" s="910">
        <v>4776.59</v>
      </c>
      <c r="CW64" s="910">
        <v>561.96</v>
      </c>
      <c r="CX64" s="910">
        <v>1147.25</v>
      </c>
      <c r="CY64" s="911">
        <v>12386.3</v>
      </c>
      <c r="CZ64" s="909">
        <v>31314.5</v>
      </c>
      <c r="DA64" s="910">
        <v>4309.8999999999996</v>
      </c>
      <c r="DB64" s="910">
        <v>0</v>
      </c>
      <c r="DC64" s="910">
        <v>0</v>
      </c>
      <c r="DD64" s="910">
        <v>0</v>
      </c>
      <c r="DE64" s="911">
        <v>35624.400000000001</v>
      </c>
      <c r="DF64" s="909">
        <v>3300</v>
      </c>
      <c r="DG64" s="910">
        <v>0</v>
      </c>
      <c r="DH64" s="910">
        <v>2277</v>
      </c>
      <c r="DI64" s="910">
        <v>1023</v>
      </c>
      <c r="DJ64" s="910">
        <v>0</v>
      </c>
      <c r="DK64" s="911">
        <v>6600</v>
      </c>
      <c r="DL64" s="909">
        <v>50.4</v>
      </c>
      <c r="DM64" s="910">
        <v>0</v>
      </c>
      <c r="DN64" s="910">
        <v>0.27</v>
      </c>
      <c r="DO64" s="910">
        <v>9.27</v>
      </c>
      <c r="DP64" s="910">
        <v>0.06</v>
      </c>
      <c r="DQ64" s="911">
        <v>60</v>
      </c>
      <c r="DR64" s="912"/>
      <c r="DS64" s="913"/>
      <c r="DT64" s="913"/>
      <c r="DU64" s="913"/>
      <c r="DV64" s="913"/>
      <c r="DW64" s="914"/>
    </row>
    <row r="65" spans="1:127">
      <c r="A65" s="1107" t="s">
        <v>153</v>
      </c>
      <c r="B65" s="904" t="s">
        <v>154</v>
      </c>
      <c r="C65" s="905">
        <f t="shared" si="5"/>
        <v>825904.87000000011</v>
      </c>
      <c r="D65" s="906">
        <f t="shared" si="4"/>
        <v>246389.66999999998</v>
      </c>
      <c r="E65" s="907">
        <f t="shared" si="6"/>
        <v>79409.149999999994</v>
      </c>
      <c r="F65" s="908">
        <f t="shared" si="7"/>
        <v>77930.12</v>
      </c>
      <c r="G65" s="907">
        <f t="shared" si="7"/>
        <v>1479.03</v>
      </c>
      <c r="H65" s="909">
        <v>0</v>
      </c>
      <c r="I65" s="910">
        <v>0</v>
      </c>
      <c r="J65" s="910">
        <v>2419.5</v>
      </c>
      <c r="K65" s="910">
        <v>0</v>
      </c>
      <c r="L65" s="910">
        <v>0</v>
      </c>
      <c r="M65" s="911">
        <v>2419.5</v>
      </c>
      <c r="N65" s="909">
        <v>24606.3</v>
      </c>
      <c r="O65" s="910">
        <v>0</v>
      </c>
      <c r="P65" s="910">
        <v>0</v>
      </c>
      <c r="Q65" s="910">
        <v>6151.58</v>
      </c>
      <c r="R65" s="910">
        <v>1479.56</v>
      </c>
      <c r="S65" s="911">
        <v>32237.439999999999</v>
      </c>
      <c r="T65" s="909">
        <v>9726.2199999999993</v>
      </c>
      <c r="U65" s="910">
        <v>0</v>
      </c>
      <c r="V65" s="910">
        <v>57.91</v>
      </c>
      <c r="W65" s="910">
        <v>1794.73</v>
      </c>
      <c r="X65" s="910">
        <v>-0.01</v>
      </c>
      <c r="Y65" s="911">
        <v>11578.85</v>
      </c>
      <c r="Z65" s="915">
        <v>41927.129999999997</v>
      </c>
      <c r="AA65" s="916">
        <v>0</v>
      </c>
      <c r="AB65" s="916">
        <v>0</v>
      </c>
      <c r="AC65" s="916">
        <v>10481.799999999999</v>
      </c>
      <c r="AD65" s="916">
        <v>0</v>
      </c>
      <c r="AE65" s="917">
        <v>52408.93</v>
      </c>
      <c r="AF65" s="912"/>
      <c r="AG65" s="913"/>
      <c r="AH65" s="913"/>
      <c r="AI65" s="913"/>
      <c r="AJ65" s="913"/>
      <c r="AK65" s="914"/>
      <c r="AL65" s="912"/>
      <c r="AM65" s="913"/>
      <c r="AN65" s="913"/>
      <c r="AO65" s="913"/>
      <c r="AP65" s="913"/>
      <c r="AQ65" s="914"/>
      <c r="AR65" s="909">
        <v>4312.53</v>
      </c>
      <c r="AS65" s="910">
        <v>0</v>
      </c>
      <c r="AT65" s="910">
        <v>1078.1199999999999</v>
      </c>
      <c r="AU65" s="910">
        <v>0</v>
      </c>
      <c r="AV65" s="910">
        <v>0</v>
      </c>
      <c r="AW65" s="911">
        <v>5390.65</v>
      </c>
      <c r="AX65" s="912"/>
      <c r="AY65" s="913"/>
      <c r="AZ65" s="913"/>
      <c r="BA65" s="913"/>
      <c r="BB65" s="913"/>
      <c r="BC65" s="914"/>
      <c r="BD65" s="909">
        <v>159.36000000000001</v>
      </c>
      <c r="BE65" s="910">
        <v>0</v>
      </c>
      <c r="BF65" s="910">
        <v>1001.42</v>
      </c>
      <c r="BG65" s="910">
        <v>0</v>
      </c>
      <c r="BH65" s="910">
        <v>0</v>
      </c>
      <c r="BI65" s="911">
        <v>1160.78</v>
      </c>
      <c r="BJ65" s="909">
        <v>29271.59</v>
      </c>
      <c r="BK65" s="910">
        <v>0</v>
      </c>
      <c r="BL65" s="910">
        <v>3707.74</v>
      </c>
      <c r="BM65" s="910">
        <v>6049.47</v>
      </c>
      <c r="BN65" s="910">
        <v>0</v>
      </c>
      <c r="BO65" s="911">
        <v>39028.800000000003</v>
      </c>
      <c r="BP65" s="909">
        <v>194604.46</v>
      </c>
      <c r="BQ65" s="910">
        <v>7665.49</v>
      </c>
      <c r="BR65" s="910">
        <v>163742.37</v>
      </c>
      <c r="BS65" s="910">
        <v>19263.830000000002</v>
      </c>
      <c r="BT65" s="910">
        <v>-0.3</v>
      </c>
      <c r="BU65" s="911">
        <v>385275.85</v>
      </c>
      <c r="BV65" s="909">
        <v>94577.08</v>
      </c>
      <c r="BW65" s="910">
        <v>0</v>
      </c>
      <c r="BX65" s="910">
        <v>64232.87</v>
      </c>
      <c r="BY65" s="910">
        <v>29130.84</v>
      </c>
      <c r="BZ65" s="910">
        <v>-0.16</v>
      </c>
      <c r="CA65" s="911">
        <v>187940.63</v>
      </c>
      <c r="CB65" s="912"/>
      <c r="CC65" s="913"/>
      <c r="CD65" s="913"/>
      <c r="CE65" s="913"/>
      <c r="CF65" s="913"/>
      <c r="CG65" s="914"/>
      <c r="CH65" s="912"/>
      <c r="CI65" s="913"/>
      <c r="CJ65" s="913"/>
      <c r="CK65" s="913"/>
      <c r="CL65" s="913"/>
      <c r="CM65" s="914"/>
      <c r="CN65" s="909">
        <v>23166</v>
      </c>
      <c r="CO65" s="910">
        <v>0</v>
      </c>
      <c r="CP65" s="910">
        <v>0</v>
      </c>
      <c r="CQ65" s="910">
        <v>0</v>
      </c>
      <c r="CR65" s="910">
        <v>0</v>
      </c>
      <c r="CS65" s="911">
        <v>23166</v>
      </c>
      <c r="CT65" s="909">
        <v>6055.38</v>
      </c>
      <c r="CU65" s="910">
        <v>60.05</v>
      </c>
      <c r="CV65" s="910">
        <v>4950.6000000000004</v>
      </c>
      <c r="CW65" s="910">
        <v>582.41999999999996</v>
      </c>
      <c r="CX65" s="910">
        <v>-0.08</v>
      </c>
      <c r="CY65" s="911">
        <v>11648.37</v>
      </c>
      <c r="CZ65" s="909">
        <v>318659.43</v>
      </c>
      <c r="DA65" s="910">
        <v>51914.54</v>
      </c>
      <c r="DB65" s="910">
        <v>0</v>
      </c>
      <c r="DC65" s="910">
        <v>0</v>
      </c>
      <c r="DD65" s="910">
        <v>0</v>
      </c>
      <c r="DE65" s="911">
        <v>370573.97</v>
      </c>
      <c r="DF65" s="909">
        <v>7433.5</v>
      </c>
      <c r="DG65" s="910">
        <v>0</v>
      </c>
      <c r="DH65" s="910">
        <v>5129.12</v>
      </c>
      <c r="DI65" s="910">
        <v>2304.39</v>
      </c>
      <c r="DJ65" s="910">
        <v>-0.01</v>
      </c>
      <c r="DK65" s="911">
        <v>14867</v>
      </c>
      <c r="DL65" s="909">
        <v>11765.81</v>
      </c>
      <c r="DM65" s="910">
        <v>0</v>
      </c>
      <c r="DN65" s="910">
        <v>70.02</v>
      </c>
      <c r="DO65" s="910">
        <v>2171.06</v>
      </c>
      <c r="DP65" s="910">
        <v>0.03</v>
      </c>
      <c r="DQ65" s="911">
        <v>14006.92</v>
      </c>
      <c r="DR65" s="912"/>
      <c r="DS65" s="913"/>
      <c r="DT65" s="913"/>
      <c r="DU65" s="913"/>
      <c r="DV65" s="913"/>
      <c r="DW65" s="914"/>
    </row>
    <row r="66" spans="1:127">
      <c r="A66" s="1107" t="s">
        <v>155</v>
      </c>
      <c r="B66" s="904" t="s">
        <v>156</v>
      </c>
      <c r="C66" s="905">
        <f t="shared" si="5"/>
        <v>79189.55</v>
      </c>
      <c r="D66" s="906">
        <f t="shared" si="4"/>
        <v>16356.740000000002</v>
      </c>
      <c r="E66" s="907">
        <f t="shared" si="6"/>
        <v>7123.8700000000008</v>
      </c>
      <c r="F66" s="908">
        <f t="shared" si="7"/>
        <v>6674.14</v>
      </c>
      <c r="G66" s="907">
        <f t="shared" si="7"/>
        <v>449.73</v>
      </c>
      <c r="H66" s="912"/>
      <c r="I66" s="913"/>
      <c r="J66" s="913"/>
      <c r="K66" s="913"/>
      <c r="L66" s="913"/>
      <c r="M66" s="914"/>
      <c r="N66" s="909">
        <v>3289.86</v>
      </c>
      <c r="O66" s="910">
        <v>0</v>
      </c>
      <c r="P66" s="910">
        <v>0</v>
      </c>
      <c r="Q66" s="910">
        <v>822.46</v>
      </c>
      <c r="R66" s="910">
        <v>0</v>
      </c>
      <c r="S66" s="911">
        <v>4112.32</v>
      </c>
      <c r="T66" s="909">
        <v>2099.16</v>
      </c>
      <c r="U66" s="910">
        <v>0</v>
      </c>
      <c r="V66" s="910">
        <v>12.51</v>
      </c>
      <c r="W66" s="910">
        <v>387.36</v>
      </c>
      <c r="X66" s="910">
        <v>-0.03</v>
      </c>
      <c r="Y66" s="911">
        <v>2499</v>
      </c>
      <c r="Z66" s="915">
        <v>11664.72</v>
      </c>
      <c r="AA66" s="916">
        <v>0</v>
      </c>
      <c r="AB66" s="916">
        <v>0</v>
      </c>
      <c r="AC66" s="916">
        <v>2916.18</v>
      </c>
      <c r="AD66" s="916">
        <v>0</v>
      </c>
      <c r="AE66" s="917">
        <v>14580.9</v>
      </c>
      <c r="AF66" s="912"/>
      <c r="AG66" s="913"/>
      <c r="AH66" s="913"/>
      <c r="AI66" s="913"/>
      <c r="AJ66" s="913"/>
      <c r="AK66" s="914"/>
      <c r="AL66" s="912"/>
      <c r="AM66" s="913"/>
      <c r="AN66" s="913"/>
      <c r="AO66" s="913"/>
      <c r="AP66" s="913"/>
      <c r="AQ66" s="914"/>
      <c r="AR66" s="912"/>
      <c r="AS66" s="913"/>
      <c r="AT66" s="913"/>
      <c r="AU66" s="913"/>
      <c r="AV66" s="913"/>
      <c r="AW66" s="914"/>
      <c r="AX66" s="912"/>
      <c r="AY66" s="913"/>
      <c r="AZ66" s="913"/>
      <c r="BA66" s="913"/>
      <c r="BB66" s="913"/>
      <c r="BC66" s="914"/>
      <c r="BD66" s="912"/>
      <c r="BE66" s="913"/>
      <c r="BF66" s="913"/>
      <c r="BG66" s="913"/>
      <c r="BH66" s="913"/>
      <c r="BI66" s="914"/>
      <c r="BJ66" s="912"/>
      <c r="BK66" s="913"/>
      <c r="BL66" s="913"/>
      <c r="BM66" s="913"/>
      <c r="BN66" s="913"/>
      <c r="BO66" s="914"/>
      <c r="BP66" s="909">
        <v>17352.03</v>
      </c>
      <c r="BQ66" s="910">
        <v>527.9</v>
      </c>
      <c r="BR66" s="910">
        <v>14474.25</v>
      </c>
      <c r="BS66" s="910">
        <v>1702.84</v>
      </c>
      <c r="BT66" s="910">
        <v>-0.22</v>
      </c>
      <c r="BU66" s="911">
        <v>34056.800000000003</v>
      </c>
      <c r="BV66" s="909">
        <v>1248.99</v>
      </c>
      <c r="BW66" s="910">
        <v>0</v>
      </c>
      <c r="BX66" s="910">
        <v>842.37</v>
      </c>
      <c r="BY66" s="910">
        <v>383.62</v>
      </c>
      <c r="BZ66" s="910">
        <v>-0.01</v>
      </c>
      <c r="CA66" s="911">
        <v>2474.9699999999998</v>
      </c>
      <c r="CB66" s="912"/>
      <c r="CC66" s="913"/>
      <c r="CD66" s="913"/>
      <c r="CE66" s="913"/>
      <c r="CF66" s="913"/>
      <c r="CG66" s="914"/>
      <c r="CH66" s="912"/>
      <c r="CI66" s="913"/>
      <c r="CJ66" s="913"/>
      <c r="CK66" s="913"/>
      <c r="CL66" s="913"/>
      <c r="CM66" s="914"/>
      <c r="CN66" s="909">
        <v>886.57</v>
      </c>
      <c r="CO66" s="910">
        <v>0</v>
      </c>
      <c r="CP66" s="910">
        <v>0</v>
      </c>
      <c r="CQ66" s="910">
        <v>0</v>
      </c>
      <c r="CR66" s="910">
        <v>0</v>
      </c>
      <c r="CS66" s="911">
        <v>886.57</v>
      </c>
      <c r="CT66" s="912"/>
      <c r="CU66" s="913"/>
      <c r="CV66" s="913"/>
      <c r="CW66" s="913"/>
      <c r="CX66" s="913"/>
      <c r="CY66" s="914"/>
      <c r="CZ66" s="909">
        <v>36258.019999999997</v>
      </c>
      <c r="DA66" s="910">
        <v>4373</v>
      </c>
      <c r="DB66" s="910">
        <v>0</v>
      </c>
      <c r="DC66" s="910">
        <v>0</v>
      </c>
      <c r="DD66" s="910">
        <v>0</v>
      </c>
      <c r="DE66" s="911">
        <v>40631.019999999997</v>
      </c>
      <c r="DF66" s="909">
        <v>1489.3</v>
      </c>
      <c r="DG66" s="910">
        <v>0</v>
      </c>
      <c r="DH66" s="910">
        <v>1027.6099999999999</v>
      </c>
      <c r="DI66" s="910">
        <v>461.68</v>
      </c>
      <c r="DJ66" s="910">
        <v>449.99</v>
      </c>
      <c r="DK66" s="911">
        <v>3428.58</v>
      </c>
      <c r="DL66" s="912"/>
      <c r="DM66" s="913"/>
      <c r="DN66" s="913"/>
      <c r="DO66" s="913"/>
      <c r="DP66" s="913"/>
      <c r="DQ66" s="914"/>
      <c r="DR66" s="912"/>
      <c r="DS66" s="913"/>
      <c r="DT66" s="913"/>
      <c r="DU66" s="913"/>
      <c r="DV66" s="913"/>
      <c r="DW66" s="914"/>
    </row>
    <row r="67" spans="1:127">
      <c r="A67" s="1107" t="s">
        <v>157</v>
      </c>
      <c r="B67" s="904" t="s">
        <v>158</v>
      </c>
      <c r="C67" s="905">
        <f t="shared" si="5"/>
        <v>100529.78</v>
      </c>
      <c r="D67" s="906">
        <f t="shared" si="4"/>
        <v>38269.770000000004</v>
      </c>
      <c r="E67" s="907">
        <f t="shared" si="6"/>
        <v>7849.3</v>
      </c>
      <c r="F67" s="908">
        <f t="shared" si="7"/>
        <v>7849.5700000000006</v>
      </c>
      <c r="G67" s="907">
        <f t="shared" si="7"/>
        <v>-0.27</v>
      </c>
      <c r="H67" s="912"/>
      <c r="I67" s="913"/>
      <c r="J67" s="913"/>
      <c r="K67" s="913"/>
      <c r="L67" s="913"/>
      <c r="M67" s="914"/>
      <c r="N67" s="909">
        <v>1348.14</v>
      </c>
      <c r="O67" s="910">
        <v>0</v>
      </c>
      <c r="P67" s="910">
        <v>0</v>
      </c>
      <c r="Q67" s="910">
        <v>337.04</v>
      </c>
      <c r="R67" s="910">
        <v>0</v>
      </c>
      <c r="S67" s="911">
        <v>1685.18</v>
      </c>
      <c r="T67" s="909">
        <v>504</v>
      </c>
      <c r="U67" s="910">
        <v>0</v>
      </c>
      <c r="V67" s="910">
        <v>3</v>
      </c>
      <c r="W67" s="910">
        <v>93</v>
      </c>
      <c r="X67" s="910">
        <v>0</v>
      </c>
      <c r="Y67" s="911">
        <v>600</v>
      </c>
      <c r="Z67" s="915">
        <v>-671.33</v>
      </c>
      <c r="AA67" s="916">
        <v>0</v>
      </c>
      <c r="AB67" s="916">
        <v>0</v>
      </c>
      <c r="AC67" s="916">
        <v>-167.82</v>
      </c>
      <c r="AD67" s="916">
        <v>0</v>
      </c>
      <c r="AE67" s="917">
        <v>-839.15</v>
      </c>
      <c r="AF67" s="912"/>
      <c r="AG67" s="913"/>
      <c r="AH67" s="913"/>
      <c r="AI67" s="913"/>
      <c r="AJ67" s="913"/>
      <c r="AK67" s="914"/>
      <c r="AL67" s="912"/>
      <c r="AM67" s="913"/>
      <c r="AN67" s="913"/>
      <c r="AO67" s="913"/>
      <c r="AP67" s="913"/>
      <c r="AQ67" s="914"/>
      <c r="AR67" s="909">
        <v>480</v>
      </c>
      <c r="AS67" s="910">
        <v>0</v>
      </c>
      <c r="AT67" s="910">
        <v>120</v>
      </c>
      <c r="AU67" s="910">
        <v>0</v>
      </c>
      <c r="AV67" s="910">
        <v>0</v>
      </c>
      <c r="AW67" s="911">
        <v>600</v>
      </c>
      <c r="AX67" s="912"/>
      <c r="AY67" s="913"/>
      <c r="AZ67" s="913"/>
      <c r="BA67" s="913"/>
      <c r="BB67" s="913"/>
      <c r="BC67" s="914"/>
      <c r="BD67" s="912"/>
      <c r="BE67" s="913"/>
      <c r="BF67" s="913"/>
      <c r="BG67" s="913"/>
      <c r="BH67" s="913"/>
      <c r="BI67" s="914"/>
      <c r="BJ67" s="912"/>
      <c r="BK67" s="913"/>
      <c r="BL67" s="913"/>
      <c r="BM67" s="913"/>
      <c r="BN67" s="913"/>
      <c r="BO67" s="914"/>
      <c r="BP67" s="909">
        <v>27338.02</v>
      </c>
      <c r="BQ67" s="910">
        <v>608.35</v>
      </c>
      <c r="BR67" s="910">
        <v>22623.27</v>
      </c>
      <c r="BS67" s="910">
        <v>2661.55</v>
      </c>
      <c r="BT67" s="910">
        <v>-0.19</v>
      </c>
      <c r="BU67" s="911">
        <v>53231</v>
      </c>
      <c r="BV67" s="909">
        <v>11684.33</v>
      </c>
      <c r="BW67" s="910">
        <v>0</v>
      </c>
      <c r="BX67" s="910">
        <v>5740.47</v>
      </c>
      <c r="BY67" s="910">
        <v>3196.28</v>
      </c>
      <c r="BZ67" s="910">
        <v>-0.02</v>
      </c>
      <c r="CA67" s="911">
        <v>20621.060000000001</v>
      </c>
      <c r="CB67" s="912"/>
      <c r="CC67" s="913"/>
      <c r="CD67" s="913"/>
      <c r="CE67" s="913"/>
      <c r="CF67" s="913"/>
      <c r="CG67" s="914"/>
      <c r="CH67" s="912"/>
      <c r="CI67" s="913"/>
      <c r="CJ67" s="913"/>
      <c r="CK67" s="913"/>
      <c r="CL67" s="913"/>
      <c r="CM67" s="914"/>
      <c r="CN67" s="909">
        <v>14788</v>
      </c>
      <c r="CO67" s="910">
        <v>0</v>
      </c>
      <c r="CP67" s="910">
        <v>0</v>
      </c>
      <c r="CQ67" s="910">
        <v>0</v>
      </c>
      <c r="CR67" s="910">
        <v>0</v>
      </c>
      <c r="CS67" s="911">
        <v>14788</v>
      </c>
      <c r="CT67" s="909">
        <v>10021.23</v>
      </c>
      <c r="CU67" s="910">
        <v>0</v>
      </c>
      <c r="CV67" s="910">
        <v>8112.43</v>
      </c>
      <c r="CW67" s="910">
        <v>954.4</v>
      </c>
      <c r="CX67" s="910">
        <v>-0.06</v>
      </c>
      <c r="CY67" s="911">
        <v>19088</v>
      </c>
      <c r="CZ67" s="909">
        <v>29377.5</v>
      </c>
      <c r="DA67" s="910">
        <v>2496.5</v>
      </c>
      <c r="DB67" s="910">
        <v>0</v>
      </c>
      <c r="DC67" s="910">
        <v>0</v>
      </c>
      <c r="DD67" s="910">
        <v>0</v>
      </c>
      <c r="DE67" s="911">
        <v>31874</v>
      </c>
      <c r="DF67" s="909">
        <v>2420</v>
      </c>
      <c r="DG67" s="910">
        <v>0</v>
      </c>
      <c r="DH67" s="910">
        <v>1669.8</v>
      </c>
      <c r="DI67" s="910">
        <v>750.2</v>
      </c>
      <c r="DJ67" s="910">
        <v>0</v>
      </c>
      <c r="DK67" s="911">
        <v>4840</v>
      </c>
      <c r="DL67" s="909">
        <v>135.04</v>
      </c>
      <c r="DM67" s="910">
        <v>0</v>
      </c>
      <c r="DN67" s="910">
        <v>0.8</v>
      </c>
      <c r="DO67" s="910">
        <v>24.92</v>
      </c>
      <c r="DP67" s="910">
        <v>0</v>
      </c>
      <c r="DQ67" s="911">
        <v>160.76</v>
      </c>
      <c r="DR67" s="912"/>
      <c r="DS67" s="913"/>
      <c r="DT67" s="913"/>
      <c r="DU67" s="913"/>
      <c r="DV67" s="913"/>
      <c r="DW67" s="914"/>
    </row>
    <row r="68" spans="1:127">
      <c r="A68" s="1107" t="s">
        <v>163</v>
      </c>
      <c r="B68" s="904" t="s">
        <v>164</v>
      </c>
      <c r="C68" s="905">
        <f t="shared" si="5"/>
        <v>361245.79</v>
      </c>
      <c r="D68" s="906">
        <f t="shared" si="4"/>
        <v>57057.380000000005</v>
      </c>
      <c r="E68" s="907">
        <f t="shared" si="6"/>
        <v>29375.760000000002</v>
      </c>
      <c r="F68" s="908">
        <f t="shared" si="7"/>
        <v>29376.050000000003</v>
      </c>
      <c r="G68" s="907">
        <f t="shared" si="7"/>
        <v>-0.29000000000000004</v>
      </c>
      <c r="H68" s="912"/>
      <c r="I68" s="913"/>
      <c r="J68" s="913"/>
      <c r="K68" s="913"/>
      <c r="L68" s="913"/>
      <c r="M68" s="914"/>
      <c r="N68" s="909">
        <v>15362.91</v>
      </c>
      <c r="O68" s="910">
        <v>0</v>
      </c>
      <c r="P68" s="910">
        <v>0</v>
      </c>
      <c r="Q68" s="910">
        <v>3840.73</v>
      </c>
      <c r="R68" s="910">
        <v>0</v>
      </c>
      <c r="S68" s="911">
        <v>19203.64</v>
      </c>
      <c r="T68" s="909">
        <v>4341.8999999999996</v>
      </c>
      <c r="U68" s="910">
        <v>0</v>
      </c>
      <c r="V68" s="910">
        <v>25.86</v>
      </c>
      <c r="W68" s="910">
        <v>801.18</v>
      </c>
      <c r="X68" s="910">
        <v>-0.03</v>
      </c>
      <c r="Y68" s="911">
        <v>5168.91</v>
      </c>
      <c r="Z68" s="915">
        <v>39847.279999999999</v>
      </c>
      <c r="AA68" s="916">
        <v>0</v>
      </c>
      <c r="AB68" s="916">
        <v>0</v>
      </c>
      <c r="AC68" s="916">
        <v>9961.76</v>
      </c>
      <c r="AD68" s="916">
        <v>0</v>
      </c>
      <c r="AE68" s="917">
        <v>49809.04</v>
      </c>
      <c r="AF68" s="912"/>
      <c r="AG68" s="913"/>
      <c r="AH68" s="913"/>
      <c r="AI68" s="913"/>
      <c r="AJ68" s="913"/>
      <c r="AK68" s="914"/>
      <c r="AL68" s="909">
        <v>1408.8</v>
      </c>
      <c r="AM68" s="910">
        <v>0</v>
      </c>
      <c r="AN68" s="910">
        <v>352.2</v>
      </c>
      <c r="AO68" s="910">
        <v>0</v>
      </c>
      <c r="AP68" s="910">
        <v>0</v>
      </c>
      <c r="AQ68" s="911">
        <v>1761</v>
      </c>
      <c r="AR68" s="909">
        <v>4322.3999999999996</v>
      </c>
      <c r="AS68" s="910">
        <v>0</v>
      </c>
      <c r="AT68" s="910">
        <v>1080.5999999999999</v>
      </c>
      <c r="AU68" s="910">
        <v>0</v>
      </c>
      <c r="AV68" s="910">
        <v>0</v>
      </c>
      <c r="AW68" s="911">
        <v>5403</v>
      </c>
      <c r="AX68" s="912"/>
      <c r="AY68" s="913"/>
      <c r="AZ68" s="913"/>
      <c r="BA68" s="913"/>
      <c r="BB68" s="913"/>
      <c r="BC68" s="914"/>
      <c r="BD68" s="909">
        <v>0</v>
      </c>
      <c r="BE68" s="910">
        <v>0</v>
      </c>
      <c r="BF68" s="910">
        <v>150</v>
      </c>
      <c r="BG68" s="910">
        <v>0</v>
      </c>
      <c r="BH68" s="910">
        <v>0</v>
      </c>
      <c r="BI68" s="911">
        <v>150</v>
      </c>
      <c r="BJ68" s="912"/>
      <c r="BK68" s="913"/>
      <c r="BL68" s="913"/>
      <c r="BM68" s="913"/>
      <c r="BN68" s="913"/>
      <c r="BO68" s="914"/>
      <c r="BP68" s="909">
        <v>50511.58</v>
      </c>
      <c r="BQ68" s="910">
        <v>1713.72</v>
      </c>
      <c r="BR68" s="910">
        <v>42277.64</v>
      </c>
      <c r="BS68" s="910">
        <v>4973.83</v>
      </c>
      <c r="BT68" s="910">
        <v>-0.17</v>
      </c>
      <c r="BU68" s="911">
        <v>99476.6</v>
      </c>
      <c r="BV68" s="909">
        <v>17519.32</v>
      </c>
      <c r="BW68" s="910">
        <v>0</v>
      </c>
      <c r="BX68" s="910">
        <v>11644.54</v>
      </c>
      <c r="BY68" s="910">
        <v>5349.57</v>
      </c>
      <c r="BZ68" s="910">
        <v>-0.06</v>
      </c>
      <c r="CA68" s="911">
        <v>34513.370000000003</v>
      </c>
      <c r="CB68" s="909">
        <v>933.3</v>
      </c>
      <c r="CC68" s="910">
        <v>0</v>
      </c>
      <c r="CD68" s="910">
        <v>0</v>
      </c>
      <c r="CE68" s="910">
        <v>1609.72</v>
      </c>
      <c r="CF68" s="910">
        <v>-0.01</v>
      </c>
      <c r="CG68" s="911">
        <v>2543.0100000000002</v>
      </c>
      <c r="CH68" s="909">
        <v>142.81</v>
      </c>
      <c r="CI68" s="910">
        <v>0</v>
      </c>
      <c r="CJ68" s="910">
        <v>0</v>
      </c>
      <c r="CK68" s="910">
        <v>440.09</v>
      </c>
      <c r="CL68" s="910">
        <v>0</v>
      </c>
      <c r="CM68" s="911">
        <v>582.9</v>
      </c>
      <c r="CN68" s="909">
        <v>78435.199999999997</v>
      </c>
      <c r="CO68" s="910">
        <v>0</v>
      </c>
      <c r="CP68" s="910">
        <v>0</v>
      </c>
      <c r="CQ68" s="910">
        <v>0</v>
      </c>
      <c r="CR68" s="910">
        <v>0</v>
      </c>
      <c r="CS68" s="911">
        <v>78435.199999999997</v>
      </c>
      <c r="CT68" s="909">
        <v>512.34</v>
      </c>
      <c r="CU68" s="910">
        <v>53.93</v>
      </c>
      <c r="CV68" s="910">
        <v>458.41</v>
      </c>
      <c r="CW68" s="910">
        <v>53.93</v>
      </c>
      <c r="CX68" s="910">
        <v>-0.01</v>
      </c>
      <c r="CY68" s="911">
        <v>1078.5999999999999</v>
      </c>
      <c r="CZ68" s="909">
        <v>118669.3</v>
      </c>
      <c r="DA68" s="910">
        <v>15753.8</v>
      </c>
      <c r="DB68" s="910">
        <v>0</v>
      </c>
      <c r="DC68" s="910">
        <v>0</v>
      </c>
      <c r="DD68" s="910">
        <v>0</v>
      </c>
      <c r="DE68" s="911">
        <v>134423.1</v>
      </c>
      <c r="DF68" s="909">
        <v>1459.53</v>
      </c>
      <c r="DG68" s="910">
        <v>0</v>
      </c>
      <c r="DH68" s="910">
        <v>1007.06</v>
      </c>
      <c r="DI68" s="910">
        <v>452.45</v>
      </c>
      <c r="DJ68" s="910">
        <v>-0.01</v>
      </c>
      <c r="DK68" s="911">
        <v>2919.03</v>
      </c>
      <c r="DL68" s="909">
        <v>10257.67</v>
      </c>
      <c r="DM68" s="910">
        <v>0</v>
      </c>
      <c r="DN68" s="910">
        <v>61.07</v>
      </c>
      <c r="DO68" s="910">
        <v>1892.79</v>
      </c>
      <c r="DP68" s="910">
        <v>0</v>
      </c>
      <c r="DQ68" s="911">
        <v>12211.53</v>
      </c>
      <c r="DR68" s="912"/>
      <c r="DS68" s="913"/>
      <c r="DT68" s="913"/>
      <c r="DU68" s="913"/>
      <c r="DV68" s="913"/>
      <c r="DW68" s="914"/>
    </row>
    <row r="69" spans="1:127">
      <c r="A69" s="1107" t="s">
        <v>165</v>
      </c>
      <c r="B69" s="904" t="s">
        <v>166</v>
      </c>
      <c r="C69" s="905">
        <f t="shared" si="5"/>
        <v>113733.04999999999</v>
      </c>
      <c r="D69" s="906">
        <f t="shared" si="4"/>
        <v>21922.03</v>
      </c>
      <c r="E69" s="907">
        <f t="shared" si="6"/>
        <v>10147.699999999999</v>
      </c>
      <c r="F69" s="908">
        <f t="shared" si="7"/>
        <v>10147.939999999999</v>
      </c>
      <c r="G69" s="907">
        <f t="shared" si="7"/>
        <v>-0.24000000000000002</v>
      </c>
      <c r="H69" s="912"/>
      <c r="I69" s="913"/>
      <c r="J69" s="913"/>
      <c r="K69" s="913"/>
      <c r="L69" s="913"/>
      <c r="M69" s="914"/>
      <c r="N69" s="909">
        <v>1608.73</v>
      </c>
      <c r="O69" s="910">
        <v>0</v>
      </c>
      <c r="P69" s="910">
        <v>0</v>
      </c>
      <c r="Q69" s="910">
        <v>402.17</v>
      </c>
      <c r="R69" s="910">
        <v>0</v>
      </c>
      <c r="S69" s="911">
        <v>2010.9</v>
      </c>
      <c r="T69" s="912"/>
      <c r="U69" s="913"/>
      <c r="V69" s="913"/>
      <c r="W69" s="913"/>
      <c r="X69" s="913"/>
      <c r="Y69" s="914"/>
      <c r="Z69" s="915">
        <v>13576.01</v>
      </c>
      <c r="AA69" s="916">
        <v>0</v>
      </c>
      <c r="AB69" s="916">
        <v>0</v>
      </c>
      <c r="AC69" s="916">
        <v>3393.99</v>
      </c>
      <c r="AD69" s="916">
        <v>0</v>
      </c>
      <c r="AE69" s="917">
        <v>16970</v>
      </c>
      <c r="AF69" s="912"/>
      <c r="AG69" s="913"/>
      <c r="AH69" s="913"/>
      <c r="AI69" s="913"/>
      <c r="AJ69" s="913"/>
      <c r="AK69" s="914"/>
      <c r="AL69" s="909">
        <v>256</v>
      </c>
      <c r="AM69" s="910">
        <v>0</v>
      </c>
      <c r="AN69" s="910">
        <v>64</v>
      </c>
      <c r="AO69" s="910">
        <v>0</v>
      </c>
      <c r="AP69" s="910">
        <v>0</v>
      </c>
      <c r="AQ69" s="911">
        <v>320</v>
      </c>
      <c r="AR69" s="909">
        <v>1023.6</v>
      </c>
      <c r="AS69" s="910">
        <v>0</v>
      </c>
      <c r="AT69" s="910">
        <v>255.9</v>
      </c>
      <c r="AU69" s="910">
        <v>0</v>
      </c>
      <c r="AV69" s="910">
        <v>0</v>
      </c>
      <c r="AW69" s="911">
        <v>1279.5</v>
      </c>
      <c r="AX69" s="912"/>
      <c r="AY69" s="913"/>
      <c r="AZ69" s="913"/>
      <c r="BA69" s="913"/>
      <c r="BB69" s="913"/>
      <c r="BC69" s="914"/>
      <c r="BD69" s="909">
        <v>156.82</v>
      </c>
      <c r="BE69" s="910">
        <v>0</v>
      </c>
      <c r="BF69" s="910">
        <v>459.18</v>
      </c>
      <c r="BG69" s="910">
        <v>0</v>
      </c>
      <c r="BH69" s="910">
        <v>0</v>
      </c>
      <c r="BI69" s="911">
        <v>616</v>
      </c>
      <c r="BJ69" s="909">
        <v>13770</v>
      </c>
      <c r="BK69" s="910">
        <v>0</v>
      </c>
      <c r="BL69" s="910">
        <v>1744.21</v>
      </c>
      <c r="BM69" s="910">
        <v>2845.81</v>
      </c>
      <c r="BN69" s="910">
        <v>-0.02</v>
      </c>
      <c r="BO69" s="911">
        <v>18360</v>
      </c>
      <c r="BP69" s="909">
        <v>16290.44</v>
      </c>
      <c r="BQ69" s="910">
        <v>695.06</v>
      </c>
      <c r="BR69" s="910">
        <v>13750.18</v>
      </c>
      <c r="BS69" s="910">
        <v>1617.66</v>
      </c>
      <c r="BT69" s="910">
        <v>-0.14000000000000001</v>
      </c>
      <c r="BU69" s="911">
        <v>32353.200000000001</v>
      </c>
      <c r="BV69" s="909">
        <v>1222.99</v>
      </c>
      <c r="BW69" s="910">
        <v>0</v>
      </c>
      <c r="BX69" s="910">
        <v>843.89</v>
      </c>
      <c r="BY69" s="910">
        <v>379.15</v>
      </c>
      <c r="BZ69" s="910">
        <v>-0.05</v>
      </c>
      <c r="CA69" s="911">
        <v>2445.98</v>
      </c>
      <c r="CB69" s="912"/>
      <c r="CC69" s="913"/>
      <c r="CD69" s="913"/>
      <c r="CE69" s="913"/>
      <c r="CF69" s="913"/>
      <c r="CG69" s="914"/>
      <c r="CH69" s="912"/>
      <c r="CI69" s="913"/>
      <c r="CJ69" s="913"/>
      <c r="CK69" s="913"/>
      <c r="CL69" s="913"/>
      <c r="CM69" s="914"/>
      <c r="CN69" s="909">
        <v>4996</v>
      </c>
      <c r="CO69" s="910">
        <v>0</v>
      </c>
      <c r="CP69" s="910">
        <v>0</v>
      </c>
      <c r="CQ69" s="910">
        <v>0</v>
      </c>
      <c r="CR69" s="910">
        <v>0</v>
      </c>
      <c r="CS69" s="911">
        <v>4996</v>
      </c>
      <c r="CT69" s="909">
        <v>2419.2199999999998</v>
      </c>
      <c r="CU69" s="910">
        <v>0</v>
      </c>
      <c r="CV69" s="910">
        <v>1958.41</v>
      </c>
      <c r="CW69" s="910">
        <v>230.4</v>
      </c>
      <c r="CX69" s="910">
        <v>-0.01</v>
      </c>
      <c r="CY69" s="911">
        <v>4608.0200000000004</v>
      </c>
      <c r="CZ69" s="909">
        <v>43834.18</v>
      </c>
      <c r="DA69" s="910">
        <v>9759</v>
      </c>
      <c r="DB69" s="910">
        <v>0</v>
      </c>
      <c r="DC69" s="910">
        <v>0</v>
      </c>
      <c r="DD69" s="910">
        <v>0</v>
      </c>
      <c r="DE69" s="911">
        <v>53593.18</v>
      </c>
      <c r="DF69" s="909">
        <v>4125</v>
      </c>
      <c r="DG69" s="910">
        <v>0</v>
      </c>
      <c r="DH69" s="910">
        <v>2846.26</v>
      </c>
      <c r="DI69" s="910">
        <v>1278.76</v>
      </c>
      <c r="DJ69" s="910">
        <v>-0.02</v>
      </c>
      <c r="DK69" s="911">
        <v>8250</v>
      </c>
      <c r="DL69" s="912"/>
      <c r="DM69" s="913"/>
      <c r="DN69" s="913"/>
      <c r="DO69" s="913"/>
      <c r="DP69" s="913"/>
      <c r="DQ69" s="914"/>
      <c r="DR69" s="912"/>
      <c r="DS69" s="913"/>
      <c r="DT69" s="913"/>
      <c r="DU69" s="913"/>
      <c r="DV69" s="913"/>
      <c r="DW69" s="914"/>
    </row>
    <row r="70" spans="1:127">
      <c r="A70" s="1107" t="s">
        <v>169</v>
      </c>
      <c r="B70" s="904" t="s">
        <v>170</v>
      </c>
      <c r="C70" s="905">
        <f t="shared" si="5"/>
        <v>265539.02999999997</v>
      </c>
      <c r="D70" s="906">
        <f t="shared" ref="D70:D125" si="8">+J70+P70+V70+AB70+AH70+AN70+AT70+AZ70+BF70+BL70+BR70+BX70+CD70+CJ70+CP70+CV70+DB70+DH70+DN70+DT70</f>
        <v>79630.240000000005</v>
      </c>
      <c r="E70" s="907">
        <f t="shared" si="6"/>
        <v>40732.920000000006</v>
      </c>
      <c r="F70" s="908">
        <f t="shared" ref="F70:G125" si="9">+K70+Q70+W70+AC70+AI70+AO70+AU70+BA70+BG70+BM70+BS70+BY70+CE70+CK70+CQ70+CW70+DC70+DI70+DO70+DU70</f>
        <v>40733.230000000003</v>
      </c>
      <c r="G70" s="907">
        <f t="shared" si="9"/>
        <v>-0.31000000000000005</v>
      </c>
      <c r="H70" s="912"/>
      <c r="I70" s="913"/>
      <c r="J70" s="913"/>
      <c r="K70" s="913"/>
      <c r="L70" s="913"/>
      <c r="M70" s="914"/>
      <c r="N70" s="909">
        <v>19743.099999999999</v>
      </c>
      <c r="O70" s="910">
        <v>0</v>
      </c>
      <c r="P70" s="910">
        <v>0</v>
      </c>
      <c r="Q70" s="910">
        <v>4935.76</v>
      </c>
      <c r="R70" s="910">
        <v>0</v>
      </c>
      <c r="S70" s="911">
        <v>24678.86</v>
      </c>
      <c r="T70" s="909">
        <v>2502.81</v>
      </c>
      <c r="U70" s="910">
        <v>0</v>
      </c>
      <c r="V70" s="910">
        <v>14.9</v>
      </c>
      <c r="W70" s="910">
        <v>461.83</v>
      </c>
      <c r="X70" s="910">
        <v>-0.01</v>
      </c>
      <c r="Y70" s="911">
        <v>2979.53</v>
      </c>
      <c r="Z70" s="915">
        <v>22530.11</v>
      </c>
      <c r="AA70" s="916">
        <v>0</v>
      </c>
      <c r="AB70" s="916">
        <v>0</v>
      </c>
      <c r="AC70" s="916">
        <v>5632.51</v>
      </c>
      <c r="AD70" s="916">
        <v>0</v>
      </c>
      <c r="AE70" s="917">
        <v>28162.62</v>
      </c>
      <c r="AF70" s="912"/>
      <c r="AG70" s="913"/>
      <c r="AH70" s="913"/>
      <c r="AI70" s="913"/>
      <c r="AJ70" s="913"/>
      <c r="AK70" s="914"/>
      <c r="AL70" s="909">
        <v>1502.18</v>
      </c>
      <c r="AM70" s="910">
        <v>0</v>
      </c>
      <c r="AN70" s="910">
        <v>375.55</v>
      </c>
      <c r="AO70" s="910">
        <v>0</v>
      </c>
      <c r="AP70" s="910">
        <v>0</v>
      </c>
      <c r="AQ70" s="911">
        <v>1877.73</v>
      </c>
      <c r="AR70" s="909">
        <v>431.96</v>
      </c>
      <c r="AS70" s="910">
        <v>0</v>
      </c>
      <c r="AT70" s="910">
        <v>107.99</v>
      </c>
      <c r="AU70" s="910">
        <v>0</v>
      </c>
      <c r="AV70" s="910">
        <v>0</v>
      </c>
      <c r="AW70" s="911">
        <v>539.95000000000005</v>
      </c>
      <c r="AX70" s="912"/>
      <c r="AY70" s="913"/>
      <c r="AZ70" s="913"/>
      <c r="BA70" s="913"/>
      <c r="BB70" s="913"/>
      <c r="BC70" s="914"/>
      <c r="BD70" s="912"/>
      <c r="BE70" s="913"/>
      <c r="BF70" s="913"/>
      <c r="BG70" s="913"/>
      <c r="BH70" s="913"/>
      <c r="BI70" s="914"/>
      <c r="BJ70" s="912"/>
      <c r="BK70" s="913"/>
      <c r="BL70" s="913"/>
      <c r="BM70" s="913"/>
      <c r="BN70" s="913"/>
      <c r="BO70" s="914"/>
      <c r="BP70" s="909">
        <v>18301.97</v>
      </c>
      <c r="BQ70" s="910">
        <v>681.05</v>
      </c>
      <c r="BR70" s="910">
        <v>15367.22</v>
      </c>
      <c r="BS70" s="910">
        <v>1807.9</v>
      </c>
      <c r="BT70" s="910">
        <v>-0.14000000000000001</v>
      </c>
      <c r="BU70" s="911">
        <v>36158</v>
      </c>
      <c r="BV70" s="909">
        <v>88076.43</v>
      </c>
      <c r="BW70" s="910">
        <v>0</v>
      </c>
      <c r="BX70" s="910">
        <v>60094.02</v>
      </c>
      <c r="BY70" s="910">
        <v>27179.19</v>
      </c>
      <c r="BZ70" s="910">
        <v>-0.14000000000000001</v>
      </c>
      <c r="CA70" s="911">
        <v>175349.5</v>
      </c>
      <c r="CB70" s="912"/>
      <c r="CC70" s="913"/>
      <c r="CD70" s="913"/>
      <c r="CE70" s="913"/>
      <c r="CF70" s="913"/>
      <c r="CG70" s="914"/>
      <c r="CH70" s="912"/>
      <c r="CI70" s="913"/>
      <c r="CJ70" s="913"/>
      <c r="CK70" s="913"/>
      <c r="CL70" s="913"/>
      <c r="CM70" s="914"/>
      <c r="CN70" s="912"/>
      <c r="CO70" s="913"/>
      <c r="CP70" s="913"/>
      <c r="CQ70" s="913"/>
      <c r="CR70" s="913"/>
      <c r="CS70" s="914"/>
      <c r="CT70" s="909">
        <v>3467.19</v>
      </c>
      <c r="CU70" s="910">
        <v>8.4</v>
      </c>
      <c r="CV70" s="910">
        <v>2813.57</v>
      </c>
      <c r="CW70" s="910">
        <v>331.01</v>
      </c>
      <c r="CX70" s="910">
        <v>0</v>
      </c>
      <c r="CY70" s="911">
        <v>6620.17</v>
      </c>
      <c r="CZ70" s="909">
        <v>93150.83</v>
      </c>
      <c r="DA70" s="910">
        <v>13901</v>
      </c>
      <c r="DB70" s="910">
        <v>0</v>
      </c>
      <c r="DC70" s="910">
        <v>0</v>
      </c>
      <c r="DD70" s="910">
        <v>0</v>
      </c>
      <c r="DE70" s="911">
        <v>107051.83</v>
      </c>
      <c r="DF70" s="909">
        <v>1242</v>
      </c>
      <c r="DG70" s="910">
        <v>0</v>
      </c>
      <c r="DH70" s="910">
        <v>856.99</v>
      </c>
      <c r="DI70" s="910">
        <v>385.03</v>
      </c>
      <c r="DJ70" s="910">
        <v>-0.02</v>
      </c>
      <c r="DK70" s="911">
        <v>2484</v>
      </c>
      <c r="DL70" s="912"/>
      <c r="DM70" s="913"/>
      <c r="DN70" s="913"/>
      <c r="DO70" s="913"/>
      <c r="DP70" s="913"/>
      <c r="DQ70" s="914"/>
      <c r="DR70" s="912"/>
      <c r="DS70" s="913"/>
      <c r="DT70" s="913"/>
      <c r="DU70" s="913"/>
      <c r="DV70" s="913"/>
      <c r="DW70" s="914"/>
    </row>
    <row r="71" spans="1:127">
      <c r="A71" s="1107" t="s">
        <v>171</v>
      </c>
      <c r="B71" s="904" t="s">
        <v>172</v>
      </c>
      <c r="C71" s="905">
        <f t="shared" ref="C71:C125" si="10">+H71+I71+N71+O71+T71+U71+Z71+AA71+AF71+AG71+AL71+AM71+AR71+AS71+AX71+AY71+BD71+BE71+BJ71+BK71+BP71+BQ71+BV71+BW71+CB71+CC71+CH71+CI71+CN71+CO71+CT71+CU71+CZ71+DA71+DF71+DG71+DL71+DM71+DR71+DS71</f>
        <v>300617.64999999997</v>
      </c>
      <c r="D71" s="906">
        <f t="shared" si="8"/>
        <v>75813.199999999983</v>
      </c>
      <c r="E71" s="907">
        <f t="shared" ref="E71:E125" si="11">+F71+G71</f>
        <v>24523.41</v>
      </c>
      <c r="F71" s="908">
        <f t="shared" si="9"/>
        <v>23955.759999999998</v>
      </c>
      <c r="G71" s="907">
        <f t="shared" si="9"/>
        <v>567.65</v>
      </c>
      <c r="H71" s="912"/>
      <c r="I71" s="913"/>
      <c r="J71" s="913"/>
      <c r="K71" s="913"/>
      <c r="L71" s="913"/>
      <c r="M71" s="914"/>
      <c r="N71" s="909">
        <v>3875.66</v>
      </c>
      <c r="O71" s="910">
        <v>0</v>
      </c>
      <c r="P71" s="910">
        <v>0</v>
      </c>
      <c r="Q71" s="910">
        <v>968.92</v>
      </c>
      <c r="R71" s="910">
        <v>0</v>
      </c>
      <c r="S71" s="911">
        <v>4844.58</v>
      </c>
      <c r="T71" s="909">
        <v>1257.8499999999999</v>
      </c>
      <c r="U71" s="910">
        <v>0</v>
      </c>
      <c r="V71" s="910">
        <v>7.49</v>
      </c>
      <c r="W71" s="910">
        <v>232.11</v>
      </c>
      <c r="X71" s="910">
        <v>-0.01</v>
      </c>
      <c r="Y71" s="911">
        <v>1497.44</v>
      </c>
      <c r="Z71" s="915">
        <v>9573.93</v>
      </c>
      <c r="AA71" s="916">
        <v>0</v>
      </c>
      <c r="AB71" s="916">
        <v>0</v>
      </c>
      <c r="AC71" s="916">
        <v>2393.4899999999998</v>
      </c>
      <c r="AD71" s="916">
        <v>0</v>
      </c>
      <c r="AE71" s="917">
        <v>11967.42</v>
      </c>
      <c r="AF71" s="912"/>
      <c r="AG71" s="913"/>
      <c r="AH71" s="913"/>
      <c r="AI71" s="913"/>
      <c r="AJ71" s="913"/>
      <c r="AK71" s="914"/>
      <c r="AL71" s="912"/>
      <c r="AM71" s="913"/>
      <c r="AN71" s="913"/>
      <c r="AO71" s="913"/>
      <c r="AP71" s="913"/>
      <c r="AQ71" s="914"/>
      <c r="AR71" s="909">
        <v>2534.54</v>
      </c>
      <c r="AS71" s="910">
        <v>0</v>
      </c>
      <c r="AT71" s="910">
        <v>633.64</v>
      </c>
      <c r="AU71" s="910">
        <v>0</v>
      </c>
      <c r="AV71" s="910">
        <v>0</v>
      </c>
      <c r="AW71" s="911">
        <v>3168.18</v>
      </c>
      <c r="AX71" s="912"/>
      <c r="AY71" s="913"/>
      <c r="AZ71" s="913"/>
      <c r="BA71" s="913"/>
      <c r="BB71" s="913"/>
      <c r="BC71" s="914"/>
      <c r="BD71" s="912"/>
      <c r="BE71" s="913"/>
      <c r="BF71" s="913"/>
      <c r="BG71" s="913"/>
      <c r="BH71" s="913"/>
      <c r="BI71" s="914"/>
      <c r="BJ71" s="909">
        <v>12931.87</v>
      </c>
      <c r="BK71" s="910">
        <v>0</v>
      </c>
      <c r="BL71" s="910">
        <v>1638.09</v>
      </c>
      <c r="BM71" s="910">
        <v>2672.64</v>
      </c>
      <c r="BN71" s="910">
        <v>-0.1</v>
      </c>
      <c r="BO71" s="911">
        <v>17242.5</v>
      </c>
      <c r="BP71" s="909">
        <v>76469.08</v>
      </c>
      <c r="BQ71" s="910">
        <v>1930.54</v>
      </c>
      <c r="BR71" s="910">
        <v>63466.38</v>
      </c>
      <c r="BS71" s="910">
        <v>7466.62</v>
      </c>
      <c r="BT71" s="910">
        <v>-0.22</v>
      </c>
      <c r="BU71" s="911">
        <v>149332.4</v>
      </c>
      <c r="BV71" s="909">
        <v>23933.919999999998</v>
      </c>
      <c r="BW71" s="910">
        <v>0</v>
      </c>
      <c r="BX71" s="910">
        <v>10097.44</v>
      </c>
      <c r="BY71" s="910">
        <v>6242.45</v>
      </c>
      <c r="BZ71" s="910">
        <v>-0.03</v>
      </c>
      <c r="CA71" s="911">
        <v>40273.78</v>
      </c>
      <c r="CB71" s="909">
        <v>1892.27</v>
      </c>
      <c r="CC71" s="910">
        <v>0</v>
      </c>
      <c r="CD71" s="910">
        <v>0</v>
      </c>
      <c r="CE71" s="910">
        <v>3263.77</v>
      </c>
      <c r="CF71" s="910">
        <v>0</v>
      </c>
      <c r="CG71" s="911">
        <v>5156.04</v>
      </c>
      <c r="CH71" s="912"/>
      <c r="CI71" s="913"/>
      <c r="CJ71" s="913"/>
      <c r="CK71" s="913"/>
      <c r="CL71" s="913"/>
      <c r="CM71" s="914"/>
      <c r="CN71" s="909">
        <v>30590</v>
      </c>
      <c r="CO71" s="910">
        <v>0</v>
      </c>
      <c r="CP71" s="910">
        <v>0</v>
      </c>
      <c r="CQ71" s="910">
        <v>0</v>
      </c>
      <c r="CR71" s="910">
        <v>568</v>
      </c>
      <c r="CS71" s="911">
        <v>31158</v>
      </c>
      <c r="CT71" s="909">
        <v>-65.63</v>
      </c>
      <c r="CU71" s="910">
        <v>0</v>
      </c>
      <c r="CV71" s="910">
        <v>-53.13</v>
      </c>
      <c r="CW71" s="910">
        <v>-6.25</v>
      </c>
      <c r="CX71" s="910">
        <v>0.01</v>
      </c>
      <c r="CY71" s="911">
        <v>-125</v>
      </c>
      <c r="CZ71" s="909">
        <v>117405.18</v>
      </c>
      <c r="DA71" s="910">
        <v>14375.6</v>
      </c>
      <c r="DB71" s="910">
        <v>0</v>
      </c>
      <c r="DC71" s="910">
        <v>0</v>
      </c>
      <c r="DD71" s="910">
        <v>0</v>
      </c>
      <c r="DE71" s="911">
        <v>131780.78</v>
      </c>
      <c r="DF71" s="912"/>
      <c r="DG71" s="913"/>
      <c r="DH71" s="913"/>
      <c r="DI71" s="913"/>
      <c r="DJ71" s="913"/>
      <c r="DK71" s="914"/>
      <c r="DL71" s="909">
        <v>3912.84</v>
      </c>
      <c r="DM71" s="910">
        <v>0</v>
      </c>
      <c r="DN71" s="910">
        <v>23.29</v>
      </c>
      <c r="DO71" s="910">
        <v>722.01</v>
      </c>
      <c r="DP71" s="910">
        <v>0</v>
      </c>
      <c r="DQ71" s="911">
        <v>4658.1400000000003</v>
      </c>
      <c r="DR71" s="912"/>
      <c r="DS71" s="913"/>
      <c r="DT71" s="913"/>
      <c r="DU71" s="913"/>
      <c r="DV71" s="913"/>
      <c r="DW71" s="914"/>
    </row>
    <row r="72" spans="1:127">
      <c r="A72" s="1107" t="s">
        <v>173</v>
      </c>
      <c r="B72" s="904" t="s">
        <v>174</v>
      </c>
      <c r="C72" s="905">
        <f t="shared" si="10"/>
        <v>195771.62</v>
      </c>
      <c r="D72" s="906">
        <f t="shared" si="8"/>
        <v>38080.83</v>
      </c>
      <c r="E72" s="907">
        <f t="shared" si="11"/>
        <v>16835.36</v>
      </c>
      <c r="F72" s="908">
        <f t="shared" si="9"/>
        <v>16835.78</v>
      </c>
      <c r="G72" s="907">
        <f t="shared" si="9"/>
        <v>-0.42000000000000004</v>
      </c>
      <c r="H72" s="912"/>
      <c r="I72" s="913"/>
      <c r="J72" s="913"/>
      <c r="K72" s="913"/>
      <c r="L72" s="913"/>
      <c r="M72" s="914"/>
      <c r="N72" s="909">
        <v>9771.84</v>
      </c>
      <c r="O72" s="910">
        <v>0</v>
      </c>
      <c r="P72" s="910">
        <v>0</v>
      </c>
      <c r="Q72" s="910">
        <v>2442.9499999999998</v>
      </c>
      <c r="R72" s="910">
        <v>0</v>
      </c>
      <c r="S72" s="911">
        <v>12214.79</v>
      </c>
      <c r="T72" s="909">
        <v>3640.47</v>
      </c>
      <c r="U72" s="910">
        <v>0</v>
      </c>
      <c r="V72" s="910">
        <v>21.68</v>
      </c>
      <c r="W72" s="910">
        <v>671.76</v>
      </c>
      <c r="X72" s="910">
        <v>-0.01</v>
      </c>
      <c r="Y72" s="911">
        <v>4333.8999999999996</v>
      </c>
      <c r="Z72" s="915">
        <v>13048.99</v>
      </c>
      <c r="AA72" s="916">
        <v>0</v>
      </c>
      <c r="AB72" s="916">
        <v>0</v>
      </c>
      <c r="AC72" s="916">
        <v>3262.27</v>
      </c>
      <c r="AD72" s="916">
        <v>0</v>
      </c>
      <c r="AE72" s="917">
        <v>16311.26</v>
      </c>
      <c r="AF72" s="912"/>
      <c r="AG72" s="913"/>
      <c r="AH72" s="913"/>
      <c r="AI72" s="913"/>
      <c r="AJ72" s="913"/>
      <c r="AK72" s="914"/>
      <c r="AL72" s="909">
        <v>3520.81</v>
      </c>
      <c r="AM72" s="910">
        <v>0</v>
      </c>
      <c r="AN72" s="910">
        <v>880.19</v>
      </c>
      <c r="AO72" s="910">
        <v>0</v>
      </c>
      <c r="AP72" s="910">
        <v>0</v>
      </c>
      <c r="AQ72" s="911">
        <v>4401</v>
      </c>
      <c r="AR72" s="909">
        <v>3121.6</v>
      </c>
      <c r="AS72" s="910">
        <v>0</v>
      </c>
      <c r="AT72" s="910">
        <v>780.4</v>
      </c>
      <c r="AU72" s="910">
        <v>0</v>
      </c>
      <c r="AV72" s="910">
        <v>0</v>
      </c>
      <c r="AW72" s="911">
        <v>3902</v>
      </c>
      <c r="AX72" s="912"/>
      <c r="AY72" s="913"/>
      <c r="AZ72" s="913"/>
      <c r="BA72" s="913"/>
      <c r="BB72" s="913"/>
      <c r="BC72" s="914"/>
      <c r="BD72" s="912"/>
      <c r="BE72" s="913"/>
      <c r="BF72" s="913"/>
      <c r="BG72" s="913"/>
      <c r="BH72" s="913"/>
      <c r="BI72" s="914"/>
      <c r="BJ72" s="909">
        <v>13682.85</v>
      </c>
      <c r="BK72" s="910">
        <v>0</v>
      </c>
      <c r="BL72" s="910">
        <v>1733.14</v>
      </c>
      <c r="BM72" s="910">
        <v>2827.81</v>
      </c>
      <c r="BN72" s="910">
        <v>-0.04</v>
      </c>
      <c r="BO72" s="911">
        <v>18243.759999999998</v>
      </c>
      <c r="BP72" s="909">
        <v>21162.13</v>
      </c>
      <c r="BQ72" s="910">
        <v>786.1</v>
      </c>
      <c r="BR72" s="910">
        <v>17767.63</v>
      </c>
      <c r="BS72" s="910">
        <v>2090.3000000000002</v>
      </c>
      <c r="BT72" s="910">
        <v>-0.16</v>
      </c>
      <c r="BU72" s="911">
        <v>41806</v>
      </c>
      <c r="BV72" s="909">
        <v>11872.76</v>
      </c>
      <c r="BW72" s="910">
        <v>0</v>
      </c>
      <c r="BX72" s="910">
        <v>7816.53</v>
      </c>
      <c r="BY72" s="910">
        <v>3611.68</v>
      </c>
      <c r="BZ72" s="910">
        <v>-0.14000000000000001</v>
      </c>
      <c r="CA72" s="911">
        <v>23300.83</v>
      </c>
      <c r="CB72" s="912"/>
      <c r="CC72" s="913"/>
      <c r="CD72" s="913"/>
      <c r="CE72" s="913"/>
      <c r="CF72" s="913"/>
      <c r="CG72" s="914"/>
      <c r="CH72" s="912"/>
      <c r="CI72" s="913"/>
      <c r="CJ72" s="913"/>
      <c r="CK72" s="913"/>
      <c r="CL72" s="913"/>
      <c r="CM72" s="914"/>
      <c r="CN72" s="912"/>
      <c r="CO72" s="913"/>
      <c r="CP72" s="913"/>
      <c r="CQ72" s="913"/>
      <c r="CR72" s="913"/>
      <c r="CS72" s="914"/>
      <c r="CT72" s="909">
        <v>7659.76</v>
      </c>
      <c r="CU72" s="910">
        <v>406.51</v>
      </c>
      <c r="CV72" s="910">
        <v>6529.85</v>
      </c>
      <c r="CW72" s="910">
        <v>768.21</v>
      </c>
      <c r="CX72" s="910">
        <v>-0.06</v>
      </c>
      <c r="CY72" s="911">
        <v>15364.27</v>
      </c>
      <c r="CZ72" s="909">
        <v>89365</v>
      </c>
      <c r="DA72" s="910">
        <v>13956</v>
      </c>
      <c r="DB72" s="910">
        <v>0</v>
      </c>
      <c r="DC72" s="910">
        <v>0</v>
      </c>
      <c r="DD72" s="910">
        <v>0</v>
      </c>
      <c r="DE72" s="911">
        <v>103321</v>
      </c>
      <c r="DF72" s="909">
        <v>3697</v>
      </c>
      <c r="DG72" s="910">
        <v>0</v>
      </c>
      <c r="DH72" s="910">
        <v>2550.9299999999998</v>
      </c>
      <c r="DI72" s="910">
        <v>1146.07</v>
      </c>
      <c r="DJ72" s="910">
        <v>0</v>
      </c>
      <c r="DK72" s="911">
        <v>7394</v>
      </c>
      <c r="DL72" s="909">
        <v>79.8</v>
      </c>
      <c r="DM72" s="910">
        <v>0</v>
      </c>
      <c r="DN72" s="910">
        <v>0.48</v>
      </c>
      <c r="DO72" s="910">
        <v>14.73</v>
      </c>
      <c r="DP72" s="910">
        <v>-0.01</v>
      </c>
      <c r="DQ72" s="911">
        <v>95</v>
      </c>
      <c r="DR72" s="912"/>
      <c r="DS72" s="913"/>
      <c r="DT72" s="913"/>
      <c r="DU72" s="913"/>
      <c r="DV72" s="913"/>
      <c r="DW72" s="914"/>
    </row>
    <row r="73" spans="1:127">
      <c r="A73" s="1107" t="s">
        <v>175</v>
      </c>
      <c r="B73" s="904" t="s">
        <v>176</v>
      </c>
      <c r="C73" s="905">
        <f t="shared" si="10"/>
        <v>191366.81000000003</v>
      </c>
      <c r="D73" s="906">
        <f t="shared" si="8"/>
        <v>39970.769999999997</v>
      </c>
      <c r="E73" s="907">
        <f t="shared" si="11"/>
        <v>23589.85</v>
      </c>
      <c r="F73" s="908">
        <f t="shared" si="9"/>
        <v>23590.199999999997</v>
      </c>
      <c r="G73" s="907">
        <f t="shared" si="9"/>
        <v>-0.35000000000000003</v>
      </c>
      <c r="H73" s="912"/>
      <c r="I73" s="913"/>
      <c r="J73" s="913"/>
      <c r="K73" s="913"/>
      <c r="L73" s="913"/>
      <c r="M73" s="914"/>
      <c r="N73" s="909">
        <v>7471.94</v>
      </c>
      <c r="O73" s="910">
        <v>0</v>
      </c>
      <c r="P73" s="910">
        <v>0</v>
      </c>
      <c r="Q73" s="910">
        <v>1868.01</v>
      </c>
      <c r="R73" s="910">
        <v>0</v>
      </c>
      <c r="S73" s="911">
        <v>9339.9500000000007</v>
      </c>
      <c r="T73" s="909">
        <v>1117.29</v>
      </c>
      <c r="U73" s="910">
        <v>0</v>
      </c>
      <c r="V73" s="910">
        <v>6.65</v>
      </c>
      <c r="W73" s="910">
        <v>206.17</v>
      </c>
      <c r="X73" s="910">
        <v>0</v>
      </c>
      <c r="Y73" s="911">
        <v>1330.11</v>
      </c>
      <c r="Z73" s="915">
        <v>22563.41</v>
      </c>
      <c r="AA73" s="916">
        <v>0</v>
      </c>
      <c r="AB73" s="916">
        <v>0</v>
      </c>
      <c r="AC73" s="916">
        <v>5640.83</v>
      </c>
      <c r="AD73" s="916">
        <v>0</v>
      </c>
      <c r="AE73" s="917">
        <v>28204.240000000002</v>
      </c>
      <c r="AF73" s="912"/>
      <c r="AG73" s="913"/>
      <c r="AH73" s="913"/>
      <c r="AI73" s="913"/>
      <c r="AJ73" s="913"/>
      <c r="AK73" s="914"/>
      <c r="AL73" s="909">
        <v>60</v>
      </c>
      <c r="AM73" s="910">
        <v>0</v>
      </c>
      <c r="AN73" s="910">
        <v>15</v>
      </c>
      <c r="AO73" s="910">
        <v>0</v>
      </c>
      <c r="AP73" s="910">
        <v>0</v>
      </c>
      <c r="AQ73" s="911">
        <v>75</v>
      </c>
      <c r="AR73" s="912"/>
      <c r="AS73" s="913"/>
      <c r="AT73" s="913"/>
      <c r="AU73" s="913"/>
      <c r="AV73" s="913"/>
      <c r="AW73" s="914"/>
      <c r="AX73" s="912"/>
      <c r="AY73" s="913"/>
      <c r="AZ73" s="913"/>
      <c r="BA73" s="913"/>
      <c r="BB73" s="913"/>
      <c r="BC73" s="914"/>
      <c r="BD73" s="912"/>
      <c r="BE73" s="913"/>
      <c r="BF73" s="913"/>
      <c r="BG73" s="913"/>
      <c r="BH73" s="913"/>
      <c r="BI73" s="914"/>
      <c r="BJ73" s="909">
        <v>11433.21</v>
      </c>
      <c r="BK73" s="910">
        <v>0</v>
      </c>
      <c r="BL73" s="910">
        <v>1448.23</v>
      </c>
      <c r="BM73" s="910">
        <v>2362.88</v>
      </c>
      <c r="BN73" s="910">
        <v>-0.05</v>
      </c>
      <c r="BO73" s="911">
        <v>15244.27</v>
      </c>
      <c r="BP73" s="909">
        <v>19625.689999999999</v>
      </c>
      <c r="BQ73" s="910">
        <v>801.1</v>
      </c>
      <c r="BR73" s="910">
        <v>16535.990000000002</v>
      </c>
      <c r="BS73" s="910">
        <v>1945.4</v>
      </c>
      <c r="BT73" s="910">
        <v>-0.18</v>
      </c>
      <c r="BU73" s="911">
        <v>38908</v>
      </c>
      <c r="BV73" s="909">
        <v>27571.62</v>
      </c>
      <c r="BW73" s="910">
        <v>0</v>
      </c>
      <c r="BX73" s="910">
        <v>18875.72</v>
      </c>
      <c r="BY73" s="910">
        <v>8519.9699999999993</v>
      </c>
      <c r="BZ73" s="910">
        <v>-0.16</v>
      </c>
      <c r="CA73" s="911">
        <v>54967.15</v>
      </c>
      <c r="CB73" s="912"/>
      <c r="CC73" s="913"/>
      <c r="CD73" s="913"/>
      <c r="CE73" s="913"/>
      <c r="CF73" s="913"/>
      <c r="CG73" s="914"/>
      <c r="CH73" s="912"/>
      <c r="CI73" s="913"/>
      <c r="CJ73" s="913"/>
      <c r="CK73" s="913"/>
      <c r="CL73" s="913"/>
      <c r="CM73" s="914"/>
      <c r="CN73" s="909">
        <v>5230</v>
      </c>
      <c r="CO73" s="910">
        <v>0</v>
      </c>
      <c r="CP73" s="910">
        <v>0</v>
      </c>
      <c r="CQ73" s="910">
        <v>0</v>
      </c>
      <c r="CR73" s="910">
        <v>0</v>
      </c>
      <c r="CS73" s="911">
        <v>5230</v>
      </c>
      <c r="CT73" s="912"/>
      <c r="CU73" s="913"/>
      <c r="CV73" s="913"/>
      <c r="CW73" s="913"/>
      <c r="CX73" s="913"/>
      <c r="CY73" s="914"/>
      <c r="CZ73" s="909">
        <v>74547</v>
      </c>
      <c r="DA73" s="910">
        <v>7424</v>
      </c>
      <c r="DB73" s="910">
        <v>0</v>
      </c>
      <c r="DC73" s="910">
        <v>0</v>
      </c>
      <c r="DD73" s="910">
        <v>0</v>
      </c>
      <c r="DE73" s="911">
        <v>81971</v>
      </c>
      <c r="DF73" s="909">
        <v>4398.45</v>
      </c>
      <c r="DG73" s="910">
        <v>0</v>
      </c>
      <c r="DH73" s="910">
        <v>3034.91</v>
      </c>
      <c r="DI73" s="910">
        <v>1363.52</v>
      </c>
      <c r="DJ73" s="910">
        <v>-0.01</v>
      </c>
      <c r="DK73" s="911">
        <v>8796.8700000000008</v>
      </c>
      <c r="DL73" s="909">
        <v>9123.1</v>
      </c>
      <c r="DM73" s="910">
        <v>0</v>
      </c>
      <c r="DN73" s="910">
        <v>54.27</v>
      </c>
      <c r="DO73" s="910">
        <v>1683.42</v>
      </c>
      <c r="DP73" s="910">
        <v>0.05</v>
      </c>
      <c r="DQ73" s="911">
        <v>10860.84</v>
      </c>
      <c r="DR73" s="912"/>
      <c r="DS73" s="913"/>
      <c r="DT73" s="913"/>
      <c r="DU73" s="913"/>
      <c r="DV73" s="913"/>
      <c r="DW73" s="914"/>
    </row>
    <row r="74" spans="1:127">
      <c r="A74" s="1107" t="s">
        <v>179</v>
      </c>
      <c r="B74" s="904" t="s">
        <v>180</v>
      </c>
      <c r="C74" s="905">
        <f t="shared" si="10"/>
        <v>551607.62</v>
      </c>
      <c r="D74" s="906">
        <f t="shared" si="8"/>
        <v>75761.22</v>
      </c>
      <c r="E74" s="907">
        <f t="shared" si="11"/>
        <v>46380.35</v>
      </c>
      <c r="F74" s="908">
        <f t="shared" si="9"/>
        <v>45644.6</v>
      </c>
      <c r="G74" s="907">
        <f t="shared" si="9"/>
        <v>735.75</v>
      </c>
      <c r="H74" s="912"/>
      <c r="I74" s="913"/>
      <c r="J74" s="913"/>
      <c r="K74" s="913"/>
      <c r="L74" s="913"/>
      <c r="M74" s="914"/>
      <c r="N74" s="909">
        <v>21634.47</v>
      </c>
      <c r="O74" s="910">
        <v>0</v>
      </c>
      <c r="P74" s="910">
        <v>0</v>
      </c>
      <c r="Q74" s="910">
        <v>5408.62</v>
      </c>
      <c r="R74" s="910">
        <v>0</v>
      </c>
      <c r="S74" s="911">
        <v>27043.09</v>
      </c>
      <c r="T74" s="909">
        <v>6906.78</v>
      </c>
      <c r="U74" s="910">
        <v>0</v>
      </c>
      <c r="V74" s="910">
        <v>41.1</v>
      </c>
      <c r="W74" s="910">
        <v>1274.47</v>
      </c>
      <c r="X74" s="910">
        <v>0.02</v>
      </c>
      <c r="Y74" s="911">
        <v>8222.3700000000008</v>
      </c>
      <c r="Z74" s="915">
        <v>60811.02</v>
      </c>
      <c r="AA74" s="916">
        <v>0</v>
      </c>
      <c r="AB74" s="916">
        <v>0</v>
      </c>
      <c r="AC74" s="916">
        <v>15202.74</v>
      </c>
      <c r="AD74" s="916">
        <v>0</v>
      </c>
      <c r="AE74" s="917">
        <v>76013.759999999995</v>
      </c>
      <c r="AF74" s="909">
        <v>10601.59</v>
      </c>
      <c r="AG74" s="910">
        <v>0</v>
      </c>
      <c r="AH74" s="910">
        <v>3421.86</v>
      </c>
      <c r="AI74" s="910">
        <v>2572.33</v>
      </c>
      <c r="AJ74" s="910">
        <v>-0.01</v>
      </c>
      <c r="AK74" s="911">
        <v>16595.77</v>
      </c>
      <c r="AL74" s="909">
        <v>3520.8</v>
      </c>
      <c r="AM74" s="910">
        <v>0</v>
      </c>
      <c r="AN74" s="910">
        <v>880.2</v>
      </c>
      <c r="AO74" s="910">
        <v>0</v>
      </c>
      <c r="AP74" s="910">
        <v>108.41</v>
      </c>
      <c r="AQ74" s="911">
        <v>4509.41</v>
      </c>
      <c r="AR74" s="909">
        <v>5519.36</v>
      </c>
      <c r="AS74" s="910">
        <v>0</v>
      </c>
      <c r="AT74" s="910">
        <v>1379.82</v>
      </c>
      <c r="AU74" s="910">
        <v>0</v>
      </c>
      <c r="AV74" s="910">
        <v>0</v>
      </c>
      <c r="AW74" s="911">
        <v>6899.18</v>
      </c>
      <c r="AX74" s="912"/>
      <c r="AY74" s="913"/>
      <c r="AZ74" s="913"/>
      <c r="BA74" s="913"/>
      <c r="BB74" s="913"/>
      <c r="BC74" s="914"/>
      <c r="BD74" s="909">
        <v>49.9</v>
      </c>
      <c r="BE74" s="910">
        <v>0</v>
      </c>
      <c r="BF74" s="910">
        <v>450.1</v>
      </c>
      <c r="BG74" s="910">
        <v>0</v>
      </c>
      <c r="BH74" s="910">
        <v>0</v>
      </c>
      <c r="BI74" s="911">
        <v>500</v>
      </c>
      <c r="BJ74" s="909">
        <v>30578.400000000001</v>
      </c>
      <c r="BK74" s="910">
        <v>0</v>
      </c>
      <c r="BL74" s="910">
        <v>3873.28</v>
      </c>
      <c r="BM74" s="910">
        <v>6319.56</v>
      </c>
      <c r="BN74" s="910">
        <v>-7.0000000000000007E-2</v>
      </c>
      <c r="BO74" s="911">
        <v>40771.17</v>
      </c>
      <c r="BP74" s="909">
        <v>60588.65</v>
      </c>
      <c r="BQ74" s="910">
        <v>2720.63</v>
      </c>
      <c r="BR74" s="910">
        <v>51250.400000000001</v>
      </c>
      <c r="BS74" s="910">
        <v>6029.44</v>
      </c>
      <c r="BT74" s="910">
        <v>389.65</v>
      </c>
      <c r="BU74" s="911">
        <v>120978.77</v>
      </c>
      <c r="BV74" s="909">
        <v>12991.67</v>
      </c>
      <c r="BW74" s="910">
        <v>0</v>
      </c>
      <c r="BX74" s="910">
        <v>8693.9</v>
      </c>
      <c r="BY74" s="910">
        <v>3977.92</v>
      </c>
      <c r="BZ74" s="910">
        <v>-0.21</v>
      </c>
      <c r="CA74" s="911">
        <v>25663.279999999999</v>
      </c>
      <c r="CB74" s="909">
        <v>326.62</v>
      </c>
      <c r="CC74" s="910">
        <v>0</v>
      </c>
      <c r="CD74" s="910">
        <v>0</v>
      </c>
      <c r="CE74" s="910">
        <v>563.38</v>
      </c>
      <c r="CF74" s="910">
        <v>0</v>
      </c>
      <c r="CG74" s="911">
        <v>890</v>
      </c>
      <c r="CH74" s="912"/>
      <c r="CI74" s="913"/>
      <c r="CJ74" s="913"/>
      <c r="CK74" s="913"/>
      <c r="CL74" s="913"/>
      <c r="CM74" s="914"/>
      <c r="CN74" s="909">
        <v>8649.6</v>
      </c>
      <c r="CO74" s="910">
        <v>0</v>
      </c>
      <c r="CP74" s="910">
        <v>0</v>
      </c>
      <c r="CQ74" s="910">
        <v>0</v>
      </c>
      <c r="CR74" s="910">
        <v>0</v>
      </c>
      <c r="CS74" s="911">
        <v>8649.6</v>
      </c>
      <c r="CT74" s="909">
        <v>1308.31</v>
      </c>
      <c r="CU74" s="910">
        <v>18.899999999999999</v>
      </c>
      <c r="CV74" s="910">
        <v>1074.4100000000001</v>
      </c>
      <c r="CW74" s="910">
        <v>126.4</v>
      </c>
      <c r="CX74" s="910">
        <v>-0.02</v>
      </c>
      <c r="CY74" s="911">
        <v>2528</v>
      </c>
      <c r="CZ74" s="909">
        <v>266803.3</v>
      </c>
      <c r="DA74" s="910">
        <v>40541.9</v>
      </c>
      <c r="DB74" s="910">
        <v>0</v>
      </c>
      <c r="DC74" s="910">
        <v>0</v>
      </c>
      <c r="DD74" s="910">
        <v>0</v>
      </c>
      <c r="DE74" s="911">
        <v>307345.2</v>
      </c>
      <c r="DF74" s="909">
        <v>6708.32</v>
      </c>
      <c r="DG74" s="910">
        <v>0</v>
      </c>
      <c r="DH74" s="910">
        <v>4628.72</v>
      </c>
      <c r="DI74" s="910">
        <v>2079.5700000000002</v>
      </c>
      <c r="DJ74" s="910">
        <v>0</v>
      </c>
      <c r="DK74" s="911">
        <v>13416.61</v>
      </c>
      <c r="DL74" s="909">
        <v>11327.4</v>
      </c>
      <c r="DM74" s="910">
        <v>0</v>
      </c>
      <c r="DN74" s="910">
        <v>67.430000000000007</v>
      </c>
      <c r="DO74" s="910">
        <v>2090.17</v>
      </c>
      <c r="DP74" s="910">
        <v>237.98</v>
      </c>
      <c r="DQ74" s="911">
        <v>13722.98</v>
      </c>
      <c r="DR74" s="912"/>
      <c r="DS74" s="913"/>
      <c r="DT74" s="913"/>
      <c r="DU74" s="913"/>
      <c r="DV74" s="913"/>
      <c r="DW74" s="914"/>
    </row>
    <row r="75" spans="1:127">
      <c r="A75" s="1107" t="s">
        <v>183</v>
      </c>
      <c r="B75" s="904" t="s">
        <v>184</v>
      </c>
      <c r="C75" s="905">
        <f t="shared" si="10"/>
        <v>135049.81</v>
      </c>
      <c r="D75" s="906">
        <f t="shared" si="8"/>
        <v>35929.61</v>
      </c>
      <c r="E75" s="907">
        <f t="shared" si="11"/>
        <v>11987.039999999997</v>
      </c>
      <c r="F75" s="908">
        <f t="shared" si="9"/>
        <v>10748.659999999998</v>
      </c>
      <c r="G75" s="907">
        <f t="shared" si="9"/>
        <v>1238.3799999999999</v>
      </c>
      <c r="H75" s="912"/>
      <c r="I75" s="913"/>
      <c r="J75" s="913"/>
      <c r="K75" s="913"/>
      <c r="L75" s="913"/>
      <c r="M75" s="914"/>
      <c r="N75" s="909">
        <v>75.25</v>
      </c>
      <c r="O75" s="910">
        <v>0</v>
      </c>
      <c r="P75" s="910">
        <v>0</v>
      </c>
      <c r="Q75" s="910">
        <v>18.809999999999999</v>
      </c>
      <c r="R75" s="910">
        <v>0</v>
      </c>
      <c r="S75" s="911">
        <v>94.06</v>
      </c>
      <c r="T75" s="912"/>
      <c r="U75" s="913"/>
      <c r="V75" s="913"/>
      <c r="W75" s="913"/>
      <c r="X75" s="913"/>
      <c r="Y75" s="914"/>
      <c r="Z75" s="915">
        <v>7211.47</v>
      </c>
      <c r="AA75" s="916">
        <v>0</v>
      </c>
      <c r="AB75" s="916">
        <v>0</v>
      </c>
      <c r="AC75" s="916">
        <v>1802.86</v>
      </c>
      <c r="AD75" s="916">
        <v>0</v>
      </c>
      <c r="AE75" s="917">
        <v>9014.33</v>
      </c>
      <c r="AF75" s="912"/>
      <c r="AG75" s="913"/>
      <c r="AH75" s="913"/>
      <c r="AI75" s="913"/>
      <c r="AJ75" s="913"/>
      <c r="AK75" s="914"/>
      <c r="AL75" s="912"/>
      <c r="AM75" s="913"/>
      <c r="AN75" s="913"/>
      <c r="AO75" s="913"/>
      <c r="AP75" s="913"/>
      <c r="AQ75" s="914"/>
      <c r="AR75" s="912"/>
      <c r="AS75" s="913"/>
      <c r="AT75" s="913"/>
      <c r="AU75" s="913"/>
      <c r="AV75" s="913"/>
      <c r="AW75" s="914"/>
      <c r="AX75" s="912"/>
      <c r="AY75" s="913"/>
      <c r="AZ75" s="913"/>
      <c r="BA75" s="913"/>
      <c r="BB75" s="913"/>
      <c r="BC75" s="914"/>
      <c r="BD75" s="912"/>
      <c r="BE75" s="913"/>
      <c r="BF75" s="913"/>
      <c r="BG75" s="913"/>
      <c r="BH75" s="913"/>
      <c r="BI75" s="914"/>
      <c r="BJ75" s="909">
        <v>14577.84</v>
      </c>
      <c r="BK75" s="910">
        <v>0</v>
      </c>
      <c r="BL75" s="910">
        <v>1846.53</v>
      </c>
      <c r="BM75" s="910">
        <v>3012.76</v>
      </c>
      <c r="BN75" s="910">
        <v>-0.02</v>
      </c>
      <c r="BO75" s="911">
        <v>19437.11</v>
      </c>
      <c r="BP75" s="909">
        <v>31376.12</v>
      </c>
      <c r="BQ75" s="910">
        <v>1321.86</v>
      </c>
      <c r="BR75" s="910">
        <v>26469.81</v>
      </c>
      <c r="BS75" s="910">
        <v>3114.09</v>
      </c>
      <c r="BT75" s="910">
        <v>1101.3</v>
      </c>
      <c r="BU75" s="911">
        <v>63383.18</v>
      </c>
      <c r="BV75" s="909">
        <v>5035.04</v>
      </c>
      <c r="BW75" s="910">
        <v>0</v>
      </c>
      <c r="BX75" s="910">
        <v>3431.91</v>
      </c>
      <c r="BY75" s="910">
        <v>1553.12</v>
      </c>
      <c r="BZ75" s="910">
        <v>137.11000000000001</v>
      </c>
      <c r="CA75" s="911">
        <v>10157.18</v>
      </c>
      <c r="CB75" s="912"/>
      <c r="CC75" s="913"/>
      <c r="CD75" s="913"/>
      <c r="CE75" s="913"/>
      <c r="CF75" s="913"/>
      <c r="CG75" s="914"/>
      <c r="CH75" s="912"/>
      <c r="CI75" s="913"/>
      <c r="CJ75" s="913"/>
      <c r="CK75" s="913"/>
      <c r="CL75" s="913"/>
      <c r="CM75" s="914"/>
      <c r="CN75" s="909">
        <v>15846.4</v>
      </c>
      <c r="CO75" s="910">
        <v>0</v>
      </c>
      <c r="CP75" s="910">
        <v>0</v>
      </c>
      <c r="CQ75" s="910">
        <v>0</v>
      </c>
      <c r="CR75" s="910">
        <v>0</v>
      </c>
      <c r="CS75" s="911">
        <v>15846.4</v>
      </c>
      <c r="CT75" s="909">
        <v>2352.5300000000002</v>
      </c>
      <c r="CU75" s="910">
        <v>0</v>
      </c>
      <c r="CV75" s="910">
        <v>1904.43</v>
      </c>
      <c r="CW75" s="910">
        <v>224.05</v>
      </c>
      <c r="CX75" s="910">
        <v>-0.01</v>
      </c>
      <c r="CY75" s="911">
        <v>4481</v>
      </c>
      <c r="CZ75" s="909">
        <v>47044.3</v>
      </c>
      <c r="DA75" s="910">
        <v>6909.1</v>
      </c>
      <c r="DB75" s="910">
        <v>0</v>
      </c>
      <c r="DC75" s="910">
        <v>0</v>
      </c>
      <c r="DD75" s="910">
        <v>0</v>
      </c>
      <c r="DE75" s="911">
        <v>53953.4</v>
      </c>
      <c r="DF75" s="909">
        <v>3299.9</v>
      </c>
      <c r="DG75" s="910">
        <v>0</v>
      </c>
      <c r="DH75" s="910">
        <v>2276.9299999999998</v>
      </c>
      <c r="DI75" s="910">
        <v>1022.97</v>
      </c>
      <c r="DJ75" s="910">
        <v>0</v>
      </c>
      <c r="DK75" s="911">
        <v>6599.8</v>
      </c>
      <c r="DL75" s="912"/>
      <c r="DM75" s="913"/>
      <c r="DN75" s="913"/>
      <c r="DO75" s="913"/>
      <c r="DP75" s="913"/>
      <c r="DQ75" s="914"/>
      <c r="DR75" s="912"/>
      <c r="DS75" s="913"/>
      <c r="DT75" s="913"/>
      <c r="DU75" s="913"/>
      <c r="DV75" s="913"/>
      <c r="DW75" s="914"/>
    </row>
    <row r="76" spans="1:127">
      <c r="A76" s="1107" t="s">
        <v>185</v>
      </c>
      <c r="B76" s="904" t="s">
        <v>186</v>
      </c>
      <c r="C76" s="905">
        <f t="shared" si="10"/>
        <v>226929.93999999997</v>
      </c>
      <c r="D76" s="906">
        <f t="shared" si="8"/>
        <v>83818.39</v>
      </c>
      <c r="E76" s="907">
        <f t="shared" si="11"/>
        <v>30576.03</v>
      </c>
      <c r="F76" s="908">
        <f t="shared" si="9"/>
        <v>30576.39</v>
      </c>
      <c r="G76" s="907">
        <f t="shared" si="9"/>
        <v>-0.36000000000000004</v>
      </c>
      <c r="H76" s="912"/>
      <c r="I76" s="913"/>
      <c r="J76" s="913"/>
      <c r="K76" s="913"/>
      <c r="L76" s="913"/>
      <c r="M76" s="914"/>
      <c r="N76" s="909">
        <v>8994.6</v>
      </c>
      <c r="O76" s="910">
        <v>0</v>
      </c>
      <c r="P76" s="910">
        <v>0</v>
      </c>
      <c r="Q76" s="910">
        <v>2248.66</v>
      </c>
      <c r="R76" s="910">
        <v>0</v>
      </c>
      <c r="S76" s="911">
        <v>11243.26</v>
      </c>
      <c r="T76" s="909">
        <v>2690.19</v>
      </c>
      <c r="U76" s="910">
        <v>0</v>
      </c>
      <c r="V76" s="910">
        <v>16.02</v>
      </c>
      <c r="W76" s="910">
        <v>496.4</v>
      </c>
      <c r="X76" s="910">
        <v>-0.01</v>
      </c>
      <c r="Y76" s="911">
        <v>3202.6</v>
      </c>
      <c r="Z76" s="915">
        <v>10885.32</v>
      </c>
      <c r="AA76" s="916">
        <v>0</v>
      </c>
      <c r="AB76" s="916">
        <v>0</v>
      </c>
      <c r="AC76" s="916">
        <v>2721.29</v>
      </c>
      <c r="AD76" s="916">
        <v>0</v>
      </c>
      <c r="AE76" s="917">
        <v>13606.61</v>
      </c>
      <c r="AF76" s="912"/>
      <c r="AG76" s="913"/>
      <c r="AH76" s="913"/>
      <c r="AI76" s="913"/>
      <c r="AJ76" s="913"/>
      <c r="AK76" s="914"/>
      <c r="AL76" s="909">
        <v>1164</v>
      </c>
      <c r="AM76" s="910">
        <v>0</v>
      </c>
      <c r="AN76" s="910">
        <v>291</v>
      </c>
      <c r="AO76" s="910">
        <v>0</v>
      </c>
      <c r="AP76" s="910">
        <v>0</v>
      </c>
      <c r="AQ76" s="911">
        <v>1455</v>
      </c>
      <c r="AR76" s="909">
        <v>1425.96</v>
      </c>
      <c r="AS76" s="910">
        <v>0</v>
      </c>
      <c r="AT76" s="910">
        <v>356.5</v>
      </c>
      <c r="AU76" s="910">
        <v>0</v>
      </c>
      <c r="AV76" s="910">
        <v>0</v>
      </c>
      <c r="AW76" s="911">
        <v>1782.46</v>
      </c>
      <c r="AX76" s="912"/>
      <c r="AY76" s="913"/>
      <c r="AZ76" s="913"/>
      <c r="BA76" s="913"/>
      <c r="BB76" s="913"/>
      <c r="BC76" s="914"/>
      <c r="BD76" s="912"/>
      <c r="BE76" s="913"/>
      <c r="BF76" s="913"/>
      <c r="BG76" s="913"/>
      <c r="BH76" s="913"/>
      <c r="BI76" s="914"/>
      <c r="BJ76" s="909">
        <v>7520.73</v>
      </c>
      <c r="BK76" s="910">
        <v>0</v>
      </c>
      <c r="BL76" s="910">
        <v>952.62</v>
      </c>
      <c r="BM76" s="910">
        <v>1554.29</v>
      </c>
      <c r="BN76" s="910">
        <v>0</v>
      </c>
      <c r="BO76" s="911">
        <v>10027.64</v>
      </c>
      <c r="BP76" s="909">
        <v>49135.21</v>
      </c>
      <c r="BQ76" s="910">
        <v>1672.73</v>
      </c>
      <c r="BR76" s="910">
        <v>41130.25</v>
      </c>
      <c r="BS76" s="910">
        <v>4838.84</v>
      </c>
      <c r="BT76" s="910">
        <v>-0.27</v>
      </c>
      <c r="BU76" s="911">
        <v>96776.76</v>
      </c>
      <c r="BV76" s="909">
        <v>56811.11</v>
      </c>
      <c r="BW76" s="910">
        <v>0</v>
      </c>
      <c r="BX76" s="910">
        <v>38595.269999999997</v>
      </c>
      <c r="BY76" s="910">
        <v>17500.560000000001</v>
      </c>
      <c r="BZ76" s="910">
        <v>-0.06</v>
      </c>
      <c r="CA76" s="911">
        <v>112906.88</v>
      </c>
      <c r="CB76" s="912"/>
      <c r="CC76" s="913"/>
      <c r="CD76" s="913"/>
      <c r="CE76" s="913"/>
      <c r="CF76" s="913"/>
      <c r="CG76" s="914"/>
      <c r="CH76" s="912"/>
      <c r="CI76" s="913"/>
      <c r="CJ76" s="913"/>
      <c r="CK76" s="913"/>
      <c r="CL76" s="913"/>
      <c r="CM76" s="914"/>
      <c r="CN76" s="912"/>
      <c r="CO76" s="913"/>
      <c r="CP76" s="913"/>
      <c r="CQ76" s="913"/>
      <c r="CR76" s="913"/>
      <c r="CS76" s="914"/>
      <c r="CT76" s="909">
        <v>232.93</v>
      </c>
      <c r="CU76" s="910">
        <v>7</v>
      </c>
      <c r="CV76" s="910">
        <v>194.23</v>
      </c>
      <c r="CW76" s="910">
        <v>22.85</v>
      </c>
      <c r="CX76" s="910">
        <v>-0.01</v>
      </c>
      <c r="CY76" s="911">
        <v>457</v>
      </c>
      <c r="CZ76" s="909">
        <v>70772.39</v>
      </c>
      <c r="DA76" s="910">
        <v>11393.77</v>
      </c>
      <c r="DB76" s="910">
        <v>0</v>
      </c>
      <c r="DC76" s="910">
        <v>0</v>
      </c>
      <c r="DD76" s="910">
        <v>-0.01</v>
      </c>
      <c r="DE76" s="911">
        <v>82166.149999999994</v>
      </c>
      <c r="DF76" s="909">
        <v>3300</v>
      </c>
      <c r="DG76" s="910">
        <v>0</v>
      </c>
      <c r="DH76" s="910">
        <v>2277</v>
      </c>
      <c r="DI76" s="910">
        <v>1023</v>
      </c>
      <c r="DJ76" s="910">
        <v>0</v>
      </c>
      <c r="DK76" s="911">
        <v>6600</v>
      </c>
      <c r="DL76" s="909">
        <v>924</v>
      </c>
      <c r="DM76" s="910">
        <v>0</v>
      </c>
      <c r="DN76" s="910">
        <v>5.5</v>
      </c>
      <c r="DO76" s="910">
        <v>170.5</v>
      </c>
      <c r="DP76" s="910">
        <v>0</v>
      </c>
      <c r="DQ76" s="911">
        <v>1100</v>
      </c>
      <c r="DR76" s="912"/>
      <c r="DS76" s="913"/>
      <c r="DT76" s="913"/>
      <c r="DU76" s="913"/>
      <c r="DV76" s="913"/>
      <c r="DW76" s="914"/>
    </row>
    <row r="77" spans="1:127">
      <c r="A77" s="1107" t="s">
        <v>187</v>
      </c>
      <c r="B77" s="904" t="s">
        <v>188</v>
      </c>
      <c r="C77" s="905">
        <f t="shared" si="10"/>
        <v>82268.970000000016</v>
      </c>
      <c r="D77" s="906">
        <f t="shared" si="8"/>
        <v>22591.3</v>
      </c>
      <c r="E77" s="907">
        <f t="shared" si="11"/>
        <v>6566.7000000000007</v>
      </c>
      <c r="F77" s="908">
        <f t="shared" si="9"/>
        <v>6566.93</v>
      </c>
      <c r="G77" s="907">
        <f t="shared" si="9"/>
        <v>-0.22999999999999998</v>
      </c>
      <c r="H77" s="912"/>
      <c r="I77" s="913"/>
      <c r="J77" s="913"/>
      <c r="K77" s="913"/>
      <c r="L77" s="913"/>
      <c r="M77" s="914"/>
      <c r="N77" s="909">
        <v>205.43</v>
      </c>
      <c r="O77" s="910">
        <v>0</v>
      </c>
      <c r="P77" s="910">
        <v>0</v>
      </c>
      <c r="Q77" s="910">
        <v>51.36</v>
      </c>
      <c r="R77" s="910">
        <v>0</v>
      </c>
      <c r="S77" s="911">
        <v>256.79000000000002</v>
      </c>
      <c r="T77" s="912"/>
      <c r="U77" s="913"/>
      <c r="V77" s="913"/>
      <c r="W77" s="913"/>
      <c r="X77" s="913"/>
      <c r="Y77" s="914"/>
      <c r="Z77" s="915">
        <v>852.64</v>
      </c>
      <c r="AA77" s="916">
        <v>0</v>
      </c>
      <c r="AB77" s="916">
        <v>0</v>
      </c>
      <c r="AC77" s="916">
        <v>213.16</v>
      </c>
      <c r="AD77" s="916">
        <v>0</v>
      </c>
      <c r="AE77" s="917">
        <v>1065.8</v>
      </c>
      <c r="AF77" s="912"/>
      <c r="AG77" s="913"/>
      <c r="AH77" s="913"/>
      <c r="AI77" s="913"/>
      <c r="AJ77" s="913"/>
      <c r="AK77" s="914"/>
      <c r="AL77" s="909">
        <v>-241.7</v>
      </c>
      <c r="AM77" s="910">
        <v>0</v>
      </c>
      <c r="AN77" s="910">
        <v>-60.43</v>
      </c>
      <c r="AO77" s="910">
        <v>0</v>
      </c>
      <c r="AP77" s="910">
        <v>0</v>
      </c>
      <c r="AQ77" s="911">
        <v>-302.13</v>
      </c>
      <c r="AR77" s="912"/>
      <c r="AS77" s="913"/>
      <c r="AT77" s="913"/>
      <c r="AU77" s="913"/>
      <c r="AV77" s="913"/>
      <c r="AW77" s="914"/>
      <c r="AX77" s="912"/>
      <c r="AY77" s="913"/>
      <c r="AZ77" s="913"/>
      <c r="BA77" s="913"/>
      <c r="BB77" s="913"/>
      <c r="BC77" s="914"/>
      <c r="BD77" s="912"/>
      <c r="BE77" s="913"/>
      <c r="BF77" s="913"/>
      <c r="BG77" s="913"/>
      <c r="BH77" s="913"/>
      <c r="BI77" s="914"/>
      <c r="BJ77" s="909">
        <v>8727.42</v>
      </c>
      <c r="BK77" s="910">
        <v>0</v>
      </c>
      <c r="BL77" s="910">
        <v>1105.48</v>
      </c>
      <c r="BM77" s="910">
        <v>1803.66</v>
      </c>
      <c r="BN77" s="910">
        <v>-0.02</v>
      </c>
      <c r="BO77" s="911">
        <v>11636.54</v>
      </c>
      <c r="BP77" s="909">
        <v>19313.48</v>
      </c>
      <c r="BQ77" s="910">
        <v>570.65</v>
      </c>
      <c r="BR77" s="910">
        <v>16096.69</v>
      </c>
      <c r="BS77" s="910">
        <v>1893.72</v>
      </c>
      <c r="BT77" s="910">
        <v>-0.14000000000000001</v>
      </c>
      <c r="BU77" s="911">
        <v>37874.400000000001</v>
      </c>
      <c r="BV77" s="909">
        <v>8119.66</v>
      </c>
      <c r="BW77" s="910">
        <v>0</v>
      </c>
      <c r="BX77" s="910">
        <v>5445.8</v>
      </c>
      <c r="BY77" s="910">
        <v>2488.37</v>
      </c>
      <c r="BZ77" s="910">
        <v>-0.08</v>
      </c>
      <c r="CA77" s="911">
        <v>16053.75</v>
      </c>
      <c r="CB77" s="912"/>
      <c r="CC77" s="913"/>
      <c r="CD77" s="913"/>
      <c r="CE77" s="913"/>
      <c r="CF77" s="913"/>
      <c r="CG77" s="914"/>
      <c r="CH77" s="912"/>
      <c r="CI77" s="913"/>
      <c r="CJ77" s="913"/>
      <c r="CK77" s="913"/>
      <c r="CL77" s="913"/>
      <c r="CM77" s="914"/>
      <c r="CN77" s="912"/>
      <c r="CO77" s="913"/>
      <c r="CP77" s="913"/>
      <c r="CQ77" s="913"/>
      <c r="CR77" s="913"/>
      <c r="CS77" s="914"/>
      <c r="CT77" s="912"/>
      <c r="CU77" s="913"/>
      <c r="CV77" s="913"/>
      <c r="CW77" s="913"/>
      <c r="CX77" s="913"/>
      <c r="CY77" s="914"/>
      <c r="CZ77" s="909">
        <v>42549.65</v>
      </c>
      <c r="DA77" s="910">
        <v>1539.5</v>
      </c>
      <c r="DB77" s="910">
        <v>0</v>
      </c>
      <c r="DC77" s="910">
        <v>0</v>
      </c>
      <c r="DD77" s="910">
        <v>0</v>
      </c>
      <c r="DE77" s="911">
        <v>44089.15</v>
      </c>
      <c r="DF77" s="912"/>
      <c r="DG77" s="913"/>
      <c r="DH77" s="913"/>
      <c r="DI77" s="913"/>
      <c r="DJ77" s="913"/>
      <c r="DK77" s="914"/>
      <c r="DL77" s="909">
        <v>632.24</v>
      </c>
      <c r="DM77" s="910">
        <v>0</v>
      </c>
      <c r="DN77" s="910">
        <v>3.76</v>
      </c>
      <c r="DO77" s="910">
        <v>116.66</v>
      </c>
      <c r="DP77" s="910">
        <v>0.01</v>
      </c>
      <c r="DQ77" s="911">
        <v>752.67</v>
      </c>
      <c r="DR77" s="912"/>
      <c r="DS77" s="913"/>
      <c r="DT77" s="913"/>
      <c r="DU77" s="913"/>
      <c r="DV77" s="913"/>
      <c r="DW77" s="914"/>
    </row>
    <row r="78" spans="1:127">
      <c r="A78" s="1107" t="s">
        <v>189</v>
      </c>
      <c r="B78" s="904" t="s">
        <v>190</v>
      </c>
      <c r="C78" s="905">
        <f t="shared" si="10"/>
        <v>4617140.5699999994</v>
      </c>
      <c r="D78" s="906">
        <f t="shared" si="8"/>
        <v>1918620.1400000001</v>
      </c>
      <c r="E78" s="907">
        <f t="shared" si="11"/>
        <v>327630.13000000006</v>
      </c>
      <c r="F78" s="908">
        <f t="shared" si="9"/>
        <v>327630.93000000005</v>
      </c>
      <c r="G78" s="907">
        <f t="shared" si="9"/>
        <v>-0.8</v>
      </c>
      <c r="H78" s="912"/>
      <c r="I78" s="913"/>
      <c r="J78" s="913"/>
      <c r="K78" s="913"/>
      <c r="L78" s="913"/>
      <c r="M78" s="914"/>
      <c r="N78" s="909">
        <v>37004.31</v>
      </c>
      <c r="O78" s="910">
        <v>0</v>
      </c>
      <c r="P78" s="910">
        <v>0</v>
      </c>
      <c r="Q78" s="910">
        <v>9251.07</v>
      </c>
      <c r="R78" s="910">
        <v>0</v>
      </c>
      <c r="S78" s="911">
        <v>46255.38</v>
      </c>
      <c r="T78" s="909">
        <v>3400.49</v>
      </c>
      <c r="U78" s="910">
        <v>0</v>
      </c>
      <c r="V78" s="910">
        <v>20.25</v>
      </c>
      <c r="W78" s="910">
        <v>627.48</v>
      </c>
      <c r="X78" s="910">
        <v>-0.02</v>
      </c>
      <c r="Y78" s="911">
        <v>4048.2</v>
      </c>
      <c r="Z78" s="915">
        <v>51998.42</v>
      </c>
      <c r="AA78" s="916">
        <v>0</v>
      </c>
      <c r="AB78" s="916">
        <v>0</v>
      </c>
      <c r="AC78" s="916">
        <v>12999.58</v>
      </c>
      <c r="AD78" s="916">
        <v>0</v>
      </c>
      <c r="AE78" s="917">
        <v>64998</v>
      </c>
      <c r="AF78" s="909">
        <v>2074.65</v>
      </c>
      <c r="AG78" s="910">
        <v>0</v>
      </c>
      <c r="AH78" s="910">
        <v>1139.99</v>
      </c>
      <c r="AI78" s="910">
        <v>589.67999999999995</v>
      </c>
      <c r="AJ78" s="910">
        <v>-0.02</v>
      </c>
      <c r="AK78" s="911">
        <v>3804.3</v>
      </c>
      <c r="AL78" s="909">
        <v>6938.43</v>
      </c>
      <c r="AM78" s="910">
        <v>0</v>
      </c>
      <c r="AN78" s="910">
        <v>1734.62</v>
      </c>
      <c r="AO78" s="910">
        <v>0</v>
      </c>
      <c r="AP78" s="910">
        <v>0</v>
      </c>
      <c r="AQ78" s="911">
        <v>8673.0499999999993</v>
      </c>
      <c r="AR78" s="909">
        <v>14150.91</v>
      </c>
      <c r="AS78" s="910">
        <v>0</v>
      </c>
      <c r="AT78" s="910">
        <v>3537.74</v>
      </c>
      <c r="AU78" s="910">
        <v>0</v>
      </c>
      <c r="AV78" s="910">
        <v>0</v>
      </c>
      <c r="AW78" s="911">
        <v>17688.650000000001</v>
      </c>
      <c r="AX78" s="912"/>
      <c r="AY78" s="913"/>
      <c r="AZ78" s="913"/>
      <c r="BA78" s="913"/>
      <c r="BB78" s="913"/>
      <c r="BC78" s="914"/>
      <c r="BD78" s="909">
        <v>1163.6500000000001</v>
      </c>
      <c r="BE78" s="910">
        <v>0</v>
      </c>
      <c r="BF78" s="910">
        <v>7271.35</v>
      </c>
      <c r="BG78" s="910">
        <v>0</v>
      </c>
      <c r="BH78" s="910">
        <v>0</v>
      </c>
      <c r="BI78" s="911">
        <v>8435</v>
      </c>
      <c r="BJ78" s="909">
        <v>124086.75</v>
      </c>
      <c r="BK78" s="910">
        <v>0</v>
      </c>
      <c r="BL78" s="910">
        <v>15717.66</v>
      </c>
      <c r="BM78" s="910">
        <v>25644.6</v>
      </c>
      <c r="BN78" s="910">
        <v>-0.01</v>
      </c>
      <c r="BO78" s="911">
        <v>165449</v>
      </c>
      <c r="BP78" s="909">
        <v>2075807.16</v>
      </c>
      <c r="BQ78" s="910">
        <v>63808.09</v>
      </c>
      <c r="BR78" s="910">
        <v>1732069.48</v>
      </c>
      <c r="BS78" s="910">
        <v>203772.94</v>
      </c>
      <c r="BT78" s="910">
        <v>-0.19</v>
      </c>
      <c r="BU78" s="911">
        <v>4075457.48</v>
      </c>
      <c r="BV78" s="909">
        <v>142462.67000000001</v>
      </c>
      <c r="BW78" s="910">
        <v>0</v>
      </c>
      <c r="BX78" s="910">
        <v>98299.29</v>
      </c>
      <c r="BY78" s="910">
        <v>44163.49</v>
      </c>
      <c r="BZ78" s="910">
        <v>-0.49</v>
      </c>
      <c r="CA78" s="911">
        <v>284924.96000000002</v>
      </c>
      <c r="CB78" s="909">
        <v>10984.62</v>
      </c>
      <c r="CC78" s="910">
        <v>0</v>
      </c>
      <c r="CD78" s="910">
        <v>0</v>
      </c>
      <c r="CE78" s="910">
        <v>18946.21</v>
      </c>
      <c r="CF78" s="910">
        <v>0</v>
      </c>
      <c r="CG78" s="911">
        <v>29930.83</v>
      </c>
      <c r="CH78" s="912"/>
      <c r="CI78" s="913"/>
      <c r="CJ78" s="913"/>
      <c r="CK78" s="913"/>
      <c r="CL78" s="913"/>
      <c r="CM78" s="914"/>
      <c r="CN78" s="909">
        <v>612462.36</v>
      </c>
      <c r="CO78" s="910">
        <v>0</v>
      </c>
      <c r="CP78" s="910">
        <v>0</v>
      </c>
      <c r="CQ78" s="910">
        <v>0</v>
      </c>
      <c r="CR78" s="910">
        <v>0</v>
      </c>
      <c r="CS78" s="911">
        <v>612462.36</v>
      </c>
      <c r="CT78" s="909">
        <v>54935.96</v>
      </c>
      <c r="CU78" s="910">
        <v>3987.58</v>
      </c>
      <c r="CV78" s="910">
        <v>47700.01</v>
      </c>
      <c r="CW78" s="910">
        <v>5611.75</v>
      </c>
      <c r="CX78" s="910">
        <v>0</v>
      </c>
      <c r="CY78" s="911">
        <v>112235.3</v>
      </c>
      <c r="CZ78" s="909">
        <v>1221005.83</v>
      </c>
      <c r="DA78" s="910">
        <v>169157.18</v>
      </c>
      <c r="DB78" s="910">
        <v>0</v>
      </c>
      <c r="DC78" s="910">
        <v>0</v>
      </c>
      <c r="DD78" s="910">
        <v>-0.06</v>
      </c>
      <c r="DE78" s="911">
        <v>1390162.95</v>
      </c>
      <c r="DF78" s="909">
        <v>16081.51</v>
      </c>
      <c r="DG78" s="910">
        <v>0</v>
      </c>
      <c r="DH78" s="910">
        <v>11096.23</v>
      </c>
      <c r="DI78" s="910">
        <v>4985.26</v>
      </c>
      <c r="DJ78" s="910">
        <v>0</v>
      </c>
      <c r="DK78" s="911">
        <v>32163</v>
      </c>
      <c r="DL78" s="909">
        <v>5630</v>
      </c>
      <c r="DM78" s="910">
        <v>0</v>
      </c>
      <c r="DN78" s="910">
        <v>33.520000000000003</v>
      </c>
      <c r="DO78" s="910">
        <v>1038.8699999999999</v>
      </c>
      <c r="DP78" s="910">
        <v>-0.01</v>
      </c>
      <c r="DQ78" s="911">
        <v>6702.38</v>
      </c>
      <c r="DR78" s="912"/>
      <c r="DS78" s="913"/>
      <c r="DT78" s="913"/>
      <c r="DU78" s="913"/>
      <c r="DV78" s="913"/>
      <c r="DW78" s="914"/>
    </row>
    <row r="79" spans="1:127">
      <c r="A79" s="1107" t="s">
        <v>191</v>
      </c>
      <c r="B79" s="904" t="s">
        <v>192</v>
      </c>
      <c r="C79" s="905">
        <f t="shared" si="10"/>
        <v>295350.82999999996</v>
      </c>
      <c r="D79" s="906">
        <f t="shared" si="8"/>
        <v>79635.509999999995</v>
      </c>
      <c r="E79" s="907">
        <f t="shared" si="11"/>
        <v>31984.980000000003</v>
      </c>
      <c r="F79" s="908">
        <f t="shared" si="9"/>
        <v>31985.270000000004</v>
      </c>
      <c r="G79" s="907">
        <f t="shared" si="9"/>
        <v>-0.29000000000000004</v>
      </c>
      <c r="H79" s="912"/>
      <c r="I79" s="913"/>
      <c r="J79" s="913"/>
      <c r="K79" s="913"/>
      <c r="L79" s="913"/>
      <c r="M79" s="914"/>
      <c r="N79" s="909">
        <v>2841.38</v>
      </c>
      <c r="O79" s="910">
        <v>0</v>
      </c>
      <c r="P79" s="910">
        <v>0</v>
      </c>
      <c r="Q79" s="910">
        <v>710.34</v>
      </c>
      <c r="R79" s="910">
        <v>0</v>
      </c>
      <c r="S79" s="911">
        <v>3551.72</v>
      </c>
      <c r="T79" s="909">
        <v>4869.8999999999996</v>
      </c>
      <c r="U79" s="910">
        <v>0</v>
      </c>
      <c r="V79" s="910">
        <v>28.97</v>
      </c>
      <c r="W79" s="910">
        <v>898.61</v>
      </c>
      <c r="X79" s="910">
        <v>0.02</v>
      </c>
      <c r="Y79" s="911">
        <v>5797.5</v>
      </c>
      <c r="Z79" s="915">
        <v>32288.39</v>
      </c>
      <c r="AA79" s="916">
        <v>0</v>
      </c>
      <c r="AB79" s="916">
        <v>0</v>
      </c>
      <c r="AC79" s="916">
        <v>8072.09</v>
      </c>
      <c r="AD79" s="916">
        <v>0</v>
      </c>
      <c r="AE79" s="917">
        <v>40360.480000000003</v>
      </c>
      <c r="AF79" s="912"/>
      <c r="AG79" s="913"/>
      <c r="AH79" s="913"/>
      <c r="AI79" s="913"/>
      <c r="AJ79" s="913"/>
      <c r="AK79" s="914"/>
      <c r="AL79" s="909">
        <v>4225.46</v>
      </c>
      <c r="AM79" s="910">
        <v>0</v>
      </c>
      <c r="AN79" s="910">
        <v>1056.3699999999999</v>
      </c>
      <c r="AO79" s="910">
        <v>0</v>
      </c>
      <c r="AP79" s="910">
        <v>0</v>
      </c>
      <c r="AQ79" s="911">
        <v>5281.83</v>
      </c>
      <c r="AR79" s="909">
        <v>9825.76</v>
      </c>
      <c r="AS79" s="910">
        <v>0</v>
      </c>
      <c r="AT79" s="910">
        <v>2456.4299999999998</v>
      </c>
      <c r="AU79" s="910">
        <v>0</v>
      </c>
      <c r="AV79" s="910">
        <v>0</v>
      </c>
      <c r="AW79" s="911">
        <v>12282.19</v>
      </c>
      <c r="AX79" s="912"/>
      <c r="AY79" s="913"/>
      <c r="AZ79" s="913"/>
      <c r="BA79" s="913"/>
      <c r="BB79" s="913"/>
      <c r="BC79" s="914"/>
      <c r="BD79" s="912"/>
      <c r="BE79" s="913"/>
      <c r="BF79" s="913"/>
      <c r="BG79" s="913"/>
      <c r="BH79" s="913"/>
      <c r="BI79" s="914"/>
      <c r="BJ79" s="909">
        <v>24276.75</v>
      </c>
      <c r="BK79" s="910">
        <v>0</v>
      </c>
      <c r="BL79" s="910">
        <v>3075.06</v>
      </c>
      <c r="BM79" s="910">
        <v>5017.2</v>
      </c>
      <c r="BN79" s="910">
        <v>-0.01</v>
      </c>
      <c r="BO79" s="911">
        <v>32369</v>
      </c>
      <c r="BP79" s="909">
        <v>58258.15</v>
      </c>
      <c r="BQ79" s="910">
        <v>1498.5</v>
      </c>
      <c r="BR79" s="910">
        <v>48374.45</v>
      </c>
      <c r="BS79" s="910">
        <v>5691.1</v>
      </c>
      <c r="BT79" s="910">
        <v>-0.2</v>
      </c>
      <c r="BU79" s="911">
        <v>113822</v>
      </c>
      <c r="BV79" s="909">
        <v>23442.87</v>
      </c>
      <c r="BW79" s="910">
        <v>0</v>
      </c>
      <c r="BX79" s="910">
        <v>16089.08</v>
      </c>
      <c r="BY79" s="910">
        <v>7251.4</v>
      </c>
      <c r="BZ79" s="910">
        <v>-0.08</v>
      </c>
      <c r="CA79" s="911">
        <v>46783.27</v>
      </c>
      <c r="CB79" s="912"/>
      <c r="CC79" s="913"/>
      <c r="CD79" s="913"/>
      <c r="CE79" s="913"/>
      <c r="CF79" s="913"/>
      <c r="CG79" s="914"/>
      <c r="CH79" s="912"/>
      <c r="CI79" s="913"/>
      <c r="CJ79" s="913"/>
      <c r="CK79" s="913"/>
      <c r="CL79" s="913"/>
      <c r="CM79" s="914"/>
      <c r="CN79" s="909">
        <v>11831.8</v>
      </c>
      <c r="CO79" s="910">
        <v>0</v>
      </c>
      <c r="CP79" s="910">
        <v>0</v>
      </c>
      <c r="CQ79" s="910">
        <v>0</v>
      </c>
      <c r="CR79" s="910">
        <v>0</v>
      </c>
      <c r="CS79" s="911">
        <v>11831.8</v>
      </c>
      <c r="CT79" s="912"/>
      <c r="CU79" s="913"/>
      <c r="CV79" s="913"/>
      <c r="CW79" s="913"/>
      <c r="CX79" s="913"/>
      <c r="CY79" s="914"/>
      <c r="CZ79" s="909">
        <v>93571.13</v>
      </c>
      <c r="DA79" s="910">
        <v>13291.13</v>
      </c>
      <c r="DB79" s="910">
        <v>0</v>
      </c>
      <c r="DC79" s="910">
        <v>0</v>
      </c>
      <c r="DD79" s="910">
        <v>-0.01</v>
      </c>
      <c r="DE79" s="911">
        <v>106862.25</v>
      </c>
      <c r="DF79" s="909">
        <v>12375.01</v>
      </c>
      <c r="DG79" s="910">
        <v>0</v>
      </c>
      <c r="DH79" s="910">
        <v>8538.75</v>
      </c>
      <c r="DI79" s="910">
        <v>3836.25</v>
      </c>
      <c r="DJ79" s="910">
        <v>-0.01</v>
      </c>
      <c r="DK79" s="911">
        <v>24750</v>
      </c>
      <c r="DL79" s="909">
        <v>2754.6</v>
      </c>
      <c r="DM79" s="910">
        <v>0</v>
      </c>
      <c r="DN79" s="910">
        <v>16.399999999999999</v>
      </c>
      <c r="DO79" s="910">
        <v>508.28</v>
      </c>
      <c r="DP79" s="910">
        <v>0</v>
      </c>
      <c r="DQ79" s="911">
        <v>3279.28</v>
      </c>
      <c r="DR79" s="912"/>
      <c r="DS79" s="913"/>
      <c r="DT79" s="913"/>
      <c r="DU79" s="913"/>
      <c r="DV79" s="913"/>
      <c r="DW79" s="914"/>
    </row>
    <row r="80" spans="1:127">
      <c r="A80" s="1107" t="s">
        <v>195</v>
      </c>
      <c r="B80" s="904" t="s">
        <v>196</v>
      </c>
      <c r="C80" s="905">
        <f t="shared" si="10"/>
        <v>84319.56</v>
      </c>
      <c r="D80" s="906">
        <f t="shared" si="8"/>
        <v>7940.7899999999991</v>
      </c>
      <c r="E80" s="907">
        <f t="shared" si="11"/>
        <v>5772</v>
      </c>
      <c r="F80" s="908">
        <f t="shared" si="9"/>
        <v>5772.11</v>
      </c>
      <c r="G80" s="907">
        <f t="shared" si="9"/>
        <v>-0.11000000000000001</v>
      </c>
      <c r="H80" s="912"/>
      <c r="I80" s="913"/>
      <c r="J80" s="913"/>
      <c r="K80" s="913"/>
      <c r="L80" s="913"/>
      <c r="M80" s="914"/>
      <c r="N80" s="909">
        <v>254.4</v>
      </c>
      <c r="O80" s="910">
        <v>0</v>
      </c>
      <c r="P80" s="910">
        <v>0</v>
      </c>
      <c r="Q80" s="910">
        <v>63.6</v>
      </c>
      <c r="R80" s="910">
        <v>0</v>
      </c>
      <c r="S80" s="911">
        <v>318</v>
      </c>
      <c r="T80" s="909">
        <v>11.76</v>
      </c>
      <c r="U80" s="910">
        <v>0</v>
      </c>
      <c r="V80" s="910">
        <v>7.0000000000000007E-2</v>
      </c>
      <c r="W80" s="910">
        <v>2.17</v>
      </c>
      <c r="X80" s="910">
        <v>0</v>
      </c>
      <c r="Y80" s="911">
        <v>14</v>
      </c>
      <c r="Z80" s="915">
        <v>4719.26</v>
      </c>
      <c r="AA80" s="916">
        <v>0</v>
      </c>
      <c r="AB80" s="916">
        <v>0</v>
      </c>
      <c r="AC80" s="916">
        <v>1179.82</v>
      </c>
      <c r="AD80" s="916">
        <v>0</v>
      </c>
      <c r="AE80" s="917">
        <v>5899.08</v>
      </c>
      <c r="AF80" s="912"/>
      <c r="AG80" s="913"/>
      <c r="AH80" s="913"/>
      <c r="AI80" s="913"/>
      <c r="AJ80" s="913"/>
      <c r="AK80" s="914"/>
      <c r="AL80" s="909">
        <v>340.57</v>
      </c>
      <c r="AM80" s="910">
        <v>0</v>
      </c>
      <c r="AN80" s="910">
        <v>85.14</v>
      </c>
      <c r="AO80" s="910">
        <v>0</v>
      </c>
      <c r="AP80" s="910">
        <v>0</v>
      </c>
      <c r="AQ80" s="911">
        <v>425.71</v>
      </c>
      <c r="AR80" s="909">
        <v>947.16</v>
      </c>
      <c r="AS80" s="910">
        <v>0</v>
      </c>
      <c r="AT80" s="910">
        <v>236.79</v>
      </c>
      <c r="AU80" s="910">
        <v>0</v>
      </c>
      <c r="AV80" s="910">
        <v>0</v>
      </c>
      <c r="AW80" s="911">
        <v>1183.95</v>
      </c>
      <c r="AX80" s="912"/>
      <c r="AY80" s="913"/>
      <c r="AZ80" s="913"/>
      <c r="BA80" s="913"/>
      <c r="BB80" s="913"/>
      <c r="BC80" s="914"/>
      <c r="BD80" s="912"/>
      <c r="BE80" s="913"/>
      <c r="BF80" s="913"/>
      <c r="BG80" s="913"/>
      <c r="BH80" s="913"/>
      <c r="BI80" s="914"/>
      <c r="BJ80" s="909">
        <v>14031.38</v>
      </c>
      <c r="BK80" s="910">
        <v>0</v>
      </c>
      <c r="BL80" s="910">
        <v>1777.32</v>
      </c>
      <c r="BM80" s="910">
        <v>2899.83</v>
      </c>
      <c r="BN80" s="910">
        <v>-0.03</v>
      </c>
      <c r="BO80" s="911">
        <v>18708.5</v>
      </c>
      <c r="BP80" s="909">
        <v>1141.3499999999999</v>
      </c>
      <c r="BQ80" s="910">
        <v>0</v>
      </c>
      <c r="BR80" s="910">
        <v>923.95</v>
      </c>
      <c r="BS80" s="910">
        <v>108.7</v>
      </c>
      <c r="BT80" s="910">
        <v>0</v>
      </c>
      <c r="BU80" s="911">
        <v>2174</v>
      </c>
      <c r="BV80" s="909">
        <v>178.54</v>
      </c>
      <c r="BW80" s="910">
        <v>0</v>
      </c>
      <c r="BX80" s="910">
        <v>105.31</v>
      </c>
      <c r="BY80" s="910">
        <v>52.08</v>
      </c>
      <c r="BZ80" s="910">
        <v>-0.01</v>
      </c>
      <c r="CA80" s="911">
        <v>335.92</v>
      </c>
      <c r="CB80" s="912"/>
      <c r="CC80" s="913"/>
      <c r="CD80" s="913"/>
      <c r="CE80" s="913"/>
      <c r="CF80" s="913"/>
      <c r="CG80" s="914"/>
      <c r="CH80" s="912"/>
      <c r="CI80" s="913"/>
      <c r="CJ80" s="913"/>
      <c r="CK80" s="913"/>
      <c r="CL80" s="913"/>
      <c r="CM80" s="914"/>
      <c r="CN80" s="909">
        <v>11699</v>
      </c>
      <c r="CO80" s="910">
        <v>0</v>
      </c>
      <c r="CP80" s="910">
        <v>0</v>
      </c>
      <c r="CQ80" s="910">
        <v>0</v>
      </c>
      <c r="CR80" s="910">
        <v>0</v>
      </c>
      <c r="CS80" s="911">
        <v>11699</v>
      </c>
      <c r="CT80" s="909">
        <v>5892.46</v>
      </c>
      <c r="CU80" s="910">
        <v>16.010000000000002</v>
      </c>
      <c r="CV80" s="910">
        <v>4783.05</v>
      </c>
      <c r="CW80" s="910">
        <v>562.71</v>
      </c>
      <c r="CX80" s="910">
        <v>-0.03</v>
      </c>
      <c r="CY80" s="911">
        <v>11254.2</v>
      </c>
      <c r="CZ80" s="909">
        <v>35785.5</v>
      </c>
      <c r="DA80" s="910">
        <v>4407.5</v>
      </c>
      <c r="DB80" s="910">
        <v>0</v>
      </c>
      <c r="DC80" s="910">
        <v>0</v>
      </c>
      <c r="DD80" s="910">
        <v>0</v>
      </c>
      <c r="DE80" s="911">
        <v>40193</v>
      </c>
      <c r="DF80" s="912"/>
      <c r="DG80" s="913"/>
      <c r="DH80" s="913"/>
      <c r="DI80" s="913"/>
      <c r="DJ80" s="913"/>
      <c r="DK80" s="914"/>
      <c r="DL80" s="909">
        <v>4894.67</v>
      </c>
      <c r="DM80" s="910">
        <v>0</v>
      </c>
      <c r="DN80" s="910">
        <v>29.16</v>
      </c>
      <c r="DO80" s="910">
        <v>903.2</v>
      </c>
      <c r="DP80" s="910">
        <v>-0.04</v>
      </c>
      <c r="DQ80" s="911">
        <v>5826.99</v>
      </c>
      <c r="DR80" s="912"/>
      <c r="DS80" s="913"/>
      <c r="DT80" s="913"/>
      <c r="DU80" s="913"/>
      <c r="DV80" s="913"/>
      <c r="DW80" s="914"/>
    </row>
    <row r="81" spans="1:127">
      <c r="A81" s="1107" t="s">
        <v>199</v>
      </c>
      <c r="B81" s="904" t="s">
        <v>200</v>
      </c>
      <c r="C81" s="905">
        <f t="shared" si="10"/>
        <v>29747.72</v>
      </c>
      <c r="D81" s="906">
        <f t="shared" si="8"/>
        <v>6023.87</v>
      </c>
      <c r="E81" s="907">
        <f t="shared" si="11"/>
        <v>5402.36</v>
      </c>
      <c r="F81" s="908">
        <f t="shared" si="9"/>
        <v>5402.3899999999994</v>
      </c>
      <c r="G81" s="907">
        <f t="shared" si="9"/>
        <v>-0.03</v>
      </c>
      <c r="H81" s="912"/>
      <c r="I81" s="913"/>
      <c r="J81" s="913"/>
      <c r="K81" s="913"/>
      <c r="L81" s="913"/>
      <c r="M81" s="914"/>
      <c r="N81" s="912"/>
      <c r="O81" s="913"/>
      <c r="P81" s="913"/>
      <c r="Q81" s="913"/>
      <c r="R81" s="913"/>
      <c r="S81" s="914"/>
      <c r="T81" s="909">
        <v>-73.08</v>
      </c>
      <c r="U81" s="910">
        <v>0</v>
      </c>
      <c r="V81" s="910">
        <v>-0.44</v>
      </c>
      <c r="W81" s="910">
        <v>-13.49</v>
      </c>
      <c r="X81" s="910">
        <v>0.01</v>
      </c>
      <c r="Y81" s="911">
        <v>-87</v>
      </c>
      <c r="Z81" s="915">
        <v>4240</v>
      </c>
      <c r="AA81" s="916">
        <v>0</v>
      </c>
      <c r="AB81" s="916">
        <v>0</v>
      </c>
      <c r="AC81" s="916">
        <v>1060</v>
      </c>
      <c r="AD81" s="916">
        <v>0</v>
      </c>
      <c r="AE81" s="917">
        <v>5300</v>
      </c>
      <c r="AF81" s="912"/>
      <c r="AG81" s="913"/>
      <c r="AH81" s="913"/>
      <c r="AI81" s="913"/>
      <c r="AJ81" s="913"/>
      <c r="AK81" s="914"/>
      <c r="AL81" s="912"/>
      <c r="AM81" s="913"/>
      <c r="AN81" s="913"/>
      <c r="AO81" s="913"/>
      <c r="AP81" s="913"/>
      <c r="AQ81" s="914"/>
      <c r="AR81" s="909">
        <v>162.34</v>
      </c>
      <c r="AS81" s="910">
        <v>0</v>
      </c>
      <c r="AT81" s="910">
        <v>40.590000000000003</v>
      </c>
      <c r="AU81" s="910">
        <v>0</v>
      </c>
      <c r="AV81" s="910">
        <v>0</v>
      </c>
      <c r="AW81" s="911">
        <v>202.93</v>
      </c>
      <c r="AX81" s="912"/>
      <c r="AY81" s="913"/>
      <c r="AZ81" s="913"/>
      <c r="BA81" s="913"/>
      <c r="BB81" s="913"/>
      <c r="BC81" s="914"/>
      <c r="BD81" s="909">
        <v>10.64</v>
      </c>
      <c r="BE81" s="910">
        <v>0</v>
      </c>
      <c r="BF81" s="910">
        <v>19.22</v>
      </c>
      <c r="BG81" s="910">
        <v>0</v>
      </c>
      <c r="BH81" s="910">
        <v>0</v>
      </c>
      <c r="BI81" s="911">
        <v>29.86</v>
      </c>
      <c r="BJ81" s="909">
        <v>14090.26</v>
      </c>
      <c r="BK81" s="910">
        <v>0</v>
      </c>
      <c r="BL81" s="910">
        <v>1784.76</v>
      </c>
      <c r="BM81" s="910">
        <v>2911.98</v>
      </c>
      <c r="BN81" s="910">
        <v>0</v>
      </c>
      <c r="BO81" s="911">
        <v>18787</v>
      </c>
      <c r="BP81" s="909">
        <v>1604.93</v>
      </c>
      <c r="BQ81" s="910">
        <v>11.55</v>
      </c>
      <c r="BR81" s="910">
        <v>1308.58</v>
      </c>
      <c r="BS81" s="910">
        <v>153.94999999999999</v>
      </c>
      <c r="BT81" s="910">
        <v>-0.01</v>
      </c>
      <c r="BU81" s="911">
        <v>3079</v>
      </c>
      <c r="BV81" s="909">
        <v>861.08</v>
      </c>
      <c r="BW81" s="910">
        <v>0</v>
      </c>
      <c r="BX81" s="910">
        <v>594.16</v>
      </c>
      <c r="BY81" s="910">
        <v>266.95</v>
      </c>
      <c r="BZ81" s="910">
        <v>-0.03</v>
      </c>
      <c r="CA81" s="911">
        <v>1722.16</v>
      </c>
      <c r="CB81" s="912"/>
      <c r="CC81" s="913"/>
      <c r="CD81" s="913"/>
      <c r="CE81" s="913"/>
      <c r="CF81" s="913"/>
      <c r="CG81" s="914"/>
      <c r="CH81" s="912"/>
      <c r="CI81" s="913"/>
      <c r="CJ81" s="913"/>
      <c r="CK81" s="913"/>
      <c r="CL81" s="913"/>
      <c r="CM81" s="914"/>
      <c r="CN81" s="912"/>
      <c r="CO81" s="913"/>
      <c r="CP81" s="913"/>
      <c r="CQ81" s="913"/>
      <c r="CR81" s="913"/>
      <c r="CS81" s="914"/>
      <c r="CT81" s="912"/>
      <c r="CU81" s="913"/>
      <c r="CV81" s="913"/>
      <c r="CW81" s="913"/>
      <c r="CX81" s="913"/>
      <c r="CY81" s="914"/>
      <c r="CZ81" s="909">
        <v>5324</v>
      </c>
      <c r="DA81" s="910">
        <v>216</v>
      </c>
      <c r="DB81" s="910">
        <v>0</v>
      </c>
      <c r="DC81" s="910">
        <v>0</v>
      </c>
      <c r="DD81" s="910">
        <v>0</v>
      </c>
      <c r="DE81" s="911">
        <v>5540</v>
      </c>
      <c r="DF81" s="909">
        <v>3300</v>
      </c>
      <c r="DG81" s="910">
        <v>0</v>
      </c>
      <c r="DH81" s="910">
        <v>2277</v>
      </c>
      <c r="DI81" s="910">
        <v>1023</v>
      </c>
      <c r="DJ81" s="910">
        <v>0</v>
      </c>
      <c r="DK81" s="911">
        <v>6600</v>
      </c>
      <c r="DL81" s="912"/>
      <c r="DM81" s="913"/>
      <c r="DN81" s="913"/>
      <c r="DO81" s="913"/>
      <c r="DP81" s="913"/>
      <c r="DQ81" s="914"/>
      <c r="DR81" s="912"/>
      <c r="DS81" s="913"/>
      <c r="DT81" s="913"/>
      <c r="DU81" s="913"/>
      <c r="DV81" s="913"/>
      <c r="DW81" s="914"/>
    </row>
    <row r="82" spans="1:127">
      <c r="A82" s="1107" t="s">
        <v>203</v>
      </c>
      <c r="B82" s="904" t="s">
        <v>204</v>
      </c>
      <c r="C82" s="905">
        <f t="shared" si="10"/>
        <v>1622820.88</v>
      </c>
      <c r="D82" s="906">
        <f t="shared" si="8"/>
        <v>641699.35</v>
      </c>
      <c r="E82" s="907">
        <f t="shared" si="11"/>
        <v>137968.59999999998</v>
      </c>
      <c r="F82" s="908">
        <f t="shared" si="9"/>
        <v>136798.34999999998</v>
      </c>
      <c r="G82" s="907">
        <f t="shared" si="9"/>
        <v>1170.25</v>
      </c>
      <c r="H82" s="912"/>
      <c r="I82" s="913"/>
      <c r="J82" s="913"/>
      <c r="K82" s="913"/>
      <c r="L82" s="913"/>
      <c r="M82" s="914"/>
      <c r="N82" s="909">
        <v>1018.8</v>
      </c>
      <c r="O82" s="910">
        <v>0</v>
      </c>
      <c r="P82" s="910">
        <v>0</v>
      </c>
      <c r="Q82" s="910">
        <v>254.7</v>
      </c>
      <c r="R82" s="910">
        <v>0</v>
      </c>
      <c r="S82" s="911">
        <v>1273.5</v>
      </c>
      <c r="T82" s="909">
        <v>7010.38</v>
      </c>
      <c r="U82" s="910">
        <v>0</v>
      </c>
      <c r="V82" s="910">
        <v>41.73</v>
      </c>
      <c r="W82" s="910">
        <v>1293.5899999999999</v>
      </c>
      <c r="X82" s="910">
        <v>1170.83</v>
      </c>
      <c r="Y82" s="911">
        <v>9516.5300000000007</v>
      </c>
      <c r="Z82" s="915">
        <v>54987.07</v>
      </c>
      <c r="AA82" s="916">
        <v>0</v>
      </c>
      <c r="AB82" s="916">
        <v>0</v>
      </c>
      <c r="AC82" s="916">
        <v>13746.77</v>
      </c>
      <c r="AD82" s="916">
        <v>0</v>
      </c>
      <c r="AE82" s="917">
        <v>68733.84</v>
      </c>
      <c r="AF82" s="909">
        <v>21911.94</v>
      </c>
      <c r="AG82" s="910">
        <v>0</v>
      </c>
      <c r="AH82" s="910">
        <v>389.85</v>
      </c>
      <c r="AI82" s="910">
        <v>4090.87</v>
      </c>
      <c r="AJ82" s="910">
        <v>-0.01</v>
      </c>
      <c r="AK82" s="911">
        <v>26392.65</v>
      </c>
      <c r="AL82" s="909">
        <v>12134.56</v>
      </c>
      <c r="AM82" s="910">
        <v>0</v>
      </c>
      <c r="AN82" s="910">
        <v>3033.64</v>
      </c>
      <c r="AO82" s="910">
        <v>0</v>
      </c>
      <c r="AP82" s="910">
        <v>0</v>
      </c>
      <c r="AQ82" s="911">
        <v>15168.2</v>
      </c>
      <c r="AR82" s="909">
        <v>10316.48</v>
      </c>
      <c r="AS82" s="910">
        <v>0</v>
      </c>
      <c r="AT82" s="910">
        <v>2579.16</v>
      </c>
      <c r="AU82" s="910">
        <v>0</v>
      </c>
      <c r="AV82" s="910">
        <v>0</v>
      </c>
      <c r="AW82" s="911">
        <v>12895.64</v>
      </c>
      <c r="AX82" s="912"/>
      <c r="AY82" s="913"/>
      <c r="AZ82" s="913"/>
      <c r="BA82" s="913"/>
      <c r="BB82" s="913"/>
      <c r="BC82" s="914"/>
      <c r="BD82" s="909">
        <v>155.15</v>
      </c>
      <c r="BE82" s="910">
        <v>0</v>
      </c>
      <c r="BF82" s="910">
        <v>964.35</v>
      </c>
      <c r="BG82" s="910">
        <v>0</v>
      </c>
      <c r="BH82" s="910">
        <v>0</v>
      </c>
      <c r="BI82" s="911">
        <v>1119.5</v>
      </c>
      <c r="BJ82" s="909">
        <v>33584.550000000003</v>
      </c>
      <c r="BK82" s="910">
        <v>0</v>
      </c>
      <c r="BL82" s="910">
        <v>4254.0200000000004</v>
      </c>
      <c r="BM82" s="910">
        <v>6940.79</v>
      </c>
      <c r="BN82" s="910">
        <v>0</v>
      </c>
      <c r="BO82" s="911">
        <v>44779.360000000001</v>
      </c>
      <c r="BP82" s="909">
        <v>556566.06999999995</v>
      </c>
      <c r="BQ82" s="910">
        <v>19795.97</v>
      </c>
      <c r="BR82" s="910">
        <v>466578.81</v>
      </c>
      <c r="BS82" s="910">
        <v>54891.65</v>
      </c>
      <c r="BT82" s="910">
        <v>-0.4</v>
      </c>
      <c r="BU82" s="911">
        <v>1097832.1000000001</v>
      </c>
      <c r="BV82" s="909">
        <v>123975.81</v>
      </c>
      <c r="BW82" s="910">
        <v>0</v>
      </c>
      <c r="BX82" s="910">
        <v>85505.83</v>
      </c>
      <c r="BY82" s="910">
        <v>38425.61</v>
      </c>
      <c r="BZ82" s="910">
        <v>-0.08</v>
      </c>
      <c r="CA82" s="911">
        <v>247907.17</v>
      </c>
      <c r="CB82" s="909">
        <v>2881.72</v>
      </c>
      <c r="CC82" s="910">
        <v>0</v>
      </c>
      <c r="CD82" s="910">
        <v>0</v>
      </c>
      <c r="CE82" s="910">
        <v>4970.3900000000003</v>
      </c>
      <c r="CF82" s="910">
        <v>-0.01</v>
      </c>
      <c r="CG82" s="911">
        <v>7852.1</v>
      </c>
      <c r="CH82" s="912"/>
      <c r="CI82" s="913"/>
      <c r="CJ82" s="913"/>
      <c r="CK82" s="913"/>
      <c r="CL82" s="913"/>
      <c r="CM82" s="914"/>
      <c r="CN82" s="909">
        <v>49968.54</v>
      </c>
      <c r="CO82" s="910">
        <v>0</v>
      </c>
      <c r="CP82" s="910">
        <v>0</v>
      </c>
      <c r="CQ82" s="910">
        <v>0</v>
      </c>
      <c r="CR82" s="910">
        <v>0</v>
      </c>
      <c r="CS82" s="911">
        <v>49968.54</v>
      </c>
      <c r="CT82" s="909">
        <v>89348.5</v>
      </c>
      <c r="CU82" s="910">
        <v>1481.9</v>
      </c>
      <c r="CV82" s="910">
        <v>73529.37</v>
      </c>
      <c r="CW82" s="910">
        <v>8650.52</v>
      </c>
      <c r="CX82" s="910">
        <v>-0.09</v>
      </c>
      <c r="CY82" s="911">
        <v>173010.2</v>
      </c>
      <c r="CZ82" s="909">
        <v>526908.43999999994</v>
      </c>
      <c r="DA82" s="910">
        <v>96334.51</v>
      </c>
      <c r="DB82" s="910">
        <v>0</v>
      </c>
      <c r="DC82" s="910">
        <v>0</v>
      </c>
      <c r="DD82" s="910">
        <v>0</v>
      </c>
      <c r="DE82" s="911">
        <v>623242.94999999995</v>
      </c>
      <c r="DF82" s="909">
        <v>6924.44</v>
      </c>
      <c r="DG82" s="910">
        <v>0</v>
      </c>
      <c r="DH82" s="910">
        <v>4777.8599999999997</v>
      </c>
      <c r="DI82" s="910">
        <v>2146.58</v>
      </c>
      <c r="DJ82" s="910">
        <v>-0.01</v>
      </c>
      <c r="DK82" s="911">
        <v>13848.87</v>
      </c>
      <c r="DL82" s="909">
        <v>7516.05</v>
      </c>
      <c r="DM82" s="910">
        <v>0</v>
      </c>
      <c r="DN82" s="910">
        <v>44.73</v>
      </c>
      <c r="DO82" s="910">
        <v>1386.88</v>
      </c>
      <c r="DP82" s="910">
        <v>0.02</v>
      </c>
      <c r="DQ82" s="911">
        <v>8947.68</v>
      </c>
      <c r="DR82" s="912"/>
      <c r="DS82" s="913"/>
      <c r="DT82" s="913"/>
      <c r="DU82" s="913"/>
      <c r="DV82" s="913"/>
      <c r="DW82" s="914"/>
    </row>
    <row r="83" spans="1:127">
      <c r="A83" s="1107" t="s">
        <v>205</v>
      </c>
      <c r="B83" s="904" t="s">
        <v>206</v>
      </c>
      <c r="C83" s="905">
        <f t="shared" si="10"/>
        <v>175966.58999999997</v>
      </c>
      <c r="D83" s="906">
        <f t="shared" si="8"/>
        <v>32361.82</v>
      </c>
      <c r="E83" s="907">
        <f t="shared" si="11"/>
        <v>19473.3</v>
      </c>
      <c r="F83" s="908">
        <f t="shared" si="9"/>
        <v>19243.649999999998</v>
      </c>
      <c r="G83" s="907">
        <f t="shared" si="9"/>
        <v>229.65</v>
      </c>
      <c r="H83" s="912"/>
      <c r="I83" s="913"/>
      <c r="J83" s="913"/>
      <c r="K83" s="913"/>
      <c r="L83" s="913"/>
      <c r="M83" s="914"/>
      <c r="N83" s="909">
        <v>3780.67</v>
      </c>
      <c r="O83" s="910">
        <v>0</v>
      </c>
      <c r="P83" s="910">
        <v>0</v>
      </c>
      <c r="Q83" s="910">
        <v>945.17</v>
      </c>
      <c r="R83" s="910">
        <v>0</v>
      </c>
      <c r="S83" s="911">
        <v>4725.84</v>
      </c>
      <c r="T83" s="909">
        <v>3452.05</v>
      </c>
      <c r="U83" s="910">
        <v>0</v>
      </c>
      <c r="V83" s="910">
        <v>20.55</v>
      </c>
      <c r="W83" s="910">
        <v>636.99</v>
      </c>
      <c r="X83" s="910">
        <v>0.01</v>
      </c>
      <c r="Y83" s="911">
        <v>4109.6000000000004</v>
      </c>
      <c r="Z83" s="915">
        <v>21530.46</v>
      </c>
      <c r="AA83" s="916">
        <v>0</v>
      </c>
      <c r="AB83" s="916">
        <v>0</v>
      </c>
      <c r="AC83" s="916">
        <v>5382.65</v>
      </c>
      <c r="AD83" s="916">
        <v>0</v>
      </c>
      <c r="AE83" s="917">
        <v>26913.11</v>
      </c>
      <c r="AF83" s="909">
        <v>628.91</v>
      </c>
      <c r="AG83" s="910">
        <v>0</v>
      </c>
      <c r="AH83" s="910">
        <v>404.8</v>
      </c>
      <c r="AI83" s="910">
        <v>189.62</v>
      </c>
      <c r="AJ83" s="910">
        <v>0</v>
      </c>
      <c r="AK83" s="911">
        <v>1223.33</v>
      </c>
      <c r="AL83" s="912"/>
      <c r="AM83" s="913"/>
      <c r="AN83" s="913"/>
      <c r="AO83" s="913"/>
      <c r="AP83" s="913"/>
      <c r="AQ83" s="914"/>
      <c r="AR83" s="909">
        <v>158.76</v>
      </c>
      <c r="AS83" s="910">
        <v>0</v>
      </c>
      <c r="AT83" s="910">
        <v>39.69</v>
      </c>
      <c r="AU83" s="910">
        <v>0</v>
      </c>
      <c r="AV83" s="910">
        <v>230.18</v>
      </c>
      <c r="AW83" s="911">
        <v>428.63</v>
      </c>
      <c r="AX83" s="912"/>
      <c r="AY83" s="913"/>
      <c r="AZ83" s="913"/>
      <c r="BA83" s="913"/>
      <c r="BB83" s="913"/>
      <c r="BC83" s="914"/>
      <c r="BD83" s="912"/>
      <c r="BE83" s="913"/>
      <c r="BF83" s="913"/>
      <c r="BG83" s="913"/>
      <c r="BH83" s="913"/>
      <c r="BI83" s="914"/>
      <c r="BJ83" s="909">
        <v>20891.82</v>
      </c>
      <c r="BK83" s="910">
        <v>0</v>
      </c>
      <c r="BL83" s="910">
        <v>2646.31</v>
      </c>
      <c r="BM83" s="910">
        <v>4317.6499999999996</v>
      </c>
      <c r="BN83" s="910">
        <v>-0.03</v>
      </c>
      <c r="BO83" s="911">
        <v>27855.75</v>
      </c>
      <c r="BP83" s="909">
        <v>23019.599999999999</v>
      </c>
      <c r="BQ83" s="910">
        <v>630.79999999999995</v>
      </c>
      <c r="BR83" s="910">
        <v>19145.580000000002</v>
      </c>
      <c r="BS83" s="910">
        <v>2252.41</v>
      </c>
      <c r="BT83" s="910">
        <v>-0.17</v>
      </c>
      <c r="BU83" s="911">
        <v>45048.22</v>
      </c>
      <c r="BV83" s="909">
        <v>11585.96</v>
      </c>
      <c r="BW83" s="910">
        <v>0</v>
      </c>
      <c r="BX83" s="910">
        <v>7994.46</v>
      </c>
      <c r="BY83" s="910">
        <v>3591.79</v>
      </c>
      <c r="BZ83" s="910">
        <v>-0.27</v>
      </c>
      <c r="CA83" s="911">
        <v>23171.94</v>
      </c>
      <c r="CB83" s="912"/>
      <c r="CC83" s="913"/>
      <c r="CD83" s="913"/>
      <c r="CE83" s="913"/>
      <c r="CF83" s="913"/>
      <c r="CG83" s="914"/>
      <c r="CH83" s="912"/>
      <c r="CI83" s="913"/>
      <c r="CJ83" s="913"/>
      <c r="CK83" s="913"/>
      <c r="CL83" s="913"/>
      <c r="CM83" s="914"/>
      <c r="CN83" s="909">
        <v>5014</v>
      </c>
      <c r="CO83" s="910">
        <v>0</v>
      </c>
      <c r="CP83" s="910">
        <v>0</v>
      </c>
      <c r="CQ83" s="910">
        <v>0</v>
      </c>
      <c r="CR83" s="910">
        <v>0</v>
      </c>
      <c r="CS83" s="911">
        <v>5014</v>
      </c>
      <c r="CT83" s="912"/>
      <c r="CU83" s="913"/>
      <c r="CV83" s="913"/>
      <c r="CW83" s="913"/>
      <c r="CX83" s="913"/>
      <c r="CY83" s="914"/>
      <c r="CZ83" s="909">
        <v>65667.95</v>
      </c>
      <c r="DA83" s="910">
        <v>11208.95</v>
      </c>
      <c r="DB83" s="910">
        <v>0</v>
      </c>
      <c r="DC83" s="910">
        <v>0</v>
      </c>
      <c r="DD83" s="910">
        <v>-0.01</v>
      </c>
      <c r="DE83" s="911">
        <v>76876.89</v>
      </c>
      <c r="DF83" s="909">
        <v>3012.08</v>
      </c>
      <c r="DG83" s="910">
        <v>0</v>
      </c>
      <c r="DH83" s="910">
        <v>2078.37</v>
      </c>
      <c r="DI83" s="910">
        <v>933.78</v>
      </c>
      <c r="DJ83" s="910">
        <v>-0.05</v>
      </c>
      <c r="DK83" s="911">
        <v>6024.18</v>
      </c>
      <c r="DL83" s="909">
        <v>5384.58</v>
      </c>
      <c r="DM83" s="910">
        <v>0</v>
      </c>
      <c r="DN83" s="910">
        <v>32.06</v>
      </c>
      <c r="DO83" s="910">
        <v>993.59</v>
      </c>
      <c r="DP83" s="910">
        <v>-0.01</v>
      </c>
      <c r="DQ83" s="911">
        <v>6410.22</v>
      </c>
      <c r="DR83" s="912"/>
      <c r="DS83" s="913"/>
      <c r="DT83" s="913"/>
      <c r="DU83" s="913"/>
      <c r="DV83" s="913"/>
      <c r="DW83" s="914"/>
    </row>
    <row r="84" spans="1:127">
      <c r="A84" s="1107" t="s">
        <v>207</v>
      </c>
      <c r="B84" s="904" t="s">
        <v>208</v>
      </c>
      <c r="C84" s="905">
        <f t="shared" si="10"/>
        <v>910403.87000000011</v>
      </c>
      <c r="D84" s="906">
        <f t="shared" si="8"/>
        <v>297234.39999999997</v>
      </c>
      <c r="E84" s="907">
        <f t="shared" si="11"/>
        <v>85750.790000000008</v>
      </c>
      <c r="F84" s="908">
        <f t="shared" si="9"/>
        <v>85752.24</v>
      </c>
      <c r="G84" s="907">
        <f t="shared" si="9"/>
        <v>-1.4500000000000002</v>
      </c>
      <c r="H84" s="912"/>
      <c r="I84" s="913"/>
      <c r="J84" s="913"/>
      <c r="K84" s="913"/>
      <c r="L84" s="913"/>
      <c r="M84" s="914"/>
      <c r="N84" s="909">
        <v>18154.23</v>
      </c>
      <c r="O84" s="910">
        <v>0</v>
      </c>
      <c r="P84" s="910">
        <v>0</v>
      </c>
      <c r="Q84" s="910">
        <v>4538.5600000000004</v>
      </c>
      <c r="R84" s="910">
        <v>0</v>
      </c>
      <c r="S84" s="911">
        <v>22692.79</v>
      </c>
      <c r="T84" s="909">
        <v>9227.52</v>
      </c>
      <c r="U84" s="910">
        <v>0</v>
      </c>
      <c r="V84" s="910">
        <v>54.94</v>
      </c>
      <c r="W84" s="910">
        <v>1702.7</v>
      </c>
      <c r="X84" s="910">
        <v>-0.02</v>
      </c>
      <c r="Y84" s="911">
        <v>10985.14</v>
      </c>
      <c r="Z84" s="915">
        <v>22658.17</v>
      </c>
      <c r="AA84" s="916">
        <v>0</v>
      </c>
      <c r="AB84" s="916">
        <v>0</v>
      </c>
      <c r="AC84" s="916">
        <v>5664.55</v>
      </c>
      <c r="AD84" s="916">
        <v>0</v>
      </c>
      <c r="AE84" s="917">
        <v>28322.720000000001</v>
      </c>
      <c r="AF84" s="912"/>
      <c r="AG84" s="913"/>
      <c r="AH84" s="913"/>
      <c r="AI84" s="913"/>
      <c r="AJ84" s="913"/>
      <c r="AK84" s="914"/>
      <c r="AL84" s="909">
        <v>13278.8</v>
      </c>
      <c r="AM84" s="910">
        <v>0</v>
      </c>
      <c r="AN84" s="910">
        <v>3319.7</v>
      </c>
      <c r="AO84" s="910">
        <v>0</v>
      </c>
      <c r="AP84" s="910">
        <v>0</v>
      </c>
      <c r="AQ84" s="911">
        <v>16598.5</v>
      </c>
      <c r="AR84" s="909">
        <v>12535.49</v>
      </c>
      <c r="AS84" s="910">
        <v>0</v>
      </c>
      <c r="AT84" s="910">
        <v>3133.88</v>
      </c>
      <c r="AU84" s="910">
        <v>0</v>
      </c>
      <c r="AV84" s="910">
        <v>0</v>
      </c>
      <c r="AW84" s="911">
        <v>15669.37</v>
      </c>
      <c r="AX84" s="912"/>
      <c r="AY84" s="913"/>
      <c r="AZ84" s="913"/>
      <c r="BA84" s="913"/>
      <c r="BB84" s="913"/>
      <c r="BC84" s="914"/>
      <c r="BD84" s="909">
        <v>534.6</v>
      </c>
      <c r="BE84" s="910">
        <v>0</v>
      </c>
      <c r="BF84" s="910">
        <v>4070.25</v>
      </c>
      <c r="BG84" s="910">
        <v>0</v>
      </c>
      <c r="BH84" s="910">
        <v>0</v>
      </c>
      <c r="BI84" s="911">
        <v>4604.8500000000004</v>
      </c>
      <c r="BJ84" s="909">
        <v>5506.81</v>
      </c>
      <c r="BK84" s="910">
        <v>0</v>
      </c>
      <c r="BL84" s="910">
        <v>697.56</v>
      </c>
      <c r="BM84" s="910">
        <v>1138.0999999999999</v>
      </c>
      <c r="BN84" s="910">
        <v>-7.0000000000000007E-2</v>
      </c>
      <c r="BO84" s="911">
        <v>7342.4</v>
      </c>
      <c r="BP84" s="909">
        <v>226893.63</v>
      </c>
      <c r="BQ84" s="910">
        <v>8163.81</v>
      </c>
      <c r="BR84" s="910">
        <v>190284.66</v>
      </c>
      <c r="BS84" s="910">
        <v>22386.39</v>
      </c>
      <c r="BT84" s="910">
        <v>-0.84</v>
      </c>
      <c r="BU84" s="911">
        <v>447727.65</v>
      </c>
      <c r="BV84" s="909">
        <v>141646.01999999999</v>
      </c>
      <c r="BW84" s="910">
        <v>0</v>
      </c>
      <c r="BX84" s="910">
        <v>70392.3</v>
      </c>
      <c r="BY84" s="910">
        <v>38894.69</v>
      </c>
      <c r="BZ84" s="910">
        <v>-0.4</v>
      </c>
      <c r="CA84" s="911">
        <v>250932.61</v>
      </c>
      <c r="CB84" s="909">
        <v>3167.38</v>
      </c>
      <c r="CC84" s="910">
        <v>0</v>
      </c>
      <c r="CD84" s="910">
        <v>0</v>
      </c>
      <c r="CE84" s="910">
        <v>5463.02</v>
      </c>
      <c r="CF84" s="910">
        <v>0</v>
      </c>
      <c r="CG84" s="911">
        <v>8630.4</v>
      </c>
      <c r="CH84" s="912"/>
      <c r="CI84" s="913"/>
      <c r="CJ84" s="913"/>
      <c r="CK84" s="913"/>
      <c r="CL84" s="913"/>
      <c r="CM84" s="914"/>
      <c r="CN84" s="909">
        <v>19934.599999999999</v>
      </c>
      <c r="CO84" s="910">
        <v>0</v>
      </c>
      <c r="CP84" s="910">
        <v>0</v>
      </c>
      <c r="CQ84" s="910">
        <v>0</v>
      </c>
      <c r="CR84" s="910">
        <v>0</v>
      </c>
      <c r="CS84" s="911">
        <v>19934.599999999999</v>
      </c>
      <c r="CT84" s="909">
        <v>22186.02</v>
      </c>
      <c r="CU84" s="910">
        <v>373.9</v>
      </c>
      <c r="CV84" s="910">
        <v>18262.8</v>
      </c>
      <c r="CW84" s="910">
        <v>2148.56</v>
      </c>
      <c r="CX84" s="910">
        <v>-0.08</v>
      </c>
      <c r="CY84" s="911">
        <v>42971.199999999997</v>
      </c>
      <c r="CZ84" s="909">
        <v>340521.09</v>
      </c>
      <c r="DA84" s="910">
        <v>51838.64</v>
      </c>
      <c r="DB84" s="910">
        <v>0</v>
      </c>
      <c r="DC84" s="910">
        <v>0</v>
      </c>
      <c r="DD84" s="910">
        <v>0</v>
      </c>
      <c r="DE84" s="911">
        <v>392359.73</v>
      </c>
      <c r="DF84" s="909">
        <v>10140</v>
      </c>
      <c r="DG84" s="910">
        <v>0</v>
      </c>
      <c r="DH84" s="910">
        <v>6996.6</v>
      </c>
      <c r="DI84" s="910">
        <v>3143.4</v>
      </c>
      <c r="DJ84" s="910">
        <v>0</v>
      </c>
      <c r="DK84" s="911">
        <v>20280</v>
      </c>
      <c r="DL84" s="909">
        <v>3643.16</v>
      </c>
      <c r="DM84" s="910">
        <v>0</v>
      </c>
      <c r="DN84" s="910">
        <v>21.71</v>
      </c>
      <c r="DO84" s="910">
        <v>672.27</v>
      </c>
      <c r="DP84" s="910">
        <v>-0.04</v>
      </c>
      <c r="DQ84" s="911">
        <v>4337.1000000000004</v>
      </c>
      <c r="DR84" s="912"/>
      <c r="DS84" s="913"/>
      <c r="DT84" s="913"/>
      <c r="DU84" s="913"/>
      <c r="DV84" s="913"/>
      <c r="DW84" s="914"/>
    </row>
    <row r="85" spans="1:127">
      <c r="A85" s="1107" t="s">
        <v>209</v>
      </c>
      <c r="B85" s="904" t="s">
        <v>210</v>
      </c>
      <c r="C85" s="905">
        <f t="shared" si="10"/>
        <v>214949.49</v>
      </c>
      <c r="D85" s="906">
        <f t="shared" si="8"/>
        <v>57111.39</v>
      </c>
      <c r="E85" s="907">
        <f t="shared" si="11"/>
        <v>43190.69</v>
      </c>
      <c r="F85" s="908">
        <f t="shared" si="9"/>
        <v>43191.200000000004</v>
      </c>
      <c r="G85" s="907">
        <f t="shared" si="9"/>
        <v>-0.51</v>
      </c>
      <c r="H85" s="912"/>
      <c r="I85" s="913"/>
      <c r="J85" s="913"/>
      <c r="K85" s="913"/>
      <c r="L85" s="913"/>
      <c r="M85" s="914"/>
      <c r="N85" s="909">
        <v>22431.97</v>
      </c>
      <c r="O85" s="910">
        <v>0</v>
      </c>
      <c r="P85" s="910">
        <v>0</v>
      </c>
      <c r="Q85" s="910">
        <v>5608</v>
      </c>
      <c r="R85" s="910">
        <v>0</v>
      </c>
      <c r="S85" s="911">
        <v>28039.97</v>
      </c>
      <c r="T85" s="909">
        <v>8425.07</v>
      </c>
      <c r="U85" s="910">
        <v>0</v>
      </c>
      <c r="V85" s="910">
        <v>50.15</v>
      </c>
      <c r="W85" s="910">
        <v>1554.62</v>
      </c>
      <c r="X85" s="910">
        <v>0.02</v>
      </c>
      <c r="Y85" s="911">
        <v>10029.86</v>
      </c>
      <c r="Z85" s="915">
        <v>31786.799999999999</v>
      </c>
      <c r="AA85" s="916">
        <v>0</v>
      </c>
      <c r="AB85" s="916">
        <v>0</v>
      </c>
      <c r="AC85" s="916">
        <v>7946.7</v>
      </c>
      <c r="AD85" s="916">
        <v>0</v>
      </c>
      <c r="AE85" s="917">
        <v>39733.5</v>
      </c>
      <c r="AF85" s="912"/>
      <c r="AG85" s="913"/>
      <c r="AH85" s="913"/>
      <c r="AI85" s="913"/>
      <c r="AJ85" s="913"/>
      <c r="AK85" s="914"/>
      <c r="AL85" s="912"/>
      <c r="AM85" s="913"/>
      <c r="AN85" s="913"/>
      <c r="AO85" s="913"/>
      <c r="AP85" s="913"/>
      <c r="AQ85" s="914"/>
      <c r="AR85" s="909">
        <v>8035.29</v>
      </c>
      <c r="AS85" s="910">
        <v>0</v>
      </c>
      <c r="AT85" s="910">
        <v>2008.82</v>
      </c>
      <c r="AU85" s="910">
        <v>0</v>
      </c>
      <c r="AV85" s="910">
        <v>0</v>
      </c>
      <c r="AW85" s="911">
        <v>10044.11</v>
      </c>
      <c r="AX85" s="912"/>
      <c r="AY85" s="913"/>
      <c r="AZ85" s="913"/>
      <c r="BA85" s="913"/>
      <c r="BB85" s="913"/>
      <c r="BC85" s="914"/>
      <c r="BD85" s="912"/>
      <c r="BE85" s="913"/>
      <c r="BF85" s="913"/>
      <c r="BG85" s="913"/>
      <c r="BH85" s="913"/>
      <c r="BI85" s="914"/>
      <c r="BJ85" s="909">
        <v>21678.45</v>
      </c>
      <c r="BK85" s="910">
        <v>0</v>
      </c>
      <c r="BL85" s="910">
        <v>2745.94</v>
      </c>
      <c r="BM85" s="910">
        <v>4480.22</v>
      </c>
      <c r="BN85" s="910">
        <v>-0.05</v>
      </c>
      <c r="BO85" s="911">
        <v>28904.560000000001</v>
      </c>
      <c r="BP85" s="909">
        <v>17150.86</v>
      </c>
      <c r="BQ85" s="910">
        <v>514.41</v>
      </c>
      <c r="BR85" s="910">
        <v>14300.45</v>
      </c>
      <c r="BS85" s="910">
        <v>1682.41</v>
      </c>
      <c r="BT85" s="910">
        <v>-0.15</v>
      </c>
      <c r="BU85" s="911">
        <v>33647.980000000003</v>
      </c>
      <c r="BV85" s="909">
        <v>75193.820000000007</v>
      </c>
      <c r="BW85" s="910">
        <v>0</v>
      </c>
      <c r="BX85" s="910">
        <v>37968.58</v>
      </c>
      <c r="BY85" s="910">
        <v>20757.68</v>
      </c>
      <c r="BZ85" s="910">
        <v>-0.34</v>
      </c>
      <c r="CA85" s="911">
        <v>133919.74</v>
      </c>
      <c r="CB85" s="912"/>
      <c r="CC85" s="913"/>
      <c r="CD85" s="913"/>
      <c r="CE85" s="913"/>
      <c r="CF85" s="913"/>
      <c r="CG85" s="914"/>
      <c r="CH85" s="912"/>
      <c r="CI85" s="913"/>
      <c r="CJ85" s="913"/>
      <c r="CK85" s="913"/>
      <c r="CL85" s="913"/>
      <c r="CM85" s="914"/>
      <c r="CN85" s="909">
        <v>241</v>
      </c>
      <c r="CO85" s="910">
        <v>0</v>
      </c>
      <c r="CP85" s="910">
        <v>0</v>
      </c>
      <c r="CQ85" s="910">
        <v>0</v>
      </c>
      <c r="CR85" s="910">
        <v>0</v>
      </c>
      <c r="CS85" s="911">
        <v>241</v>
      </c>
      <c r="CT85" s="912"/>
      <c r="CU85" s="913"/>
      <c r="CV85" s="913"/>
      <c r="CW85" s="913"/>
      <c r="CX85" s="913"/>
      <c r="CY85" s="914"/>
      <c r="CZ85" s="909">
        <v>20061.939999999999</v>
      </c>
      <c r="DA85" s="910">
        <v>3134.94</v>
      </c>
      <c r="DB85" s="910">
        <v>0</v>
      </c>
      <c r="DC85" s="910">
        <v>0</v>
      </c>
      <c r="DD85" s="910">
        <v>-0.01</v>
      </c>
      <c r="DE85" s="911">
        <v>23196.87</v>
      </c>
      <c r="DF85" s="912"/>
      <c r="DG85" s="913"/>
      <c r="DH85" s="913"/>
      <c r="DI85" s="913"/>
      <c r="DJ85" s="913"/>
      <c r="DK85" s="914"/>
      <c r="DL85" s="909">
        <v>6294.94</v>
      </c>
      <c r="DM85" s="910">
        <v>0</v>
      </c>
      <c r="DN85" s="910">
        <v>37.450000000000003</v>
      </c>
      <c r="DO85" s="910">
        <v>1161.57</v>
      </c>
      <c r="DP85" s="910">
        <v>0.02</v>
      </c>
      <c r="DQ85" s="911">
        <v>7493.98</v>
      </c>
      <c r="DR85" s="912"/>
      <c r="DS85" s="913"/>
      <c r="DT85" s="913"/>
      <c r="DU85" s="913"/>
      <c r="DV85" s="913"/>
      <c r="DW85" s="914"/>
    </row>
    <row r="86" spans="1:127">
      <c r="A86" s="1107" t="s">
        <v>211</v>
      </c>
      <c r="B86" s="904" t="s">
        <v>212</v>
      </c>
      <c r="C86" s="905">
        <f t="shared" si="10"/>
        <v>225391.04</v>
      </c>
      <c r="D86" s="906">
        <f t="shared" si="8"/>
        <v>80226.83</v>
      </c>
      <c r="E86" s="907">
        <f t="shared" si="11"/>
        <v>48068.24</v>
      </c>
      <c r="F86" s="908">
        <f t="shared" si="9"/>
        <v>44611.519999999997</v>
      </c>
      <c r="G86" s="907">
        <f t="shared" si="9"/>
        <v>3456.7200000000003</v>
      </c>
      <c r="H86" s="909">
        <v>0</v>
      </c>
      <c r="I86" s="910">
        <v>0</v>
      </c>
      <c r="J86" s="910">
        <v>1795.5</v>
      </c>
      <c r="K86" s="910">
        <v>0</v>
      </c>
      <c r="L86" s="910">
        <v>-1113</v>
      </c>
      <c r="M86" s="911">
        <v>682.5</v>
      </c>
      <c r="N86" s="909">
        <v>15235.71</v>
      </c>
      <c r="O86" s="910">
        <v>0</v>
      </c>
      <c r="P86" s="910">
        <v>0</v>
      </c>
      <c r="Q86" s="910">
        <v>3808.92</v>
      </c>
      <c r="R86" s="910">
        <v>0</v>
      </c>
      <c r="S86" s="911">
        <v>19044.63</v>
      </c>
      <c r="T86" s="909">
        <v>5249.4</v>
      </c>
      <c r="U86" s="910">
        <v>0</v>
      </c>
      <c r="V86" s="910">
        <v>31.26</v>
      </c>
      <c r="W86" s="910">
        <v>968.65</v>
      </c>
      <c r="X86" s="910">
        <v>-0.03</v>
      </c>
      <c r="Y86" s="911">
        <v>6249.28</v>
      </c>
      <c r="Z86" s="915">
        <v>27130.19</v>
      </c>
      <c r="AA86" s="916">
        <v>0</v>
      </c>
      <c r="AB86" s="916">
        <v>0</v>
      </c>
      <c r="AC86" s="916">
        <v>6782.55</v>
      </c>
      <c r="AD86" s="916">
        <v>0</v>
      </c>
      <c r="AE86" s="917">
        <v>33912.74</v>
      </c>
      <c r="AF86" s="912"/>
      <c r="AG86" s="913"/>
      <c r="AH86" s="913"/>
      <c r="AI86" s="913"/>
      <c r="AJ86" s="913"/>
      <c r="AK86" s="914"/>
      <c r="AL86" s="909">
        <v>10960.83</v>
      </c>
      <c r="AM86" s="910">
        <v>0</v>
      </c>
      <c r="AN86" s="910">
        <v>2740.21</v>
      </c>
      <c r="AO86" s="910">
        <v>0</v>
      </c>
      <c r="AP86" s="910">
        <v>2937.98</v>
      </c>
      <c r="AQ86" s="911">
        <v>16639.02</v>
      </c>
      <c r="AR86" s="909">
        <v>5518.15</v>
      </c>
      <c r="AS86" s="910">
        <v>0</v>
      </c>
      <c r="AT86" s="910">
        <v>1379.53</v>
      </c>
      <c r="AU86" s="910">
        <v>0</v>
      </c>
      <c r="AV86" s="910">
        <v>1632.07</v>
      </c>
      <c r="AW86" s="911">
        <v>8529.75</v>
      </c>
      <c r="AX86" s="912"/>
      <c r="AY86" s="913"/>
      <c r="AZ86" s="913"/>
      <c r="BA86" s="913"/>
      <c r="BB86" s="913"/>
      <c r="BC86" s="914"/>
      <c r="BD86" s="909">
        <v>166.8</v>
      </c>
      <c r="BE86" s="910">
        <v>0</v>
      </c>
      <c r="BF86" s="910">
        <v>1781.2</v>
      </c>
      <c r="BG86" s="910">
        <v>0</v>
      </c>
      <c r="BH86" s="910">
        <v>0</v>
      </c>
      <c r="BI86" s="911">
        <v>1948</v>
      </c>
      <c r="BJ86" s="909">
        <v>1441.37</v>
      </c>
      <c r="BK86" s="910">
        <v>0</v>
      </c>
      <c r="BL86" s="910">
        <v>182.57</v>
      </c>
      <c r="BM86" s="910">
        <v>297.88</v>
      </c>
      <c r="BN86" s="910">
        <v>0.01</v>
      </c>
      <c r="BO86" s="911">
        <v>1921.83</v>
      </c>
      <c r="BP86" s="909">
        <v>14367.67</v>
      </c>
      <c r="BQ86" s="910">
        <v>775.5</v>
      </c>
      <c r="BR86" s="910">
        <v>12258.77</v>
      </c>
      <c r="BS86" s="910">
        <v>1442.2</v>
      </c>
      <c r="BT86" s="910">
        <v>-0.14000000000000001</v>
      </c>
      <c r="BU86" s="911">
        <v>28844</v>
      </c>
      <c r="BV86" s="909">
        <v>99656.01</v>
      </c>
      <c r="BW86" s="910">
        <v>0</v>
      </c>
      <c r="BX86" s="910">
        <v>57735.05</v>
      </c>
      <c r="BY86" s="910">
        <v>28870.54</v>
      </c>
      <c r="BZ86" s="910">
        <v>-0.15</v>
      </c>
      <c r="CA86" s="911">
        <v>186261.45</v>
      </c>
      <c r="CB86" s="912"/>
      <c r="CC86" s="913"/>
      <c r="CD86" s="913"/>
      <c r="CE86" s="913"/>
      <c r="CF86" s="913"/>
      <c r="CG86" s="914"/>
      <c r="CH86" s="912"/>
      <c r="CI86" s="913"/>
      <c r="CJ86" s="913"/>
      <c r="CK86" s="913"/>
      <c r="CL86" s="913"/>
      <c r="CM86" s="914"/>
      <c r="CN86" s="909">
        <v>4566</v>
      </c>
      <c r="CO86" s="910">
        <v>0</v>
      </c>
      <c r="CP86" s="910">
        <v>0</v>
      </c>
      <c r="CQ86" s="910">
        <v>0</v>
      </c>
      <c r="CR86" s="910">
        <v>0</v>
      </c>
      <c r="CS86" s="911">
        <v>4566</v>
      </c>
      <c r="CT86" s="912"/>
      <c r="CU86" s="913"/>
      <c r="CV86" s="913"/>
      <c r="CW86" s="913"/>
      <c r="CX86" s="913"/>
      <c r="CY86" s="914"/>
      <c r="CZ86" s="909">
        <v>26686.5</v>
      </c>
      <c r="DA86" s="910">
        <v>2653.5</v>
      </c>
      <c r="DB86" s="910">
        <v>0</v>
      </c>
      <c r="DC86" s="910">
        <v>0</v>
      </c>
      <c r="DD86" s="910">
        <v>0</v>
      </c>
      <c r="DE86" s="911">
        <v>29340</v>
      </c>
      <c r="DF86" s="909">
        <v>3300</v>
      </c>
      <c r="DG86" s="910">
        <v>0</v>
      </c>
      <c r="DH86" s="910">
        <v>2277</v>
      </c>
      <c r="DI86" s="910">
        <v>1023</v>
      </c>
      <c r="DJ86" s="910">
        <v>0</v>
      </c>
      <c r="DK86" s="911">
        <v>6600</v>
      </c>
      <c r="DL86" s="909">
        <v>7683.41</v>
      </c>
      <c r="DM86" s="910">
        <v>0</v>
      </c>
      <c r="DN86" s="910">
        <v>45.74</v>
      </c>
      <c r="DO86" s="910">
        <v>1417.78</v>
      </c>
      <c r="DP86" s="910">
        <v>-0.02</v>
      </c>
      <c r="DQ86" s="911">
        <v>9146.91</v>
      </c>
      <c r="DR86" s="912"/>
      <c r="DS86" s="913"/>
      <c r="DT86" s="913"/>
      <c r="DU86" s="913"/>
      <c r="DV86" s="913"/>
      <c r="DW86" s="914"/>
    </row>
    <row r="87" spans="1:127">
      <c r="A87" s="1107" t="s">
        <v>213</v>
      </c>
      <c r="B87" s="904" t="s">
        <v>214</v>
      </c>
      <c r="C87" s="905">
        <f t="shared" si="10"/>
        <v>186256.99</v>
      </c>
      <c r="D87" s="906">
        <f t="shared" si="8"/>
        <v>15354.16</v>
      </c>
      <c r="E87" s="907">
        <f t="shared" si="11"/>
        <v>16461.919999999998</v>
      </c>
      <c r="F87" s="908">
        <f t="shared" si="9"/>
        <v>16456.219999999998</v>
      </c>
      <c r="G87" s="907">
        <f t="shared" si="9"/>
        <v>5.7</v>
      </c>
      <c r="H87" s="909">
        <v>0</v>
      </c>
      <c r="I87" s="910">
        <v>0</v>
      </c>
      <c r="J87" s="910">
        <v>1125</v>
      </c>
      <c r="K87" s="910">
        <v>0</v>
      </c>
      <c r="L87" s="910">
        <v>0</v>
      </c>
      <c r="M87" s="911">
        <v>1125</v>
      </c>
      <c r="N87" s="909">
        <v>10462.280000000001</v>
      </c>
      <c r="O87" s="910">
        <v>0</v>
      </c>
      <c r="P87" s="910">
        <v>0</v>
      </c>
      <c r="Q87" s="910">
        <v>2615.56</v>
      </c>
      <c r="R87" s="910">
        <v>0</v>
      </c>
      <c r="S87" s="911">
        <v>13077.84</v>
      </c>
      <c r="T87" s="909">
        <v>3805.93</v>
      </c>
      <c r="U87" s="910">
        <v>0</v>
      </c>
      <c r="V87" s="910">
        <v>22.66</v>
      </c>
      <c r="W87" s="910">
        <v>702.3</v>
      </c>
      <c r="X87" s="910">
        <v>-0.01</v>
      </c>
      <c r="Y87" s="911">
        <v>4530.88</v>
      </c>
      <c r="Z87" s="915">
        <v>19933.259999999998</v>
      </c>
      <c r="AA87" s="916">
        <v>0</v>
      </c>
      <c r="AB87" s="916">
        <v>0</v>
      </c>
      <c r="AC87" s="916">
        <v>4983.33</v>
      </c>
      <c r="AD87" s="916">
        <v>0</v>
      </c>
      <c r="AE87" s="917">
        <v>24916.59</v>
      </c>
      <c r="AF87" s="912"/>
      <c r="AG87" s="913"/>
      <c r="AH87" s="913"/>
      <c r="AI87" s="913"/>
      <c r="AJ87" s="913"/>
      <c r="AK87" s="914"/>
      <c r="AL87" s="909">
        <v>1132.54</v>
      </c>
      <c r="AM87" s="910">
        <v>0</v>
      </c>
      <c r="AN87" s="910">
        <v>283.12</v>
      </c>
      <c r="AO87" s="910">
        <v>0</v>
      </c>
      <c r="AP87" s="910">
        <v>0</v>
      </c>
      <c r="AQ87" s="911">
        <v>1415.66</v>
      </c>
      <c r="AR87" s="909">
        <v>3840.11</v>
      </c>
      <c r="AS87" s="910">
        <v>0</v>
      </c>
      <c r="AT87" s="910">
        <v>960.04</v>
      </c>
      <c r="AU87" s="910">
        <v>0</v>
      </c>
      <c r="AV87" s="910">
        <v>0</v>
      </c>
      <c r="AW87" s="911">
        <v>4800.1499999999996</v>
      </c>
      <c r="AX87" s="912"/>
      <c r="AY87" s="913"/>
      <c r="AZ87" s="913"/>
      <c r="BA87" s="913"/>
      <c r="BB87" s="913"/>
      <c r="BC87" s="914"/>
      <c r="BD87" s="909">
        <v>101.57</v>
      </c>
      <c r="BE87" s="910">
        <v>0</v>
      </c>
      <c r="BF87" s="910">
        <v>363.43</v>
      </c>
      <c r="BG87" s="910">
        <v>0</v>
      </c>
      <c r="BH87" s="910">
        <v>0</v>
      </c>
      <c r="BI87" s="911">
        <v>465</v>
      </c>
      <c r="BJ87" s="909">
        <v>10782.3</v>
      </c>
      <c r="BK87" s="910">
        <v>0</v>
      </c>
      <c r="BL87" s="910">
        <v>1365.76</v>
      </c>
      <c r="BM87" s="910">
        <v>2228.34</v>
      </c>
      <c r="BN87" s="910">
        <v>0</v>
      </c>
      <c r="BO87" s="911">
        <v>14376.4</v>
      </c>
      <c r="BP87" s="909">
        <v>2940.95</v>
      </c>
      <c r="BQ87" s="910">
        <v>158.15</v>
      </c>
      <c r="BR87" s="910">
        <v>2508.8000000000002</v>
      </c>
      <c r="BS87" s="910">
        <v>295.14999999999998</v>
      </c>
      <c r="BT87" s="910">
        <v>-0.05</v>
      </c>
      <c r="BU87" s="911">
        <v>5903</v>
      </c>
      <c r="BV87" s="909">
        <v>8959.16</v>
      </c>
      <c r="BW87" s="910">
        <v>0</v>
      </c>
      <c r="BX87" s="910">
        <v>5842.33</v>
      </c>
      <c r="BY87" s="910">
        <v>2715.07</v>
      </c>
      <c r="BZ87" s="910">
        <v>-0.04</v>
      </c>
      <c r="CA87" s="911">
        <v>17516.52</v>
      </c>
      <c r="CB87" s="909">
        <v>288.56</v>
      </c>
      <c r="CC87" s="910">
        <v>0</v>
      </c>
      <c r="CD87" s="910">
        <v>0</v>
      </c>
      <c r="CE87" s="910">
        <v>497.7</v>
      </c>
      <c r="CF87" s="910">
        <v>-0.01</v>
      </c>
      <c r="CG87" s="911">
        <v>786.25</v>
      </c>
      <c r="CH87" s="912"/>
      <c r="CI87" s="913"/>
      <c r="CJ87" s="913"/>
      <c r="CK87" s="913"/>
      <c r="CL87" s="913"/>
      <c r="CM87" s="914"/>
      <c r="CN87" s="912"/>
      <c r="CO87" s="913"/>
      <c r="CP87" s="913"/>
      <c r="CQ87" s="913"/>
      <c r="CR87" s="913"/>
      <c r="CS87" s="914"/>
      <c r="CT87" s="912"/>
      <c r="CU87" s="913"/>
      <c r="CV87" s="913"/>
      <c r="CW87" s="913"/>
      <c r="CX87" s="913"/>
      <c r="CY87" s="914"/>
      <c r="CZ87" s="909">
        <v>98011.5</v>
      </c>
      <c r="DA87" s="910">
        <v>15537.5</v>
      </c>
      <c r="DB87" s="910">
        <v>0</v>
      </c>
      <c r="DC87" s="910">
        <v>0</v>
      </c>
      <c r="DD87" s="910">
        <v>0</v>
      </c>
      <c r="DE87" s="911">
        <v>113549</v>
      </c>
      <c r="DF87" s="909">
        <v>4125</v>
      </c>
      <c r="DG87" s="910">
        <v>0</v>
      </c>
      <c r="DH87" s="910">
        <v>2846.25</v>
      </c>
      <c r="DI87" s="910">
        <v>1278.75</v>
      </c>
      <c r="DJ87" s="910">
        <v>5.78</v>
      </c>
      <c r="DK87" s="911">
        <v>8255.7800000000007</v>
      </c>
      <c r="DL87" s="909">
        <v>6178.18</v>
      </c>
      <c r="DM87" s="910">
        <v>0</v>
      </c>
      <c r="DN87" s="910">
        <v>36.770000000000003</v>
      </c>
      <c r="DO87" s="910">
        <v>1140.02</v>
      </c>
      <c r="DP87" s="910">
        <v>0.03</v>
      </c>
      <c r="DQ87" s="911">
        <v>7355</v>
      </c>
      <c r="DR87" s="912"/>
      <c r="DS87" s="913"/>
      <c r="DT87" s="913"/>
      <c r="DU87" s="913"/>
      <c r="DV87" s="913"/>
      <c r="DW87" s="914"/>
    </row>
    <row r="88" spans="1:127">
      <c r="A88" s="1107" t="s">
        <v>215</v>
      </c>
      <c r="B88" s="904" t="s">
        <v>216</v>
      </c>
      <c r="C88" s="905">
        <f t="shared" si="10"/>
        <v>283344.12</v>
      </c>
      <c r="D88" s="906">
        <f t="shared" si="8"/>
        <v>60414.069999999992</v>
      </c>
      <c r="E88" s="907">
        <f t="shared" si="11"/>
        <v>30626.480000000003</v>
      </c>
      <c r="F88" s="908">
        <f t="shared" si="9"/>
        <v>30626.850000000002</v>
      </c>
      <c r="G88" s="907">
        <f t="shared" si="9"/>
        <v>-0.37</v>
      </c>
      <c r="H88" s="912"/>
      <c r="I88" s="913"/>
      <c r="J88" s="913"/>
      <c r="K88" s="913"/>
      <c r="L88" s="913"/>
      <c r="M88" s="914"/>
      <c r="N88" s="909">
        <v>4574.04</v>
      </c>
      <c r="O88" s="910">
        <v>0</v>
      </c>
      <c r="P88" s="910">
        <v>0</v>
      </c>
      <c r="Q88" s="910">
        <v>1143.51</v>
      </c>
      <c r="R88" s="910">
        <v>0</v>
      </c>
      <c r="S88" s="911">
        <v>5717.55</v>
      </c>
      <c r="T88" s="909">
        <v>7554.7</v>
      </c>
      <c r="U88" s="910">
        <v>0</v>
      </c>
      <c r="V88" s="910">
        <v>44.97</v>
      </c>
      <c r="W88" s="910">
        <v>1394.01</v>
      </c>
      <c r="X88" s="910">
        <v>0.01</v>
      </c>
      <c r="Y88" s="911">
        <v>8993.69</v>
      </c>
      <c r="Z88" s="915">
        <v>61135.28</v>
      </c>
      <c r="AA88" s="916">
        <v>0</v>
      </c>
      <c r="AB88" s="916">
        <v>0</v>
      </c>
      <c r="AC88" s="916">
        <v>15283.82</v>
      </c>
      <c r="AD88" s="916">
        <v>0</v>
      </c>
      <c r="AE88" s="917">
        <v>76419.100000000006</v>
      </c>
      <c r="AF88" s="912"/>
      <c r="AG88" s="913"/>
      <c r="AH88" s="913"/>
      <c r="AI88" s="913"/>
      <c r="AJ88" s="913"/>
      <c r="AK88" s="914"/>
      <c r="AL88" s="909">
        <v>784.88</v>
      </c>
      <c r="AM88" s="910">
        <v>0</v>
      </c>
      <c r="AN88" s="910">
        <v>196.22</v>
      </c>
      <c r="AO88" s="910">
        <v>0</v>
      </c>
      <c r="AP88" s="910">
        <v>0</v>
      </c>
      <c r="AQ88" s="911">
        <v>981.1</v>
      </c>
      <c r="AR88" s="909">
        <v>3841.6</v>
      </c>
      <c r="AS88" s="910">
        <v>0</v>
      </c>
      <c r="AT88" s="910">
        <v>960.4</v>
      </c>
      <c r="AU88" s="910">
        <v>0</v>
      </c>
      <c r="AV88" s="910">
        <v>0</v>
      </c>
      <c r="AW88" s="911">
        <v>4802</v>
      </c>
      <c r="AX88" s="912"/>
      <c r="AY88" s="913"/>
      <c r="AZ88" s="913"/>
      <c r="BA88" s="913"/>
      <c r="BB88" s="913"/>
      <c r="BC88" s="914"/>
      <c r="BD88" s="909">
        <v>25.66</v>
      </c>
      <c r="BE88" s="910">
        <v>0</v>
      </c>
      <c r="BF88" s="910">
        <v>544.34</v>
      </c>
      <c r="BG88" s="910">
        <v>0</v>
      </c>
      <c r="BH88" s="910">
        <v>0</v>
      </c>
      <c r="BI88" s="911">
        <v>570</v>
      </c>
      <c r="BJ88" s="909">
        <v>293.25</v>
      </c>
      <c r="BK88" s="910">
        <v>0</v>
      </c>
      <c r="BL88" s="910">
        <v>37.15</v>
      </c>
      <c r="BM88" s="910">
        <v>60.61</v>
      </c>
      <c r="BN88" s="910">
        <v>-0.01</v>
      </c>
      <c r="BO88" s="911">
        <v>391</v>
      </c>
      <c r="BP88" s="909">
        <v>37123.68</v>
      </c>
      <c r="BQ88" s="910">
        <v>1524.3</v>
      </c>
      <c r="BR88" s="910">
        <v>31286.48</v>
      </c>
      <c r="BS88" s="910">
        <v>3680.75</v>
      </c>
      <c r="BT88" s="910">
        <v>-0.21</v>
      </c>
      <c r="BU88" s="911">
        <v>73615</v>
      </c>
      <c r="BV88" s="909">
        <v>15740.36</v>
      </c>
      <c r="BW88" s="910">
        <v>0</v>
      </c>
      <c r="BX88" s="910">
        <v>9817.94</v>
      </c>
      <c r="BY88" s="910">
        <v>4688.22</v>
      </c>
      <c r="BZ88" s="910">
        <v>-7.0000000000000007E-2</v>
      </c>
      <c r="CA88" s="911">
        <v>30246.45</v>
      </c>
      <c r="CB88" s="912"/>
      <c r="CC88" s="913"/>
      <c r="CD88" s="913"/>
      <c r="CE88" s="913"/>
      <c r="CF88" s="913"/>
      <c r="CG88" s="914"/>
      <c r="CH88" s="912"/>
      <c r="CI88" s="913"/>
      <c r="CJ88" s="913"/>
      <c r="CK88" s="913"/>
      <c r="CL88" s="913"/>
      <c r="CM88" s="914"/>
      <c r="CN88" s="909">
        <v>6218</v>
      </c>
      <c r="CO88" s="910">
        <v>0</v>
      </c>
      <c r="CP88" s="910">
        <v>0</v>
      </c>
      <c r="CQ88" s="910">
        <v>0</v>
      </c>
      <c r="CR88" s="910">
        <v>0</v>
      </c>
      <c r="CS88" s="911">
        <v>6218</v>
      </c>
      <c r="CT88" s="909">
        <v>17083.52</v>
      </c>
      <c r="CU88" s="910">
        <v>-6.3</v>
      </c>
      <c r="CV88" s="910">
        <v>13824.42</v>
      </c>
      <c r="CW88" s="910">
        <v>1626.4</v>
      </c>
      <c r="CX88" s="910">
        <v>-0.04</v>
      </c>
      <c r="CY88" s="911">
        <v>32528</v>
      </c>
      <c r="CZ88" s="909">
        <v>94393.5</v>
      </c>
      <c r="DA88" s="910">
        <v>21770.5</v>
      </c>
      <c r="DB88" s="910">
        <v>0</v>
      </c>
      <c r="DC88" s="910">
        <v>0</v>
      </c>
      <c r="DD88" s="910">
        <v>0</v>
      </c>
      <c r="DE88" s="911">
        <v>116164</v>
      </c>
      <c r="DF88" s="909">
        <v>5313.92</v>
      </c>
      <c r="DG88" s="910">
        <v>0</v>
      </c>
      <c r="DH88" s="910">
        <v>3666.59</v>
      </c>
      <c r="DI88" s="910">
        <v>1647.32</v>
      </c>
      <c r="DJ88" s="910">
        <v>-0.04</v>
      </c>
      <c r="DK88" s="911">
        <v>10627.79</v>
      </c>
      <c r="DL88" s="909">
        <v>5973.23</v>
      </c>
      <c r="DM88" s="910">
        <v>0</v>
      </c>
      <c r="DN88" s="910">
        <v>35.56</v>
      </c>
      <c r="DO88" s="910">
        <v>1102.21</v>
      </c>
      <c r="DP88" s="910">
        <v>-0.01</v>
      </c>
      <c r="DQ88" s="911">
        <v>7110.99</v>
      </c>
      <c r="DR88" s="912"/>
      <c r="DS88" s="913"/>
      <c r="DT88" s="913"/>
      <c r="DU88" s="913"/>
      <c r="DV88" s="913"/>
      <c r="DW88" s="914"/>
    </row>
    <row r="89" spans="1:127">
      <c r="A89" s="1107" t="s">
        <v>217</v>
      </c>
      <c r="B89" s="904" t="s">
        <v>218</v>
      </c>
      <c r="C89" s="905">
        <f t="shared" si="10"/>
        <v>350380.62000000005</v>
      </c>
      <c r="D89" s="906">
        <f t="shared" si="8"/>
        <v>67127.000000000015</v>
      </c>
      <c r="E89" s="907">
        <f t="shared" si="11"/>
        <v>36063.530000000006</v>
      </c>
      <c r="F89" s="908">
        <f t="shared" si="9"/>
        <v>36005.330000000009</v>
      </c>
      <c r="G89" s="907">
        <f t="shared" si="9"/>
        <v>58.199999999999996</v>
      </c>
      <c r="H89" s="912"/>
      <c r="I89" s="913"/>
      <c r="J89" s="913"/>
      <c r="K89" s="913"/>
      <c r="L89" s="913"/>
      <c r="M89" s="914"/>
      <c r="N89" s="909">
        <v>23360.1</v>
      </c>
      <c r="O89" s="910">
        <v>0</v>
      </c>
      <c r="P89" s="910">
        <v>0</v>
      </c>
      <c r="Q89" s="910">
        <v>5840.04</v>
      </c>
      <c r="R89" s="910">
        <v>0</v>
      </c>
      <c r="S89" s="911">
        <v>29200.14</v>
      </c>
      <c r="T89" s="909">
        <v>3810.24</v>
      </c>
      <c r="U89" s="910">
        <v>0</v>
      </c>
      <c r="V89" s="910">
        <v>22.69</v>
      </c>
      <c r="W89" s="910">
        <v>703.08</v>
      </c>
      <c r="X89" s="910">
        <v>-0.01</v>
      </c>
      <c r="Y89" s="911">
        <v>4536</v>
      </c>
      <c r="Z89" s="915">
        <v>36724.46</v>
      </c>
      <c r="AA89" s="916">
        <v>0</v>
      </c>
      <c r="AB89" s="916">
        <v>0</v>
      </c>
      <c r="AC89" s="916">
        <v>9181.1</v>
      </c>
      <c r="AD89" s="916">
        <v>48.55</v>
      </c>
      <c r="AE89" s="917">
        <v>45954.11</v>
      </c>
      <c r="AF89" s="912"/>
      <c r="AG89" s="913"/>
      <c r="AH89" s="913"/>
      <c r="AI89" s="913"/>
      <c r="AJ89" s="913"/>
      <c r="AK89" s="914"/>
      <c r="AL89" s="912"/>
      <c r="AM89" s="913"/>
      <c r="AN89" s="913"/>
      <c r="AO89" s="913"/>
      <c r="AP89" s="913"/>
      <c r="AQ89" s="914"/>
      <c r="AR89" s="909">
        <v>1426.72</v>
      </c>
      <c r="AS89" s="910">
        <v>0</v>
      </c>
      <c r="AT89" s="910">
        <v>356.68</v>
      </c>
      <c r="AU89" s="910">
        <v>0</v>
      </c>
      <c r="AV89" s="910">
        <v>0</v>
      </c>
      <c r="AW89" s="911">
        <v>1783.4</v>
      </c>
      <c r="AX89" s="912"/>
      <c r="AY89" s="913"/>
      <c r="AZ89" s="913"/>
      <c r="BA89" s="913"/>
      <c r="BB89" s="913"/>
      <c r="BC89" s="914"/>
      <c r="BD89" s="912"/>
      <c r="BE89" s="913"/>
      <c r="BF89" s="913"/>
      <c r="BG89" s="913"/>
      <c r="BH89" s="913"/>
      <c r="BI89" s="914"/>
      <c r="BJ89" s="909">
        <v>13952.28</v>
      </c>
      <c r="BK89" s="910">
        <v>0</v>
      </c>
      <c r="BL89" s="910">
        <v>1767.28</v>
      </c>
      <c r="BM89" s="910">
        <v>2883.47</v>
      </c>
      <c r="BN89" s="910">
        <v>-0.03</v>
      </c>
      <c r="BO89" s="911">
        <v>18603</v>
      </c>
      <c r="BP89" s="909">
        <v>25004.42</v>
      </c>
      <c r="BQ89" s="910">
        <v>1047.7</v>
      </c>
      <c r="BR89" s="910">
        <v>21089.82</v>
      </c>
      <c r="BS89" s="910">
        <v>2481.15</v>
      </c>
      <c r="BT89" s="910">
        <v>-0.09</v>
      </c>
      <c r="BU89" s="911">
        <v>49623</v>
      </c>
      <c r="BV89" s="909">
        <v>32079.22</v>
      </c>
      <c r="BW89" s="910">
        <v>0</v>
      </c>
      <c r="BX89" s="910">
        <v>20990.66</v>
      </c>
      <c r="BY89" s="910">
        <v>9734.7000000000007</v>
      </c>
      <c r="BZ89" s="910">
        <v>-0.08</v>
      </c>
      <c r="CA89" s="911">
        <v>62804.5</v>
      </c>
      <c r="CB89" s="912"/>
      <c r="CC89" s="913"/>
      <c r="CD89" s="913"/>
      <c r="CE89" s="913"/>
      <c r="CF89" s="913"/>
      <c r="CG89" s="914"/>
      <c r="CH89" s="912"/>
      <c r="CI89" s="913"/>
      <c r="CJ89" s="913"/>
      <c r="CK89" s="913"/>
      <c r="CL89" s="913"/>
      <c r="CM89" s="914"/>
      <c r="CN89" s="909">
        <v>51924</v>
      </c>
      <c r="CO89" s="910">
        <v>0</v>
      </c>
      <c r="CP89" s="910">
        <v>0</v>
      </c>
      <c r="CQ89" s="910">
        <v>0</v>
      </c>
      <c r="CR89" s="910">
        <v>0</v>
      </c>
      <c r="CS89" s="911">
        <v>51924</v>
      </c>
      <c r="CT89" s="909">
        <v>24617.58</v>
      </c>
      <c r="CU89" s="910">
        <v>981.5</v>
      </c>
      <c r="CV89" s="910">
        <v>20723.080000000002</v>
      </c>
      <c r="CW89" s="910">
        <v>2438</v>
      </c>
      <c r="CX89" s="910">
        <v>9.84</v>
      </c>
      <c r="CY89" s="911">
        <v>48770</v>
      </c>
      <c r="CZ89" s="909">
        <v>108957</v>
      </c>
      <c r="DA89" s="910">
        <v>13714</v>
      </c>
      <c r="DB89" s="910">
        <v>0</v>
      </c>
      <c r="DC89" s="910">
        <v>0</v>
      </c>
      <c r="DD89" s="910">
        <v>0</v>
      </c>
      <c r="DE89" s="911">
        <v>122671</v>
      </c>
      <c r="DF89" s="909">
        <v>3071.01</v>
      </c>
      <c r="DG89" s="910">
        <v>0</v>
      </c>
      <c r="DH89" s="910">
        <v>2118.9899999999998</v>
      </c>
      <c r="DI89" s="910">
        <v>952.01</v>
      </c>
      <c r="DJ89" s="910">
        <v>-0.01</v>
      </c>
      <c r="DK89" s="911">
        <v>6142</v>
      </c>
      <c r="DL89" s="909">
        <v>9710.39</v>
      </c>
      <c r="DM89" s="910">
        <v>0</v>
      </c>
      <c r="DN89" s="910">
        <v>57.8</v>
      </c>
      <c r="DO89" s="910">
        <v>1791.78</v>
      </c>
      <c r="DP89" s="910">
        <v>0.03</v>
      </c>
      <c r="DQ89" s="911">
        <v>11560</v>
      </c>
      <c r="DR89" s="912"/>
      <c r="DS89" s="913"/>
      <c r="DT89" s="913"/>
      <c r="DU89" s="913"/>
      <c r="DV89" s="913"/>
      <c r="DW89" s="914"/>
    </row>
    <row r="90" spans="1:127">
      <c r="A90" s="1107" t="s">
        <v>219</v>
      </c>
      <c r="B90" s="904" t="s">
        <v>220</v>
      </c>
      <c r="C90" s="905">
        <f t="shared" si="10"/>
        <v>955436.02000000014</v>
      </c>
      <c r="D90" s="906">
        <f t="shared" si="8"/>
        <v>451817.98</v>
      </c>
      <c r="E90" s="907">
        <f t="shared" si="11"/>
        <v>108333.68</v>
      </c>
      <c r="F90" s="908">
        <f t="shared" si="9"/>
        <v>98813.04</v>
      </c>
      <c r="G90" s="907">
        <f t="shared" si="9"/>
        <v>9520.64</v>
      </c>
      <c r="H90" s="912"/>
      <c r="I90" s="913"/>
      <c r="J90" s="913"/>
      <c r="K90" s="913"/>
      <c r="L90" s="913"/>
      <c r="M90" s="914"/>
      <c r="N90" s="909">
        <v>2273.39</v>
      </c>
      <c r="O90" s="910">
        <v>0</v>
      </c>
      <c r="P90" s="910">
        <v>0</v>
      </c>
      <c r="Q90" s="910">
        <v>568.35</v>
      </c>
      <c r="R90" s="910">
        <v>9521.15</v>
      </c>
      <c r="S90" s="911">
        <v>12362.89</v>
      </c>
      <c r="T90" s="909">
        <v>6467.6</v>
      </c>
      <c r="U90" s="910">
        <v>0</v>
      </c>
      <c r="V90" s="910">
        <v>38.49</v>
      </c>
      <c r="W90" s="910">
        <v>1193.43</v>
      </c>
      <c r="X90" s="910">
        <v>0.01</v>
      </c>
      <c r="Y90" s="911">
        <v>7699.53</v>
      </c>
      <c r="Z90" s="915">
        <v>29550.05</v>
      </c>
      <c r="AA90" s="916">
        <v>0</v>
      </c>
      <c r="AB90" s="916">
        <v>0</v>
      </c>
      <c r="AC90" s="916">
        <v>7387.53</v>
      </c>
      <c r="AD90" s="916">
        <v>0</v>
      </c>
      <c r="AE90" s="917">
        <v>36937.58</v>
      </c>
      <c r="AF90" s="912"/>
      <c r="AG90" s="913"/>
      <c r="AH90" s="913"/>
      <c r="AI90" s="913"/>
      <c r="AJ90" s="913"/>
      <c r="AK90" s="914"/>
      <c r="AL90" s="909">
        <v>14979.92</v>
      </c>
      <c r="AM90" s="910">
        <v>0</v>
      </c>
      <c r="AN90" s="910">
        <v>3744.98</v>
      </c>
      <c r="AO90" s="910">
        <v>0</v>
      </c>
      <c r="AP90" s="910">
        <v>0</v>
      </c>
      <c r="AQ90" s="911">
        <v>18724.900000000001</v>
      </c>
      <c r="AR90" s="909">
        <v>7801.27</v>
      </c>
      <c r="AS90" s="910">
        <v>0</v>
      </c>
      <c r="AT90" s="910">
        <v>1950.32</v>
      </c>
      <c r="AU90" s="910">
        <v>0</v>
      </c>
      <c r="AV90" s="910">
        <v>0</v>
      </c>
      <c r="AW90" s="911">
        <v>9751.59</v>
      </c>
      <c r="AX90" s="912"/>
      <c r="AY90" s="913"/>
      <c r="AZ90" s="913"/>
      <c r="BA90" s="913"/>
      <c r="BB90" s="913"/>
      <c r="BC90" s="914"/>
      <c r="BD90" s="909">
        <v>1013.96</v>
      </c>
      <c r="BE90" s="910">
        <v>0</v>
      </c>
      <c r="BF90" s="910">
        <v>4231.04</v>
      </c>
      <c r="BG90" s="910">
        <v>0</v>
      </c>
      <c r="BH90" s="910">
        <v>0</v>
      </c>
      <c r="BI90" s="911">
        <v>5245</v>
      </c>
      <c r="BJ90" s="909">
        <v>32407.54</v>
      </c>
      <c r="BK90" s="910">
        <v>0</v>
      </c>
      <c r="BL90" s="910">
        <v>4104.97</v>
      </c>
      <c r="BM90" s="910">
        <v>6697.57</v>
      </c>
      <c r="BN90" s="910">
        <v>-0.06</v>
      </c>
      <c r="BO90" s="911">
        <v>43210.02</v>
      </c>
      <c r="BP90" s="909">
        <v>429023.77</v>
      </c>
      <c r="BQ90" s="910">
        <v>20637.009999999998</v>
      </c>
      <c r="BR90" s="910">
        <v>364011.14</v>
      </c>
      <c r="BS90" s="910">
        <v>42824.82</v>
      </c>
      <c r="BT90" s="910">
        <v>-0.32</v>
      </c>
      <c r="BU90" s="911">
        <v>856496.42</v>
      </c>
      <c r="BV90" s="909">
        <v>106633.04</v>
      </c>
      <c r="BW90" s="910">
        <v>0</v>
      </c>
      <c r="BX90" s="910">
        <v>71743.570000000007</v>
      </c>
      <c r="BY90" s="910">
        <v>32719.95</v>
      </c>
      <c r="BZ90" s="910">
        <v>-0.12</v>
      </c>
      <c r="CA90" s="911">
        <v>211096.44</v>
      </c>
      <c r="CB90" s="909">
        <v>2900.35</v>
      </c>
      <c r="CC90" s="910">
        <v>0</v>
      </c>
      <c r="CD90" s="910">
        <v>0</v>
      </c>
      <c r="CE90" s="910">
        <v>5002.54</v>
      </c>
      <c r="CF90" s="910">
        <v>-0.01</v>
      </c>
      <c r="CG90" s="911">
        <v>7902.88</v>
      </c>
      <c r="CH90" s="912"/>
      <c r="CI90" s="913"/>
      <c r="CJ90" s="913"/>
      <c r="CK90" s="913"/>
      <c r="CL90" s="913"/>
      <c r="CM90" s="914"/>
      <c r="CN90" s="909">
        <v>111914.3</v>
      </c>
      <c r="CO90" s="910">
        <v>0</v>
      </c>
      <c r="CP90" s="910">
        <v>0</v>
      </c>
      <c r="CQ90" s="910">
        <v>0</v>
      </c>
      <c r="CR90" s="910">
        <v>0</v>
      </c>
      <c r="CS90" s="911">
        <v>111914.3</v>
      </c>
      <c r="CT90" s="909">
        <v>884.52</v>
      </c>
      <c r="CU90" s="910">
        <v>39.06</v>
      </c>
      <c r="CV90" s="910">
        <v>747.66</v>
      </c>
      <c r="CW90" s="910">
        <v>87.96</v>
      </c>
      <c r="CX90" s="910">
        <v>0</v>
      </c>
      <c r="CY90" s="911">
        <v>1759.2</v>
      </c>
      <c r="CZ90" s="909">
        <v>152953.4</v>
      </c>
      <c r="DA90" s="910">
        <v>24495.599999999999</v>
      </c>
      <c r="DB90" s="910">
        <v>0</v>
      </c>
      <c r="DC90" s="910">
        <v>0</v>
      </c>
      <c r="DD90" s="910">
        <v>0</v>
      </c>
      <c r="DE90" s="911">
        <v>177449</v>
      </c>
      <c r="DF90" s="909">
        <v>1721.5</v>
      </c>
      <c r="DG90" s="910">
        <v>0</v>
      </c>
      <c r="DH90" s="910">
        <v>1187.8399999999999</v>
      </c>
      <c r="DI90" s="910">
        <v>533.66999999999996</v>
      </c>
      <c r="DJ90" s="910">
        <v>-0.01</v>
      </c>
      <c r="DK90" s="911">
        <v>3443</v>
      </c>
      <c r="DL90" s="909">
        <v>9739.74</v>
      </c>
      <c r="DM90" s="910">
        <v>0</v>
      </c>
      <c r="DN90" s="910">
        <v>57.97</v>
      </c>
      <c r="DO90" s="910">
        <v>1797.22</v>
      </c>
      <c r="DP90" s="910">
        <v>0</v>
      </c>
      <c r="DQ90" s="911">
        <v>11594.93</v>
      </c>
      <c r="DR90" s="912"/>
      <c r="DS90" s="913"/>
      <c r="DT90" s="913"/>
      <c r="DU90" s="913"/>
      <c r="DV90" s="913"/>
      <c r="DW90" s="914"/>
    </row>
    <row r="91" spans="1:127">
      <c r="A91" s="1107" t="s">
        <v>221</v>
      </c>
      <c r="B91" s="904" t="s">
        <v>222</v>
      </c>
      <c r="C91" s="905">
        <f t="shared" si="10"/>
        <v>1008677.9299999999</v>
      </c>
      <c r="D91" s="906">
        <f t="shared" si="8"/>
        <v>305385.32000000007</v>
      </c>
      <c r="E91" s="907">
        <f t="shared" si="11"/>
        <v>77310.06</v>
      </c>
      <c r="F91" s="908">
        <f t="shared" si="9"/>
        <v>52786.92</v>
      </c>
      <c r="G91" s="907">
        <f t="shared" si="9"/>
        <v>24523.140000000003</v>
      </c>
      <c r="H91" s="912"/>
      <c r="I91" s="913"/>
      <c r="J91" s="913"/>
      <c r="K91" s="913"/>
      <c r="L91" s="913"/>
      <c r="M91" s="914"/>
      <c r="N91" s="909">
        <v>18.329999999999998</v>
      </c>
      <c r="O91" s="910">
        <v>0</v>
      </c>
      <c r="P91" s="910">
        <v>0</v>
      </c>
      <c r="Q91" s="910">
        <v>4.58</v>
      </c>
      <c r="R91" s="910">
        <v>24323.72</v>
      </c>
      <c r="S91" s="911">
        <v>24346.63</v>
      </c>
      <c r="T91" s="909">
        <v>330.27</v>
      </c>
      <c r="U91" s="910">
        <v>0</v>
      </c>
      <c r="V91" s="910">
        <v>1.97</v>
      </c>
      <c r="W91" s="910">
        <v>60.95</v>
      </c>
      <c r="X91" s="910">
        <v>199.98</v>
      </c>
      <c r="Y91" s="911">
        <v>593.16999999999996</v>
      </c>
      <c r="Z91" s="915">
        <v>21220.9</v>
      </c>
      <c r="AA91" s="916">
        <v>0</v>
      </c>
      <c r="AB91" s="916">
        <v>0</v>
      </c>
      <c r="AC91" s="916">
        <v>5305.19</v>
      </c>
      <c r="AD91" s="916">
        <v>0</v>
      </c>
      <c r="AE91" s="917">
        <v>26526.09</v>
      </c>
      <c r="AF91" s="912"/>
      <c r="AG91" s="913"/>
      <c r="AH91" s="913"/>
      <c r="AI91" s="913"/>
      <c r="AJ91" s="913"/>
      <c r="AK91" s="914"/>
      <c r="AL91" s="909">
        <v>1878.4</v>
      </c>
      <c r="AM91" s="910">
        <v>0</v>
      </c>
      <c r="AN91" s="910">
        <v>469.6</v>
      </c>
      <c r="AO91" s="910">
        <v>0</v>
      </c>
      <c r="AP91" s="910">
        <v>0</v>
      </c>
      <c r="AQ91" s="911">
        <v>2348</v>
      </c>
      <c r="AR91" s="909">
        <v>8430.83</v>
      </c>
      <c r="AS91" s="910">
        <v>0</v>
      </c>
      <c r="AT91" s="910">
        <v>2107.71</v>
      </c>
      <c r="AU91" s="910">
        <v>0</v>
      </c>
      <c r="AV91" s="910">
        <v>0</v>
      </c>
      <c r="AW91" s="911">
        <v>10538.54</v>
      </c>
      <c r="AX91" s="912"/>
      <c r="AY91" s="913"/>
      <c r="AZ91" s="913"/>
      <c r="BA91" s="913"/>
      <c r="BB91" s="913"/>
      <c r="BC91" s="914"/>
      <c r="BD91" s="909">
        <v>1644.8</v>
      </c>
      <c r="BE91" s="910">
        <v>0</v>
      </c>
      <c r="BF91" s="910">
        <v>7837.7</v>
      </c>
      <c r="BG91" s="910">
        <v>0</v>
      </c>
      <c r="BH91" s="910">
        <v>0</v>
      </c>
      <c r="BI91" s="911">
        <v>9482.5</v>
      </c>
      <c r="BJ91" s="912"/>
      <c r="BK91" s="913"/>
      <c r="BL91" s="913"/>
      <c r="BM91" s="913"/>
      <c r="BN91" s="913"/>
      <c r="BO91" s="914"/>
      <c r="BP91" s="909">
        <v>296505.26</v>
      </c>
      <c r="BQ91" s="910">
        <v>10250.51</v>
      </c>
      <c r="BR91" s="910">
        <v>248326.14</v>
      </c>
      <c r="BS91" s="910">
        <v>29214.799999999999</v>
      </c>
      <c r="BT91" s="910">
        <v>-0.46</v>
      </c>
      <c r="BU91" s="911">
        <v>584296.25</v>
      </c>
      <c r="BV91" s="909">
        <v>17777.82</v>
      </c>
      <c r="BW91" s="910">
        <v>0</v>
      </c>
      <c r="BX91" s="910">
        <v>12113.55</v>
      </c>
      <c r="BY91" s="910">
        <v>5483.04</v>
      </c>
      <c r="BZ91" s="910">
        <v>-0.05</v>
      </c>
      <c r="CA91" s="911">
        <v>35374.36</v>
      </c>
      <c r="CB91" s="909">
        <v>4210.74</v>
      </c>
      <c r="CC91" s="910">
        <v>0</v>
      </c>
      <c r="CD91" s="910">
        <v>0</v>
      </c>
      <c r="CE91" s="910">
        <v>7262.69</v>
      </c>
      <c r="CF91" s="910">
        <v>-0.02</v>
      </c>
      <c r="CG91" s="911">
        <v>11473.41</v>
      </c>
      <c r="CH91" s="912"/>
      <c r="CI91" s="913"/>
      <c r="CJ91" s="913"/>
      <c r="CK91" s="913"/>
      <c r="CL91" s="913"/>
      <c r="CM91" s="914"/>
      <c r="CN91" s="909">
        <v>316651.5</v>
      </c>
      <c r="CO91" s="910">
        <v>0</v>
      </c>
      <c r="CP91" s="910">
        <v>0</v>
      </c>
      <c r="CQ91" s="910">
        <v>0</v>
      </c>
      <c r="CR91" s="910">
        <v>0</v>
      </c>
      <c r="CS91" s="911">
        <v>316651.5</v>
      </c>
      <c r="CT91" s="909">
        <v>38075.629999999997</v>
      </c>
      <c r="CU91" s="910">
        <v>0</v>
      </c>
      <c r="CV91" s="910">
        <v>30823.13</v>
      </c>
      <c r="CW91" s="910">
        <v>3626.25</v>
      </c>
      <c r="CX91" s="910">
        <v>-0.01</v>
      </c>
      <c r="CY91" s="911">
        <v>72525</v>
      </c>
      <c r="CZ91" s="909">
        <v>248179.8</v>
      </c>
      <c r="DA91" s="910">
        <v>37235.449999999997</v>
      </c>
      <c r="DB91" s="910">
        <v>0</v>
      </c>
      <c r="DC91" s="910">
        <v>0</v>
      </c>
      <c r="DD91" s="910">
        <v>0</v>
      </c>
      <c r="DE91" s="911">
        <v>285415.25</v>
      </c>
      <c r="DF91" s="909">
        <v>5362.5</v>
      </c>
      <c r="DG91" s="910">
        <v>0</v>
      </c>
      <c r="DH91" s="910">
        <v>3700.12</v>
      </c>
      <c r="DI91" s="910">
        <v>1662.38</v>
      </c>
      <c r="DJ91" s="910">
        <v>0</v>
      </c>
      <c r="DK91" s="911">
        <v>10725</v>
      </c>
      <c r="DL91" s="909">
        <v>905.19</v>
      </c>
      <c r="DM91" s="910">
        <v>0</v>
      </c>
      <c r="DN91" s="910">
        <v>5.4</v>
      </c>
      <c r="DO91" s="910">
        <v>167.04</v>
      </c>
      <c r="DP91" s="910">
        <v>-0.02</v>
      </c>
      <c r="DQ91" s="911">
        <v>1077.6099999999999</v>
      </c>
      <c r="DR91" s="912"/>
      <c r="DS91" s="913"/>
      <c r="DT91" s="913"/>
      <c r="DU91" s="913"/>
      <c r="DV91" s="913"/>
      <c r="DW91" s="914"/>
    </row>
    <row r="92" spans="1:127">
      <c r="A92" s="1107" t="s">
        <v>225</v>
      </c>
      <c r="B92" s="904" t="s">
        <v>226</v>
      </c>
      <c r="C92" s="905">
        <f t="shared" si="10"/>
        <v>164101.42000000001</v>
      </c>
      <c r="D92" s="906">
        <f t="shared" si="8"/>
        <v>26683.96</v>
      </c>
      <c r="E92" s="907">
        <f t="shared" si="11"/>
        <v>33561.149999999994</v>
      </c>
      <c r="F92" s="908">
        <f t="shared" si="9"/>
        <v>23574.229999999996</v>
      </c>
      <c r="G92" s="907">
        <f t="shared" si="9"/>
        <v>9986.9200000000019</v>
      </c>
      <c r="H92" s="912"/>
      <c r="I92" s="913"/>
      <c r="J92" s="913"/>
      <c r="K92" s="913"/>
      <c r="L92" s="913"/>
      <c r="M92" s="914"/>
      <c r="N92" s="909">
        <v>27571.95</v>
      </c>
      <c r="O92" s="910">
        <v>0</v>
      </c>
      <c r="P92" s="910">
        <v>0</v>
      </c>
      <c r="Q92" s="910">
        <v>6893.01</v>
      </c>
      <c r="R92" s="910">
        <v>0</v>
      </c>
      <c r="S92" s="911">
        <v>34464.959999999999</v>
      </c>
      <c r="T92" s="909">
        <v>1208.76</v>
      </c>
      <c r="U92" s="910">
        <v>0</v>
      </c>
      <c r="V92" s="910">
        <v>7.2</v>
      </c>
      <c r="W92" s="910">
        <v>223.05</v>
      </c>
      <c r="X92" s="910">
        <v>-0.01</v>
      </c>
      <c r="Y92" s="911">
        <v>1439</v>
      </c>
      <c r="Z92" s="915">
        <v>22815.8</v>
      </c>
      <c r="AA92" s="916">
        <v>0</v>
      </c>
      <c r="AB92" s="916">
        <v>0</v>
      </c>
      <c r="AC92" s="916">
        <v>5703.95</v>
      </c>
      <c r="AD92" s="916">
        <v>10451.65</v>
      </c>
      <c r="AE92" s="917">
        <v>38971.4</v>
      </c>
      <c r="AF92" s="909">
        <v>3304.31</v>
      </c>
      <c r="AG92" s="910">
        <v>0</v>
      </c>
      <c r="AH92" s="910">
        <v>1991.7</v>
      </c>
      <c r="AI92" s="910">
        <v>971.47</v>
      </c>
      <c r="AJ92" s="910">
        <v>0.97</v>
      </c>
      <c r="AK92" s="911">
        <v>6268.45</v>
      </c>
      <c r="AL92" s="912"/>
      <c r="AM92" s="913"/>
      <c r="AN92" s="913"/>
      <c r="AO92" s="913"/>
      <c r="AP92" s="913"/>
      <c r="AQ92" s="914"/>
      <c r="AR92" s="912"/>
      <c r="AS92" s="913"/>
      <c r="AT92" s="913"/>
      <c r="AU92" s="913"/>
      <c r="AV92" s="913"/>
      <c r="AW92" s="914"/>
      <c r="AX92" s="912"/>
      <c r="AY92" s="913"/>
      <c r="AZ92" s="913"/>
      <c r="BA92" s="913"/>
      <c r="BB92" s="913"/>
      <c r="BC92" s="914"/>
      <c r="BD92" s="912"/>
      <c r="BE92" s="913"/>
      <c r="BF92" s="913"/>
      <c r="BG92" s="913"/>
      <c r="BH92" s="913"/>
      <c r="BI92" s="914"/>
      <c r="BJ92" s="909">
        <v>9968.27</v>
      </c>
      <c r="BK92" s="910">
        <v>0</v>
      </c>
      <c r="BL92" s="910">
        <v>1262.6500000000001</v>
      </c>
      <c r="BM92" s="910">
        <v>2060.12</v>
      </c>
      <c r="BN92" s="910">
        <v>-564.39</v>
      </c>
      <c r="BO92" s="911">
        <v>12726.65</v>
      </c>
      <c r="BP92" s="909">
        <v>20235.490000000002</v>
      </c>
      <c r="BQ92" s="910">
        <v>641.04999999999995</v>
      </c>
      <c r="BR92" s="910">
        <v>16897.84</v>
      </c>
      <c r="BS92" s="910">
        <v>2012.75</v>
      </c>
      <c r="BT92" s="910">
        <v>-0.13</v>
      </c>
      <c r="BU92" s="911">
        <v>39787</v>
      </c>
      <c r="BV92" s="909">
        <v>7337.55</v>
      </c>
      <c r="BW92" s="910">
        <v>0</v>
      </c>
      <c r="BX92" s="910">
        <v>5062.93</v>
      </c>
      <c r="BY92" s="910">
        <v>2274.67</v>
      </c>
      <c r="BZ92" s="910">
        <v>-7.0000000000000007E-2</v>
      </c>
      <c r="CA92" s="911">
        <v>14675.08</v>
      </c>
      <c r="CB92" s="912"/>
      <c r="CC92" s="913"/>
      <c r="CD92" s="913"/>
      <c r="CE92" s="913"/>
      <c r="CF92" s="913"/>
      <c r="CG92" s="914"/>
      <c r="CH92" s="912"/>
      <c r="CI92" s="913"/>
      <c r="CJ92" s="913"/>
      <c r="CK92" s="913"/>
      <c r="CL92" s="913"/>
      <c r="CM92" s="914"/>
      <c r="CN92" s="909">
        <v>2771</v>
      </c>
      <c r="CO92" s="910">
        <v>0</v>
      </c>
      <c r="CP92" s="910">
        <v>0</v>
      </c>
      <c r="CQ92" s="910">
        <v>0</v>
      </c>
      <c r="CR92" s="910">
        <v>0</v>
      </c>
      <c r="CS92" s="911">
        <v>2771</v>
      </c>
      <c r="CT92" s="912"/>
      <c r="CU92" s="913"/>
      <c r="CV92" s="913"/>
      <c r="CW92" s="913"/>
      <c r="CX92" s="913"/>
      <c r="CY92" s="914"/>
      <c r="CZ92" s="909">
        <v>44977.7</v>
      </c>
      <c r="DA92" s="910">
        <v>6003.7</v>
      </c>
      <c r="DB92" s="910">
        <v>0</v>
      </c>
      <c r="DC92" s="910">
        <v>0</v>
      </c>
      <c r="DD92" s="910">
        <v>0</v>
      </c>
      <c r="DE92" s="911">
        <v>50981.4</v>
      </c>
      <c r="DF92" s="909">
        <v>1986.5</v>
      </c>
      <c r="DG92" s="910">
        <v>0</v>
      </c>
      <c r="DH92" s="910">
        <v>1370.69</v>
      </c>
      <c r="DI92" s="910">
        <v>615.82000000000005</v>
      </c>
      <c r="DJ92" s="910">
        <v>1585.69</v>
      </c>
      <c r="DK92" s="911">
        <v>5558.7</v>
      </c>
      <c r="DL92" s="909">
        <v>15279.34</v>
      </c>
      <c r="DM92" s="910">
        <v>0</v>
      </c>
      <c r="DN92" s="910">
        <v>90.95</v>
      </c>
      <c r="DO92" s="910">
        <v>2819.39</v>
      </c>
      <c r="DP92" s="910">
        <v>-1486.79</v>
      </c>
      <c r="DQ92" s="911">
        <v>16702.89</v>
      </c>
      <c r="DR92" s="912"/>
      <c r="DS92" s="913"/>
      <c r="DT92" s="913"/>
      <c r="DU92" s="913"/>
      <c r="DV92" s="913"/>
      <c r="DW92" s="914"/>
    </row>
    <row r="93" spans="1:127">
      <c r="A93" s="1107" t="s">
        <v>227</v>
      </c>
      <c r="B93" s="904" t="s">
        <v>228</v>
      </c>
      <c r="C93" s="905">
        <f t="shared" si="10"/>
        <v>154751.76</v>
      </c>
      <c r="D93" s="906">
        <f t="shared" si="8"/>
        <v>25415.59</v>
      </c>
      <c r="E93" s="907">
        <f t="shared" si="11"/>
        <v>14357.26</v>
      </c>
      <c r="F93" s="908">
        <f t="shared" si="9"/>
        <v>14355.91</v>
      </c>
      <c r="G93" s="907">
        <f t="shared" si="9"/>
        <v>1.3499999999999999</v>
      </c>
      <c r="H93" s="912"/>
      <c r="I93" s="913"/>
      <c r="J93" s="913"/>
      <c r="K93" s="913"/>
      <c r="L93" s="913"/>
      <c r="M93" s="914"/>
      <c r="N93" s="909">
        <v>18040.759999999998</v>
      </c>
      <c r="O93" s="910">
        <v>0</v>
      </c>
      <c r="P93" s="910">
        <v>0</v>
      </c>
      <c r="Q93" s="910">
        <v>4510.1899999999996</v>
      </c>
      <c r="R93" s="910">
        <v>1.5</v>
      </c>
      <c r="S93" s="911">
        <v>22552.45</v>
      </c>
      <c r="T93" s="909">
        <v>2256.25</v>
      </c>
      <c r="U93" s="910">
        <v>0</v>
      </c>
      <c r="V93" s="910">
        <v>13.43</v>
      </c>
      <c r="W93" s="910">
        <v>416.33</v>
      </c>
      <c r="X93" s="910">
        <v>-0.01</v>
      </c>
      <c r="Y93" s="911">
        <v>2686</v>
      </c>
      <c r="Z93" s="915">
        <v>11756.75</v>
      </c>
      <c r="AA93" s="916">
        <v>0</v>
      </c>
      <c r="AB93" s="916">
        <v>0</v>
      </c>
      <c r="AC93" s="916">
        <v>2939.19</v>
      </c>
      <c r="AD93" s="916">
        <v>0</v>
      </c>
      <c r="AE93" s="917">
        <v>14695.94</v>
      </c>
      <c r="AF93" s="912"/>
      <c r="AG93" s="913"/>
      <c r="AH93" s="913"/>
      <c r="AI93" s="913"/>
      <c r="AJ93" s="913"/>
      <c r="AK93" s="914"/>
      <c r="AL93" s="912"/>
      <c r="AM93" s="913"/>
      <c r="AN93" s="913"/>
      <c r="AO93" s="913"/>
      <c r="AP93" s="913"/>
      <c r="AQ93" s="914"/>
      <c r="AR93" s="912"/>
      <c r="AS93" s="913"/>
      <c r="AT93" s="913"/>
      <c r="AU93" s="913"/>
      <c r="AV93" s="913"/>
      <c r="AW93" s="914"/>
      <c r="AX93" s="912"/>
      <c r="AY93" s="913"/>
      <c r="AZ93" s="913"/>
      <c r="BA93" s="913"/>
      <c r="BB93" s="913"/>
      <c r="BC93" s="914"/>
      <c r="BD93" s="912"/>
      <c r="BE93" s="913"/>
      <c r="BF93" s="913"/>
      <c r="BG93" s="913"/>
      <c r="BH93" s="913"/>
      <c r="BI93" s="914"/>
      <c r="BJ93" s="912"/>
      <c r="BK93" s="913"/>
      <c r="BL93" s="913"/>
      <c r="BM93" s="913"/>
      <c r="BN93" s="913"/>
      <c r="BO93" s="914"/>
      <c r="BP93" s="909">
        <v>23099.83</v>
      </c>
      <c r="BQ93" s="910">
        <v>1044.1199999999999</v>
      </c>
      <c r="BR93" s="910">
        <v>19545.11</v>
      </c>
      <c r="BS93" s="910">
        <v>2299.42</v>
      </c>
      <c r="BT93" s="910">
        <v>-0.08</v>
      </c>
      <c r="BU93" s="911">
        <v>45988.4</v>
      </c>
      <c r="BV93" s="909">
        <v>6707.08</v>
      </c>
      <c r="BW93" s="910">
        <v>0</v>
      </c>
      <c r="BX93" s="910">
        <v>4152.8999999999996</v>
      </c>
      <c r="BY93" s="910">
        <v>1992.11</v>
      </c>
      <c r="BZ93" s="910">
        <v>-7.0000000000000007E-2</v>
      </c>
      <c r="CA93" s="911">
        <v>12852.02</v>
      </c>
      <c r="CB93" s="912"/>
      <c r="CC93" s="913"/>
      <c r="CD93" s="913"/>
      <c r="CE93" s="913"/>
      <c r="CF93" s="913"/>
      <c r="CG93" s="914"/>
      <c r="CH93" s="912"/>
      <c r="CI93" s="913"/>
      <c r="CJ93" s="913"/>
      <c r="CK93" s="913"/>
      <c r="CL93" s="913"/>
      <c r="CM93" s="914"/>
      <c r="CN93" s="912"/>
      <c r="CO93" s="913"/>
      <c r="CP93" s="913"/>
      <c r="CQ93" s="913"/>
      <c r="CR93" s="913"/>
      <c r="CS93" s="914"/>
      <c r="CT93" s="909">
        <v>-744.45</v>
      </c>
      <c r="CU93" s="910">
        <v>0</v>
      </c>
      <c r="CV93" s="910">
        <v>-602.65</v>
      </c>
      <c r="CW93" s="910">
        <v>-70.900000000000006</v>
      </c>
      <c r="CX93" s="910">
        <v>0</v>
      </c>
      <c r="CY93" s="911">
        <v>-1418</v>
      </c>
      <c r="CZ93" s="909">
        <v>73368.710000000006</v>
      </c>
      <c r="DA93" s="910">
        <v>9156.7999999999993</v>
      </c>
      <c r="DB93" s="910">
        <v>0</v>
      </c>
      <c r="DC93" s="910">
        <v>0</v>
      </c>
      <c r="DD93" s="910">
        <v>0</v>
      </c>
      <c r="DE93" s="911">
        <v>82525.509999999995</v>
      </c>
      <c r="DF93" s="909">
        <v>3284.66</v>
      </c>
      <c r="DG93" s="910">
        <v>0</v>
      </c>
      <c r="DH93" s="910">
        <v>2266.4299999999998</v>
      </c>
      <c r="DI93" s="910">
        <v>1018.26</v>
      </c>
      <c r="DJ93" s="910">
        <v>0</v>
      </c>
      <c r="DK93" s="911">
        <v>6569.35</v>
      </c>
      <c r="DL93" s="909">
        <v>6781.25</v>
      </c>
      <c r="DM93" s="910">
        <v>0</v>
      </c>
      <c r="DN93" s="910">
        <v>40.369999999999997</v>
      </c>
      <c r="DO93" s="910">
        <v>1251.31</v>
      </c>
      <c r="DP93" s="910">
        <v>0.01</v>
      </c>
      <c r="DQ93" s="911">
        <v>8072.94</v>
      </c>
      <c r="DR93" s="912"/>
      <c r="DS93" s="913"/>
      <c r="DT93" s="913"/>
      <c r="DU93" s="913"/>
      <c r="DV93" s="913"/>
      <c r="DW93" s="914"/>
    </row>
    <row r="94" spans="1:127">
      <c r="A94" s="1107" t="s">
        <v>229</v>
      </c>
      <c r="B94" s="904" t="s">
        <v>230</v>
      </c>
      <c r="C94" s="905">
        <f t="shared" si="10"/>
        <v>384895.01</v>
      </c>
      <c r="D94" s="906">
        <f t="shared" si="8"/>
        <v>102764.45</v>
      </c>
      <c r="E94" s="907">
        <f t="shared" si="11"/>
        <v>54415.689999999995</v>
      </c>
      <c r="F94" s="908">
        <f t="shared" si="9"/>
        <v>54416.359999999993</v>
      </c>
      <c r="G94" s="907">
        <f t="shared" si="9"/>
        <v>-0.67</v>
      </c>
      <c r="H94" s="912"/>
      <c r="I94" s="913"/>
      <c r="J94" s="913"/>
      <c r="K94" s="913"/>
      <c r="L94" s="913"/>
      <c r="M94" s="914"/>
      <c r="N94" s="909">
        <v>42418.34</v>
      </c>
      <c r="O94" s="910">
        <v>0</v>
      </c>
      <c r="P94" s="910">
        <v>0</v>
      </c>
      <c r="Q94" s="910">
        <v>10604.55</v>
      </c>
      <c r="R94" s="910">
        <v>0</v>
      </c>
      <c r="S94" s="911">
        <v>53022.89</v>
      </c>
      <c r="T94" s="912"/>
      <c r="U94" s="913"/>
      <c r="V94" s="913"/>
      <c r="W94" s="913"/>
      <c r="X94" s="913"/>
      <c r="Y94" s="914"/>
      <c r="Z94" s="915">
        <v>39452.769999999997</v>
      </c>
      <c r="AA94" s="916">
        <v>0</v>
      </c>
      <c r="AB94" s="916">
        <v>0</v>
      </c>
      <c r="AC94" s="916">
        <v>9863.2000000000007</v>
      </c>
      <c r="AD94" s="916">
        <v>0</v>
      </c>
      <c r="AE94" s="917">
        <v>49315.97</v>
      </c>
      <c r="AF94" s="909">
        <v>17431.919999999998</v>
      </c>
      <c r="AG94" s="910">
        <v>0</v>
      </c>
      <c r="AH94" s="910">
        <v>5496.92</v>
      </c>
      <c r="AI94" s="910">
        <v>4205.8900000000003</v>
      </c>
      <c r="AJ94" s="910">
        <v>-0.08</v>
      </c>
      <c r="AK94" s="911">
        <v>27134.65</v>
      </c>
      <c r="AL94" s="909">
        <v>7445.95</v>
      </c>
      <c r="AM94" s="910">
        <v>0</v>
      </c>
      <c r="AN94" s="910">
        <v>1861.49</v>
      </c>
      <c r="AO94" s="910">
        <v>0</v>
      </c>
      <c r="AP94" s="910">
        <v>0</v>
      </c>
      <c r="AQ94" s="911">
        <v>9307.44</v>
      </c>
      <c r="AR94" s="909">
        <v>14980.73</v>
      </c>
      <c r="AS94" s="910">
        <v>0</v>
      </c>
      <c r="AT94" s="910">
        <v>3745.18</v>
      </c>
      <c r="AU94" s="910">
        <v>0</v>
      </c>
      <c r="AV94" s="910">
        <v>0</v>
      </c>
      <c r="AW94" s="911">
        <v>18725.91</v>
      </c>
      <c r="AX94" s="912"/>
      <c r="AY94" s="913"/>
      <c r="AZ94" s="913"/>
      <c r="BA94" s="913"/>
      <c r="BB94" s="913"/>
      <c r="BC94" s="914"/>
      <c r="BD94" s="909">
        <v>178.2</v>
      </c>
      <c r="BE94" s="910">
        <v>0</v>
      </c>
      <c r="BF94" s="910">
        <v>1546.8</v>
      </c>
      <c r="BG94" s="910">
        <v>0</v>
      </c>
      <c r="BH94" s="910">
        <v>0</v>
      </c>
      <c r="BI94" s="911">
        <v>1725</v>
      </c>
      <c r="BJ94" s="909">
        <v>6511.5</v>
      </c>
      <c r="BK94" s="910">
        <v>0</v>
      </c>
      <c r="BL94" s="910">
        <v>824.81</v>
      </c>
      <c r="BM94" s="910">
        <v>1345.73</v>
      </c>
      <c r="BN94" s="910">
        <v>-0.03</v>
      </c>
      <c r="BO94" s="911">
        <v>8682.01</v>
      </c>
      <c r="BP94" s="909">
        <v>51126.28</v>
      </c>
      <c r="BQ94" s="910">
        <v>1842.7</v>
      </c>
      <c r="BR94" s="910">
        <v>42879.68</v>
      </c>
      <c r="BS94" s="910">
        <v>5044.6499999999996</v>
      </c>
      <c r="BT94" s="910">
        <v>-0.31</v>
      </c>
      <c r="BU94" s="911">
        <v>100893</v>
      </c>
      <c r="BV94" s="909">
        <v>72647.850000000006</v>
      </c>
      <c r="BW94" s="910">
        <v>0</v>
      </c>
      <c r="BX94" s="910">
        <v>44215.02</v>
      </c>
      <c r="BY94" s="910">
        <v>21436.38</v>
      </c>
      <c r="BZ94" s="910">
        <v>-0.23</v>
      </c>
      <c r="CA94" s="911">
        <v>138299.01999999999</v>
      </c>
      <c r="CB94" s="912"/>
      <c r="CC94" s="913"/>
      <c r="CD94" s="913"/>
      <c r="CE94" s="913"/>
      <c r="CF94" s="913"/>
      <c r="CG94" s="914"/>
      <c r="CH94" s="912"/>
      <c r="CI94" s="913"/>
      <c r="CJ94" s="913"/>
      <c r="CK94" s="913"/>
      <c r="CL94" s="913"/>
      <c r="CM94" s="914"/>
      <c r="CN94" s="909">
        <v>12072</v>
      </c>
      <c r="CO94" s="910">
        <v>0</v>
      </c>
      <c r="CP94" s="910">
        <v>0</v>
      </c>
      <c r="CQ94" s="910">
        <v>0</v>
      </c>
      <c r="CR94" s="910">
        <v>0</v>
      </c>
      <c r="CS94" s="911">
        <v>12072</v>
      </c>
      <c r="CT94" s="912"/>
      <c r="CU94" s="913"/>
      <c r="CV94" s="913"/>
      <c r="CW94" s="913"/>
      <c r="CX94" s="913"/>
      <c r="CY94" s="914"/>
      <c r="CZ94" s="909">
        <v>96064.81</v>
      </c>
      <c r="DA94" s="910">
        <v>14471.5</v>
      </c>
      <c r="DB94" s="910">
        <v>0</v>
      </c>
      <c r="DC94" s="910">
        <v>0</v>
      </c>
      <c r="DD94" s="910">
        <v>0</v>
      </c>
      <c r="DE94" s="911">
        <v>110536.31</v>
      </c>
      <c r="DF94" s="909">
        <v>3136.39</v>
      </c>
      <c r="DG94" s="910">
        <v>0</v>
      </c>
      <c r="DH94" s="910">
        <v>2164.1</v>
      </c>
      <c r="DI94" s="910">
        <v>972.28</v>
      </c>
      <c r="DJ94" s="910">
        <v>0</v>
      </c>
      <c r="DK94" s="911">
        <v>6272.77</v>
      </c>
      <c r="DL94" s="909">
        <v>5114.07</v>
      </c>
      <c r="DM94" s="910">
        <v>0</v>
      </c>
      <c r="DN94" s="910">
        <v>30.45</v>
      </c>
      <c r="DO94" s="910">
        <v>943.68</v>
      </c>
      <c r="DP94" s="910">
        <v>-0.02</v>
      </c>
      <c r="DQ94" s="911">
        <v>6088.18</v>
      </c>
      <c r="DR94" s="912"/>
      <c r="DS94" s="913"/>
      <c r="DT94" s="913"/>
      <c r="DU94" s="913"/>
      <c r="DV94" s="913"/>
      <c r="DW94" s="914"/>
    </row>
    <row r="95" spans="1:127">
      <c r="A95" s="1107" t="s">
        <v>233</v>
      </c>
      <c r="B95" s="904" t="s">
        <v>234</v>
      </c>
      <c r="C95" s="905">
        <f t="shared" si="10"/>
        <v>374249.23999999993</v>
      </c>
      <c r="D95" s="906">
        <f t="shared" si="8"/>
        <v>110134.53</v>
      </c>
      <c r="E95" s="907">
        <f t="shared" si="11"/>
        <v>39310.070000000007</v>
      </c>
      <c r="F95" s="908">
        <f t="shared" si="9"/>
        <v>39315.680000000008</v>
      </c>
      <c r="G95" s="907">
        <f t="shared" si="9"/>
        <v>-5.61</v>
      </c>
      <c r="H95" s="912"/>
      <c r="I95" s="913"/>
      <c r="J95" s="913"/>
      <c r="K95" s="913"/>
      <c r="L95" s="913"/>
      <c r="M95" s="914"/>
      <c r="N95" s="909">
        <v>1133.7</v>
      </c>
      <c r="O95" s="910">
        <v>0</v>
      </c>
      <c r="P95" s="910">
        <v>0</v>
      </c>
      <c r="Q95" s="910">
        <v>283.43</v>
      </c>
      <c r="R95" s="910">
        <v>0</v>
      </c>
      <c r="S95" s="911">
        <v>1417.13</v>
      </c>
      <c r="T95" s="909">
        <v>3030.65</v>
      </c>
      <c r="U95" s="910">
        <v>0</v>
      </c>
      <c r="V95" s="910">
        <v>18.03</v>
      </c>
      <c r="W95" s="910">
        <v>559.22</v>
      </c>
      <c r="X95" s="910">
        <v>0.02</v>
      </c>
      <c r="Y95" s="911">
        <v>3607.92</v>
      </c>
      <c r="Z95" s="915">
        <v>18274.150000000001</v>
      </c>
      <c r="AA95" s="916">
        <v>0</v>
      </c>
      <c r="AB95" s="916">
        <v>0</v>
      </c>
      <c r="AC95" s="916">
        <v>4568.51</v>
      </c>
      <c r="AD95" s="916">
        <v>0</v>
      </c>
      <c r="AE95" s="917">
        <v>22842.66</v>
      </c>
      <c r="AF95" s="912"/>
      <c r="AG95" s="913"/>
      <c r="AH95" s="913"/>
      <c r="AI95" s="913"/>
      <c r="AJ95" s="913"/>
      <c r="AK95" s="914"/>
      <c r="AL95" s="909">
        <v>6179.89</v>
      </c>
      <c r="AM95" s="910">
        <v>0</v>
      </c>
      <c r="AN95" s="910">
        <v>1544.98</v>
      </c>
      <c r="AO95" s="910">
        <v>0</v>
      </c>
      <c r="AP95" s="910">
        <v>0</v>
      </c>
      <c r="AQ95" s="911">
        <v>7724.87</v>
      </c>
      <c r="AR95" s="909">
        <v>6427.85</v>
      </c>
      <c r="AS95" s="910">
        <v>0</v>
      </c>
      <c r="AT95" s="910">
        <v>1606.95</v>
      </c>
      <c r="AU95" s="910">
        <v>0</v>
      </c>
      <c r="AV95" s="910">
        <v>0</v>
      </c>
      <c r="AW95" s="911">
        <v>8034.8</v>
      </c>
      <c r="AX95" s="912"/>
      <c r="AY95" s="913"/>
      <c r="AZ95" s="913"/>
      <c r="BA95" s="913"/>
      <c r="BB95" s="913"/>
      <c r="BC95" s="914"/>
      <c r="BD95" s="912"/>
      <c r="BE95" s="913"/>
      <c r="BF95" s="913"/>
      <c r="BG95" s="913"/>
      <c r="BH95" s="913"/>
      <c r="BI95" s="914"/>
      <c r="BJ95" s="909">
        <v>14975.91</v>
      </c>
      <c r="BK95" s="910">
        <v>0</v>
      </c>
      <c r="BL95" s="910">
        <v>1896.95</v>
      </c>
      <c r="BM95" s="910">
        <v>3095</v>
      </c>
      <c r="BN95" s="910">
        <v>-0.01</v>
      </c>
      <c r="BO95" s="911">
        <v>19967.849999999999</v>
      </c>
      <c r="BP95" s="909">
        <v>77733.86</v>
      </c>
      <c r="BQ95" s="910">
        <v>2927.25</v>
      </c>
      <c r="BR95" s="910">
        <v>65297.11</v>
      </c>
      <c r="BS95" s="910">
        <v>7682</v>
      </c>
      <c r="BT95" s="910">
        <v>-0.22</v>
      </c>
      <c r="BU95" s="911">
        <v>153640</v>
      </c>
      <c r="BV95" s="909">
        <v>24719.17</v>
      </c>
      <c r="BW95" s="910">
        <v>0</v>
      </c>
      <c r="BX95" s="910">
        <v>16264.85</v>
      </c>
      <c r="BY95" s="910">
        <v>7517.81</v>
      </c>
      <c r="BZ95" s="910">
        <v>-0.14000000000000001</v>
      </c>
      <c r="CA95" s="911">
        <v>48501.69</v>
      </c>
      <c r="CB95" s="909">
        <v>5679.3</v>
      </c>
      <c r="CC95" s="910">
        <v>0</v>
      </c>
      <c r="CD95" s="910">
        <v>0</v>
      </c>
      <c r="CE95" s="910">
        <v>9795.6200000000008</v>
      </c>
      <c r="CF95" s="910">
        <v>-0.03</v>
      </c>
      <c r="CG95" s="911">
        <v>15474.89</v>
      </c>
      <c r="CH95" s="912"/>
      <c r="CI95" s="913"/>
      <c r="CJ95" s="913"/>
      <c r="CK95" s="913"/>
      <c r="CL95" s="913"/>
      <c r="CM95" s="914"/>
      <c r="CN95" s="909">
        <v>4826</v>
      </c>
      <c r="CO95" s="910">
        <v>0</v>
      </c>
      <c r="CP95" s="910">
        <v>0</v>
      </c>
      <c r="CQ95" s="910">
        <v>0</v>
      </c>
      <c r="CR95" s="910">
        <v>0</v>
      </c>
      <c r="CS95" s="911">
        <v>4826</v>
      </c>
      <c r="CT95" s="909">
        <v>23597.65</v>
      </c>
      <c r="CU95" s="910">
        <v>683.18</v>
      </c>
      <c r="CV95" s="910">
        <v>19655.919999999998</v>
      </c>
      <c r="CW95" s="910">
        <v>2312.46</v>
      </c>
      <c r="CX95" s="910">
        <v>-0.11</v>
      </c>
      <c r="CY95" s="911">
        <v>46249.1</v>
      </c>
      <c r="CZ95" s="909">
        <v>143035.5</v>
      </c>
      <c r="DA95" s="910">
        <v>25785.5</v>
      </c>
      <c r="DB95" s="910">
        <v>0</v>
      </c>
      <c r="DC95" s="910">
        <v>0</v>
      </c>
      <c r="DD95" s="910">
        <v>0</v>
      </c>
      <c r="DE95" s="911">
        <v>168821</v>
      </c>
      <c r="DF95" s="909">
        <v>5495.26</v>
      </c>
      <c r="DG95" s="910">
        <v>0</v>
      </c>
      <c r="DH95" s="910">
        <v>3791.73</v>
      </c>
      <c r="DI95" s="910">
        <v>1703.55</v>
      </c>
      <c r="DJ95" s="910">
        <v>-0.08</v>
      </c>
      <c r="DK95" s="911">
        <v>10990.46</v>
      </c>
      <c r="DL95" s="909">
        <v>9744.42</v>
      </c>
      <c r="DM95" s="910">
        <v>0</v>
      </c>
      <c r="DN95" s="910">
        <v>58.01</v>
      </c>
      <c r="DO95" s="910">
        <v>1798.08</v>
      </c>
      <c r="DP95" s="910">
        <v>-5.04</v>
      </c>
      <c r="DQ95" s="911">
        <v>11595.47</v>
      </c>
      <c r="DR95" s="912"/>
      <c r="DS95" s="913"/>
      <c r="DT95" s="913"/>
      <c r="DU95" s="913"/>
      <c r="DV95" s="913"/>
      <c r="DW95" s="914"/>
    </row>
    <row r="96" spans="1:127">
      <c r="A96" s="1107" t="s">
        <v>235</v>
      </c>
      <c r="B96" s="904" t="s">
        <v>236</v>
      </c>
      <c r="C96" s="905">
        <f t="shared" si="10"/>
        <v>318389.29000000004</v>
      </c>
      <c r="D96" s="906">
        <f t="shared" si="8"/>
        <v>72353.06</v>
      </c>
      <c r="E96" s="907">
        <f t="shared" si="11"/>
        <v>37232.33</v>
      </c>
      <c r="F96" s="908">
        <f t="shared" si="9"/>
        <v>36323.450000000004</v>
      </c>
      <c r="G96" s="907">
        <f t="shared" si="9"/>
        <v>908.87999999999988</v>
      </c>
      <c r="H96" s="912"/>
      <c r="I96" s="913"/>
      <c r="J96" s="913"/>
      <c r="K96" s="913"/>
      <c r="L96" s="913"/>
      <c r="M96" s="914"/>
      <c r="N96" s="909">
        <v>16587.59</v>
      </c>
      <c r="O96" s="910">
        <v>0</v>
      </c>
      <c r="P96" s="910">
        <v>0</v>
      </c>
      <c r="Q96" s="910">
        <v>4146.88</v>
      </c>
      <c r="R96" s="910">
        <v>0</v>
      </c>
      <c r="S96" s="911">
        <v>20734.47</v>
      </c>
      <c r="T96" s="909">
        <v>8603.7900000000009</v>
      </c>
      <c r="U96" s="910">
        <v>0</v>
      </c>
      <c r="V96" s="910">
        <v>51.21</v>
      </c>
      <c r="W96" s="910">
        <v>1587.61</v>
      </c>
      <c r="X96" s="910">
        <v>0</v>
      </c>
      <c r="Y96" s="911">
        <v>10242.61</v>
      </c>
      <c r="Z96" s="915">
        <v>19376.41</v>
      </c>
      <c r="AA96" s="916">
        <v>0</v>
      </c>
      <c r="AB96" s="916">
        <v>0</v>
      </c>
      <c r="AC96" s="916">
        <v>4844.08</v>
      </c>
      <c r="AD96" s="916">
        <v>0</v>
      </c>
      <c r="AE96" s="917">
        <v>24220.49</v>
      </c>
      <c r="AF96" s="912"/>
      <c r="AG96" s="913"/>
      <c r="AH96" s="913"/>
      <c r="AI96" s="913"/>
      <c r="AJ96" s="913"/>
      <c r="AK96" s="914"/>
      <c r="AL96" s="912"/>
      <c r="AM96" s="913"/>
      <c r="AN96" s="913"/>
      <c r="AO96" s="913"/>
      <c r="AP96" s="913"/>
      <c r="AQ96" s="914"/>
      <c r="AR96" s="909">
        <v>3121.61</v>
      </c>
      <c r="AS96" s="910">
        <v>0</v>
      </c>
      <c r="AT96" s="910">
        <v>780.39</v>
      </c>
      <c r="AU96" s="910">
        <v>0</v>
      </c>
      <c r="AV96" s="910">
        <v>16.46</v>
      </c>
      <c r="AW96" s="911">
        <v>3918.46</v>
      </c>
      <c r="AX96" s="912"/>
      <c r="AY96" s="913"/>
      <c r="AZ96" s="913"/>
      <c r="BA96" s="913"/>
      <c r="BB96" s="913"/>
      <c r="BC96" s="914"/>
      <c r="BD96" s="909">
        <v>306.14999999999998</v>
      </c>
      <c r="BE96" s="910">
        <v>0</v>
      </c>
      <c r="BF96" s="910">
        <v>1703.85</v>
      </c>
      <c r="BG96" s="910">
        <v>0</v>
      </c>
      <c r="BH96" s="910">
        <v>120</v>
      </c>
      <c r="BI96" s="911">
        <v>2130</v>
      </c>
      <c r="BJ96" s="909">
        <v>22990.53</v>
      </c>
      <c r="BK96" s="910">
        <v>0</v>
      </c>
      <c r="BL96" s="910">
        <v>2912.12</v>
      </c>
      <c r="BM96" s="910">
        <v>4751.37</v>
      </c>
      <c r="BN96" s="910">
        <v>245.95</v>
      </c>
      <c r="BO96" s="911">
        <v>30899.97</v>
      </c>
      <c r="BP96" s="909">
        <v>40305.49</v>
      </c>
      <c r="BQ96" s="910">
        <v>1505.24</v>
      </c>
      <c r="BR96" s="910">
        <v>33846.800000000003</v>
      </c>
      <c r="BS96" s="910">
        <v>3981.97</v>
      </c>
      <c r="BT96" s="910">
        <v>-0.2</v>
      </c>
      <c r="BU96" s="911">
        <v>79639.3</v>
      </c>
      <c r="BV96" s="909">
        <v>40069.160000000003</v>
      </c>
      <c r="BW96" s="910">
        <v>0</v>
      </c>
      <c r="BX96" s="910">
        <v>27112.32</v>
      </c>
      <c r="BY96" s="910">
        <v>12323.26</v>
      </c>
      <c r="BZ96" s="910">
        <v>-0.1</v>
      </c>
      <c r="CA96" s="911">
        <v>79504.639999999999</v>
      </c>
      <c r="CB96" s="909">
        <v>1109.1600000000001</v>
      </c>
      <c r="CC96" s="910">
        <v>0</v>
      </c>
      <c r="CD96" s="910">
        <v>0</v>
      </c>
      <c r="CE96" s="910">
        <v>1913.07</v>
      </c>
      <c r="CF96" s="910">
        <v>-0.01</v>
      </c>
      <c r="CG96" s="911">
        <v>3022.22</v>
      </c>
      <c r="CH96" s="912"/>
      <c r="CI96" s="913"/>
      <c r="CJ96" s="913"/>
      <c r="CK96" s="913"/>
      <c r="CL96" s="913"/>
      <c r="CM96" s="914"/>
      <c r="CN96" s="909">
        <v>15974.2</v>
      </c>
      <c r="CO96" s="910">
        <v>0</v>
      </c>
      <c r="CP96" s="910">
        <v>0</v>
      </c>
      <c r="CQ96" s="910">
        <v>0</v>
      </c>
      <c r="CR96" s="910">
        <v>0</v>
      </c>
      <c r="CS96" s="911">
        <v>15974.2</v>
      </c>
      <c r="CT96" s="909">
        <v>6422.33</v>
      </c>
      <c r="CU96" s="910">
        <v>0</v>
      </c>
      <c r="CV96" s="910">
        <v>5199.03</v>
      </c>
      <c r="CW96" s="910">
        <v>611.65</v>
      </c>
      <c r="CX96" s="910">
        <v>526.79</v>
      </c>
      <c r="CY96" s="911">
        <v>12759.8</v>
      </c>
      <c r="CZ96" s="909">
        <v>112466.45</v>
      </c>
      <c r="DA96" s="910">
        <v>18503.55</v>
      </c>
      <c r="DB96" s="910">
        <v>0</v>
      </c>
      <c r="DC96" s="910">
        <v>0</v>
      </c>
      <c r="DD96" s="910">
        <v>0</v>
      </c>
      <c r="DE96" s="911">
        <v>130970</v>
      </c>
      <c r="DF96" s="909">
        <v>996.37</v>
      </c>
      <c r="DG96" s="910">
        <v>0</v>
      </c>
      <c r="DH96" s="910">
        <v>687.5</v>
      </c>
      <c r="DI96" s="910">
        <v>308.87</v>
      </c>
      <c r="DJ96" s="910">
        <v>0</v>
      </c>
      <c r="DK96" s="911">
        <v>1992.74</v>
      </c>
      <c r="DL96" s="909">
        <v>10051.26</v>
      </c>
      <c r="DM96" s="910">
        <v>0</v>
      </c>
      <c r="DN96" s="910">
        <v>59.84</v>
      </c>
      <c r="DO96" s="910">
        <v>1854.69</v>
      </c>
      <c r="DP96" s="910">
        <v>-0.01</v>
      </c>
      <c r="DQ96" s="911">
        <v>11965.78</v>
      </c>
      <c r="DR96" s="912"/>
      <c r="DS96" s="913"/>
      <c r="DT96" s="913"/>
      <c r="DU96" s="913"/>
      <c r="DV96" s="913"/>
      <c r="DW96" s="914"/>
    </row>
    <row r="97" spans="1:127">
      <c r="A97" s="1107" t="s">
        <v>237</v>
      </c>
      <c r="B97" s="904" t="s">
        <v>238</v>
      </c>
      <c r="C97" s="905">
        <f t="shared" si="10"/>
        <v>271539.13</v>
      </c>
      <c r="D97" s="906">
        <f t="shared" si="8"/>
        <v>58550.219999999994</v>
      </c>
      <c r="E97" s="907">
        <f t="shared" si="11"/>
        <v>17570.88</v>
      </c>
      <c r="F97" s="908">
        <f t="shared" si="9"/>
        <v>17571.27</v>
      </c>
      <c r="G97" s="907">
        <f t="shared" si="9"/>
        <v>-0.39</v>
      </c>
      <c r="H97" s="912"/>
      <c r="I97" s="913"/>
      <c r="J97" s="913"/>
      <c r="K97" s="913"/>
      <c r="L97" s="913"/>
      <c r="M97" s="914"/>
      <c r="N97" s="909">
        <v>1120</v>
      </c>
      <c r="O97" s="910">
        <v>0</v>
      </c>
      <c r="P97" s="910">
        <v>0</v>
      </c>
      <c r="Q97" s="910">
        <v>280</v>
      </c>
      <c r="R97" s="910">
        <v>0</v>
      </c>
      <c r="S97" s="911">
        <v>1400</v>
      </c>
      <c r="T97" s="909">
        <v>1559.2</v>
      </c>
      <c r="U97" s="910">
        <v>0</v>
      </c>
      <c r="V97" s="910">
        <v>9.2899999999999991</v>
      </c>
      <c r="W97" s="910">
        <v>287.72000000000003</v>
      </c>
      <c r="X97" s="910">
        <v>-0.02</v>
      </c>
      <c r="Y97" s="911">
        <v>1856.19</v>
      </c>
      <c r="Z97" s="915">
        <v>9336</v>
      </c>
      <c r="AA97" s="916">
        <v>0</v>
      </c>
      <c r="AB97" s="916">
        <v>0</v>
      </c>
      <c r="AC97" s="916">
        <v>2334</v>
      </c>
      <c r="AD97" s="916">
        <v>0</v>
      </c>
      <c r="AE97" s="917">
        <v>11670</v>
      </c>
      <c r="AF97" s="912"/>
      <c r="AG97" s="913"/>
      <c r="AH97" s="913"/>
      <c r="AI97" s="913"/>
      <c r="AJ97" s="913"/>
      <c r="AK97" s="914"/>
      <c r="AL97" s="912"/>
      <c r="AM97" s="913"/>
      <c r="AN97" s="913"/>
      <c r="AO97" s="913"/>
      <c r="AP97" s="913"/>
      <c r="AQ97" s="914"/>
      <c r="AR97" s="909">
        <v>1229.31</v>
      </c>
      <c r="AS97" s="910">
        <v>0</v>
      </c>
      <c r="AT97" s="910">
        <v>307.33</v>
      </c>
      <c r="AU97" s="910">
        <v>0</v>
      </c>
      <c r="AV97" s="910">
        <v>0</v>
      </c>
      <c r="AW97" s="911">
        <v>1536.64</v>
      </c>
      <c r="AX97" s="912"/>
      <c r="AY97" s="913"/>
      <c r="AZ97" s="913"/>
      <c r="BA97" s="913"/>
      <c r="BB97" s="913"/>
      <c r="BC97" s="914"/>
      <c r="BD97" s="912"/>
      <c r="BE97" s="913"/>
      <c r="BF97" s="913"/>
      <c r="BG97" s="913"/>
      <c r="BH97" s="913"/>
      <c r="BI97" s="914"/>
      <c r="BJ97" s="909">
        <v>11854.94</v>
      </c>
      <c r="BK97" s="910">
        <v>0</v>
      </c>
      <c r="BL97" s="910">
        <v>1501.65</v>
      </c>
      <c r="BM97" s="910">
        <v>2450.02</v>
      </c>
      <c r="BN97" s="910">
        <v>-0.04</v>
      </c>
      <c r="BO97" s="911">
        <v>15806.57</v>
      </c>
      <c r="BP97" s="909">
        <v>45185.41</v>
      </c>
      <c r="BQ97" s="910">
        <v>1609.31</v>
      </c>
      <c r="BR97" s="910">
        <v>37881.440000000002</v>
      </c>
      <c r="BS97" s="910">
        <v>4456.74</v>
      </c>
      <c r="BT97" s="910">
        <v>-0.25</v>
      </c>
      <c r="BU97" s="911">
        <v>89132.65</v>
      </c>
      <c r="BV97" s="909">
        <v>20338.47</v>
      </c>
      <c r="BW97" s="910">
        <v>0</v>
      </c>
      <c r="BX97" s="910">
        <v>14033.5</v>
      </c>
      <c r="BY97" s="910">
        <v>6304.91</v>
      </c>
      <c r="BZ97" s="910">
        <v>-0.03</v>
      </c>
      <c r="CA97" s="911">
        <v>40676.85</v>
      </c>
      <c r="CB97" s="912"/>
      <c r="CC97" s="913"/>
      <c r="CD97" s="913"/>
      <c r="CE97" s="913"/>
      <c r="CF97" s="913"/>
      <c r="CG97" s="914"/>
      <c r="CH97" s="912"/>
      <c r="CI97" s="913"/>
      <c r="CJ97" s="913"/>
      <c r="CK97" s="913"/>
      <c r="CL97" s="913"/>
      <c r="CM97" s="914"/>
      <c r="CN97" s="912"/>
      <c r="CO97" s="913"/>
      <c r="CP97" s="913"/>
      <c r="CQ97" s="913"/>
      <c r="CR97" s="913"/>
      <c r="CS97" s="914"/>
      <c r="CT97" s="909">
        <v>2748.79</v>
      </c>
      <c r="CU97" s="910">
        <v>35.6</v>
      </c>
      <c r="CV97" s="910">
        <v>2254.0300000000002</v>
      </c>
      <c r="CW97" s="910">
        <v>265.18</v>
      </c>
      <c r="CX97" s="910">
        <v>-0.02</v>
      </c>
      <c r="CY97" s="911">
        <v>5303.58</v>
      </c>
      <c r="CZ97" s="909">
        <v>146124.94</v>
      </c>
      <c r="DA97" s="910">
        <v>26458.05</v>
      </c>
      <c r="DB97" s="910">
        <v>0</v>
      </c>
      <c r="DC97" s="910">
        <v>0</v>
      </c>
      <c r="DD97" s="910">
        <v>-0.01</v>
      </c>
      <c r="DE97" s="911">
        <v>172582.98</v>
      </c>
      <c r="DF97" s="909">
        <v>3712.5</v>
      </c>
      <c r="DG97" s="910">
        <v>0</v>
      </c>
      <c r="DH97" s="910">
        <v>2561.63</v>
      </c>
      <c r="DI97" s="910">
        <v>1150.8800000000001</v>
      </c>
      <c r="DJ97" s="910">
        <v>-0.01</v>
      </c>
      <c r="DK97" s="911">
        <v>7425</v>
      </c>
      <c r="DL97" s="909">
        <v>226.61</v>
      </c>
      <c r="DM97" s="910">
        <v>0</v>
      </c>
      <c r="DN97" s="910">
        <v>1.35</v>
      </c>
      <c r="DO97" s="910">
        <v>41.82</v>
      </c>
      <c r="DP97" s="910">
        <v>-0.01</v>
      </c>
      <c r="DQ97" s="911">
        <v>269.77</v>
      </c>
      <c r="DR97" s="912"/>
      <c r="DS97" s="913"/>
      <c r="DT97" s="913"/>
      <c r="DU97" s="913"/>
      <c r="DV97" s="913"/>
      <c r="DW97" s="914"/>
    </row>
    <row r="98" spans="1:127">
      <c r="A98" s="1107" t="s">
        <v>243</v>
      </c>
      <c r="B98" s="904" t="s">
        <v>244</v>
      </c>
      <c r="C98" s="905">
        <f t="shared" si="10"/>
        <v>464498.89999999997</v>
      </c>
      <c r="D98" s="906">
        <f t="shared" si="8"/>
        <v>148095.56000000003</v>
      </c>
      <c r="E98" s="907">
        <f t="shared" si="11"/>
        <v>91801.63</v>
      </c>
      <c r="F98" s="908">
        <f t="shared" si="9"/>
        <v>91802.17</v>
      </c>
      <c r="G98" s="907">
        <f t="shared" si="9"/>
        <v>-0.54</v>
      </c>
      <c r="H98" s="912"/>
      <c r="I98" s="913"/>
      <c r="J98" s="913"/>
      <c r="K98" s="913"/>
      <c r="L98" s="913"/>
      <c r="M98" s="914"/>
      <c r="N98" s="909">
        <v>1127.58</v>
      </c>
      <c r="O98" s="910">
        <v>0</v>
      </c>
      <c r="P98" s="910">
        <v>0</v>
      </c>
      <c r="Q98" s="910">
        <v>281.89</v>
      </c>
      <c r="R98" s="910">
        <v>0</v>
      </c>
      <c r="S98" s="911">
        <v>1409.47</v>
      </c>
      <c r="T98" s="909">
        <v>12279.77</v>
      </c>
      <c r="U98" s="910">
        <v>0</v>
      </c>
      <c r="V98" s="910">
        <v>73.08</v>
      </c>
      <c r="W98" s="910">
        <v>2265.89</v>
      </c>
      <c r="X98" s="910">
        <v>0.05</v>
      </c>
      <c r="Y98" s="911">
        <v>14618.79</v>
      </c>
      <c r="Z98" s="915">
        <v>124746.48</v>
      </c>
      <c r="AA98" s="916">
        <v>0</v>
      </c>
      <c r="AB98" s="916">
        <v>0</v>
      </c>
      <c r="AC98" s="916">
        <v>31186.67</v>
      </c>
      <c r="AD98" s="916">
        <v>0</v>
      </c>
      <c r="AE98" s="917">
        <v>155933.15</v>
      </c>
      <c r="AF98" s="912"/>
      <c r="AG98" s="913"/>
      <c r="AH98" s="913"/>
      <c r="AI98" s="913"/>
      <c r="AJ98" s="913"/>
      <c r="AK98" s="914"/>
      <c r="AL98" s="909">
        <v>18298.91</v>
      </c>
      <c r="AM98" s="910">
        <v>0</v>
      </c>
      <c r="AN98" s="910">
        <v>4574.72</v>
      </c>
      <c r="AO98" s="910">
        <v>0</v>
      </c>
      <c r="AP98" s="910">
        <v>0</v>
      </c>
      <c r="AQ98" s="911">
        <v>22873.63</v>
      </c>
      <c r="AR98" s="909">
        <v>14160.73</v>
      </c>
      <c r="AS98" s="910">
        <v>0</v>
      </c>
      <c r="AT98" s="910">
        <v>3540.19</v>
      </c>
      <c r="AU98" s="910">
        <v>0</v>
      </c>
      <c r="AV98" s="910">
        <v>0</v>
      </c>
      <c r="AW98" s="911">
        <v>17700.919999999998</v>
      </c>
      <c r="AX98" s="912"/>
      <c r="AY98" s="913"/>
      <c r="AZ98" s="913"/>
      <c r="BA98" s="913"/>
      <c r="BB98" s="913"/>
      <c r="BC98" s="914"/>
      <c r="BD98" s="909">
        <v>0</v>
      </c>
      <c r="BE98" s="910">
        <v>0</v>
      </c>
      <c r="BF98" s="910">
        <v>1980</v>
      </c>
      <c r="BG98" s="910">
        <v>0</v>
      </c>
      <c r="BH98" s="910">
        <v>0</v>
      </c>
      <c r="BI98" s="911">
        <v>1980</v>
      </c>
      <c r="BJ98" s="909">
        <v>36505.9</v>
      </c>
      <c r="BK98" s="910">
        <v>0</v>
      </c>
      <c r="BL98" s="910">
        <v>4624.1099999999997</v>
      </c>
      <c r="BM98" s="910">
        <v>7544.59</v>
      </c>
      <c r="BN98" s="910">
        <v>-0.06</v>
      </c>
      <c r="BO98" s="911">
        <v>48674.54</v>
      </c>
      <c r="BP98" s="909">
        <v>39885.519999999997</v>
      </c>
      <c r="BQ98" s="910">
        <v>1603.8</v>
      </c>
      <c r="BR98" s="910">
        <v>33586.620000000003</v>
      </c>
      <c r="BS98" s="910">
        <v>3951.35</v>
      </c>
      <c r="BT98" s="910">
        <v>-0.28999999999999998</v>
      </c>
      <c r="BU98" s="911">
        <v>79027</v>
      </c>
      <c r="BV98" s="909">
        <v>140129.29</v>
      </c>
      <c r="BW98" s="910">
        <v>0</v>
      </c>
      <c r="BX98" s="910">
        <v>96655.57</v>
      </c>
      <c r="BY98" s="910">
        <v>43433.95</v>
      </c>
      <c r="BZ98" s="910">
        <v>-0.22</v>
      </c>
      <c r="CA98" s="911">
        <v>280218.59000000003</v>
      </c>
      <c r="CB98" s="912"/>
      <c r="CC98" s="913"/>
      <c r="CD98" s="913"/>
      <c r="CE98" s="913"/>
      <c r="CF98" s="913"/>
      <c r="CG98" s="914"/>
      <c r="CH98" s="912"/>
      <c r="CI98" s="913"/>
      <c r="CJ98" s="913"/>
      <c r="CK98" s="913"/>
      <c r="CL98" s="913"/>
      <c r="CM98" s="914"/>
      <c r="CN98" s="912"/>
      <c r="CO98" s="913"/>
      <c r="CP98" s="913"/>
      <c r="CQ98" s="913"/>
      <c r="CR98" s="913"/>
      <c r="CS98" s="914"/>
      <c r="CT98" s="912"/>
      <c r="CU98" s="913"/>
      <c r="CV98" s="913"/>
      <c r="CW98" s="913"/>
      <c r="CX98" s="913"/>
      <c r="CY98" s="914"/>
      <c r="CZ98" s="909">
        <v>54542</v>
      </c>
      <c r="DA98" s="910">
        <v>7174</v>
      </c>
      <c r="DB98" s="910">
        <v>0</v>
      </c>
      <c r="DC98" s="910">
        <v>0</v>
      </c>
      <c r="DD98" s="910">
        <v>0</v>
      </c>
      <c r="DE98" s="911">
        <v>61716</v>
      </c>
      <c r="DF98" s="909">
        <v>4353</v>
      </c>
      <c r="DG98" s="910">
        <v>0</v>
      </c>
      <c r="DH98" s="910">
        <v>3003.57</v>
      </c>
      <c r="DI98" s="910">
        <v>1349.44</v>
      </c>
      <c r="DJ98" s="910">
        <v>-0.01</v>
      </c>
      <c r="DK98" s="911">
        <v>8706</v>
      </c>
      <c r="DL98" s="909">
        <v>9691.92</v>
      </c>
      <c r="DM98" s="910">
        <v>0</v>
      </c>
      <c r="DN98" s="910">
        <v>57.7</v>
      </c>
      <c r="DO98" s="910">
        <v>1788.39</v>
      </c>
      <c r="DP98" s="910">
        <v>-0.01</v>
      </c>
      <c r="DQ98" s="911">
        <v>11538</v>
      </c>
      <c r="DR98" s="912"/>
      <c r="DS98" s="913"/>
      <c r="DT98" s="913"/>
      <c r="DU98" s="913"/>
      <c r="DV98" s="913"/>
      <c r="DW98" s="914"/>
    </row>
    <row r="99" spans="1:127">
      <c r="A99" s="1107" t="s">
        <v>245</v>
      </c>
      <c r="B99" s="904" t="s">
        <v>246</v>
      </c>
      <c r="C99" s="905">
        <f t="shared" si="10"/>
        <v>365427.25000000006</v>
      </c>
      <c r="D99" s="906">
        <f t="shared" si="8"/>
        <v>78675.839999999997</v>
      </c>
      <c r="E99" s="907">
        <f t="shared" si="11"/>
        <v>36530.359999999993</v>
      </c>
      <c r="F99" s="908">
        <f t="shared" si="9"/>
        <v>36530.919999999991</v>
      </c>
      <c r="G99" s="907">
        <f t="shared" si="9"/>
        <v>-0.56000000000000005</v>
      </c>
      <c r="H99" s="912"/>
      <c r="I99" s="913"/>
      <c r="J99" s="913"/>
      <c r="K99" s="913"/>
      <c r="L99" s="913"/>
      <c r="M99" s="914"/>
      <c r="N99" s="909">
        <v>7848.98</v>
      </c>
      <c r="O99" s="910">
        <v>0</v>
      </c>
      <c r="P99" s="910">
        <v>0</v>
      </c>
      <c r="Q99" s="910">
        <v>1962.23</v>
      </c>
      <c r="R99" s="910">
        <v>0</v>
      </c>
      <c r="S99" s="911">
        <v>9811.2099999999991</v>
      </c>
      <c r="T99" s="909">
        <v>6303.64</v>
      </c>
      <c r="U99" s="910">
        <v>0</v>
      </c>
      <c r="V99" s="910">
        <v>37.53</v>
      </c>
      <c r="W99" s="910">
        <v>1163.18</v>
      </c>
      <c r="X99" s="910">
        <v>-0.03</v>
      </c>
      <c r="Y99" s="911">
        <v>7504.32</v>
      </c>
      <c r="Z99" s="915">
        <v>42487.24</v>
      </c>
      <c r="AA99" s="916">
        <v>0</v>
      </c>
      <c r="AB99" s="916">
        <v>0</v>
      </c>
      <c r="AC99" s="916">
        <v>10621.8</v>
      </c>
      <c r="AD99" s="916">
        <v>0</v>
      </c>
      <c r="AE99" s="917">
        <v>53109.04</v>
      </c>
      <c r="AF99" s="912"/>
      <c r="AG99" s="913"/>
      <c r="AH99" s="913"/>
      <c r="AI99" s="913"/>
      <c r="AJ99" s="913"/>
      <c r="AK99" s="914"/>
      <c r="AL99" s="909">
        <v>3034.3</v>
      </c>
      <c r="AM99" s="910">
        <v>0</v>
      </c>
      <c r="AN99" s="910">
        <v>758.58</v>
      </c>
      <c r="AO99" s="910">
        <v>0</v>
      </c>
      <c r="AP99" s="910">
        <v>0</v>
      </c>
      <c r="AQ99" s="911">
        <v>3792.88</v>
      </c>
      <c r="AR99" s="909">
        <v>6954.99</v>
      </c>
      <c r="AS99" s="910">
        <v>0</v>
      </c>
      <c r="AT99" s="910">
        <v>1738.74</v>
      </c>
      <c r="AU99" s="910">
        <v>0</v>
      </c>
      <c r="AV99" s="910">
        <v>0</v>
      </c>
      <c r="AW99" s="911">
        <v>8693.73</v>
      </c>
      <c r="AX99" s="912"/>
      <c r="AY99" s="913"/>
      <c r="AZ99" s="913"/>
      <c r="BA99" s="913"/>
      <c r="BB99" s="913"/>
      <c r="BC99" s="914"/>
      <c r="BD99" s="909">
        <v>231.66</v>
      </c>
      <c r="BE99" s="910">
        <v>0</v>
      </c>
      <c r="BF99" s="910">
        <v>568.34</v>
      </c>
      <c r="BG99" s="910">
        <v>0</v>
      </c>
      <c r="BH99" s="910">
        <v>0</v>
      </c>
      <c r="BI99" s="911">
        <v>800</v>
      </c>
      <c r="BJ99" s="909">
        <v>19882.759999999998</v>
      </c>
      <c r="BK99" s="910">
        <v>0</v>
      </c>
      <c r="BL99" s="910">
        <v>2518.4899999999998</v>
      </c>
      <c r="BM99" s="910">
        <v>4109.1000000000004</v>
      </c>
      <c r="BN99" s="910">
        <v>-0.04</v>
      </c>
      <c r="BO99" s="911">
        <v>26510.31</v>
      </c>
      <c r="BP99" s="909">
        <v>55133.08</v>
      </c>
      <c r="BQ99" s="910">
        <v>1566.4</v>
      </c>
      <c r="BR99" s="910">
        <v>45899.62</v>
      </c>
      <c r="BS99" s="910">
        <v>5399.94</v>
      </c>
      <c r="BT99" s="910">
        <v>-0.22</v>
      </c>
      <c r="BU99" s="911">
        <v>107998.82</v>
      </c>
      <c r="BV99" s="909">
        <v>34253.379999999997</v>
      </c>
      <c r="BW99" s="910">
        <v>0</v>
      </c>
      <c r="BX99" s="910">
        <v>21062.49</v>
      </c>
      <c r="BY99" s="910">
        <v>10146.719999999999</v>
      </c>
      <c r="BZ99" s="910">
        <v>-0.21</v>
      </c>
      <c r="CA99" s="911">
        <v>65462.38</v>
      </c>
      <c r="CB99" s="912"/>
      <c r="CC99" s="913"/>
      <c r="CD99" s="913"/>
      <c r="CE99" s="913"/>
      <c r="CF99" s="913"/>
      <c r="CG99" s="914"/>
      <c r="CH99" s="912"/>
      <c r="CI99" s="913"/>
      <c r="CJ99" s="913"/>
      <c r="CK99" s="913"/>
      <c r="CL99" s="913"/>
      <c r="CM99" s="914"/>
      <c r="CN99" s="909">
        <v>9910.4</v>
      </c>
      <c r="CO99" s="910">
        <v>0</v>
      </c>
      <c r="CP99" s="910">
        <v>0</v>
      </c>
      <c r="CQ99" s="910">
        <v>0</v>
      </c>
      <c r="CR99" s="910">
        <v>0</v>
      </c>
      <c r="CS99" s="911">
        <v>9910.4</v>
      </c>
      <c r="CT99" s="909">
        <v>2791.4</v>
      </c>
      <c r="CU99" s="910">
        <v>0</v>
      </c>
      <c r="CV99" s="910">
        <v>2259.6999999999998</v>
      </c>
      <c r="CW99" s="910">
        <v>265.85000000000002</v>
      </c>
      <c r="CX99" s="910">
        <v>-0.01</v>
      </c>
      <c r="CY99" s="911">
        <v>5316.94</v>
      </c>
      <c r="CZ99" s="909">
        <v>135547.07999999999</v>
      </c>
      <c r="DA99" s="910">
        <v>27711.34</v>
      </c>
      <c r="DB99" s="910">
        <v>0</v>
      </c>
      <c r="DC99" s="910">
        <v>0</v>
      </c>
      <c r="DD99" s="910">
        <v>0</v>
      </c>
      <c r="DE99" s="911">
        <v>163258.42000000001</v>
      </c>
      <c r="DF99" s="909">
        <v>5500.01</v>
      </c>
      <c r="DG99" s="910">
        <v>0</v>
      </c>
      <c r="DH99" s="910">
        <v>3795.01</v>
      </c>
      <c r="DI99" s="910">
        <v>1705</v>
      </c>
      <c r="DJ99" s="910">
        <v>-0.02</v>
      </c>
      <c r="DK99" s="911">
        <v>11000</v>
      </c>
      <c r="DL99" s="909">
        <v>6270.59</v>
      </c>
      <c r="DM99" s="910">
        <v>0</v>
      </c>
      <c r="DN99" s="910">
        <v>37.340000000000003</v>
      </c>
      <c r="DO99" s="910">
        <v>1157.0999999999999</v>
      </c>
      <c r="DP99" s="910">
        <v>-0.03</v>
      </c>
      <c r="DQ99" s="911">
        <v>7465</v>
      </c>
      <c r="DR99" s="912"/>
      <c r="DS99" s="913"/>
      <c r="DT99" s="913"/>
      <c r="DU99" s="913"/>
      <c r="DV99" s="913"/>
      <c r="DW99" s="914"/>
    </row>
    <row r="100" spans="1:127">
      <c r="A100" s="1107" t="s">
        <v>247</v>
      </c>
      <c r="B100" s="904" t="s">
        <v>389</v>
      </c>
      <c r="C100" s="905">
        <f t="shared" si="10"/>
        <v>536691.93000000005</v>
      </c>
      <c r="D100" s="906">
        <f t="shared" si="8"/>
        <v>106900.6</v>
      </c>
      <c r="E100" s="907">
        <f t="shared" si="11"/>
        <v>41299.659999999996</v>
      </c>
      <c r="F100" s="908">
        <f t="shared" si="9"/>
        <v>40935.96</v>
      </c>
      <c r="G100" s="907">
        <f t="shared" si="9"/>
        <v>363.70000000000005</v>
      </c>
      <c r="H100" s="912"/>
      <c r="I100" s="913"/>
      <c r="J100" s="913"/>
      <c r="K100" s="913"/>
      <c r="L100" s="913"/>
      <c r="M100" s="914"/>
      <c r="N100" s="909">
        <v>4676.29</v>
      </c>
      <c r="O100" s="910">
        <v>0</v>
      </c>
      <c r="P100" s="910">
        <v>0</v>
      </c>
      <c r="Q100" s="910">
        <v>1169.06</v>
      </c>
      <c r="R100" s="910">
        <v>0</v>
      </c>
      <c r="S100" s="911">
        <v>5845.35</v>
      </c>
      <c r="T100" s="909">
        <v>5982.15</v>
      </c>
      <c r="U100" s="910">
        <v>0</v>
      </c>
      <c r="V100" s="910">
        <v>35.6</v>
      </c>
      <c r="W100" s="910">
        <v>1103.8399999999999</v>
      </c>
      <c r="X100" s="910">
        <v>0</v>
      </c>
      <c r="Y100" s="911">
        <v>7121.59</v>
      </c>
      <c r="Z100" s="915">
        <v>33121.769999999997</v>
      </c>
      <c r="AA100" s="916">
        <v>0</v>
      </c>
      <c r="AB100" s="916">
        <v>0</v>
      </c>
      <c r="AC100" s="916">
        <v>8280.42</v>
      </c>
      <c r="AD100" s="916">
        <v>157.99</v>
      </c>
      <c r="AE100" s="917">
        <v>41560.18</v>
      </c>
      <c r="AF100" s="912"/>
      <c r="AG100" s="913"/>
      <c r="AH100" s="913"/>
      <c r="AI100" s="913"/>
      <c r="AJ100" s="913"/>
      <c r="AK100" s="914"/>
      <c r="AL100" s="909">
        <v>24</v>
      </c>
      <c r="AM100" s="910">
        <v>0</v>
      </c>
      <c r="AN100" s="910">
        <v>6</v>
      </c>
      <c r="AO100" s="910">
        <v>0</v>
      </c>
      <c r="AP100" s="910">
        <v>0</v>
      </c>
      <c r="AQ100" s="911">
        <v>30</v>
      </c>
      <c r="AR100" s="909">
        <v>2160.79</v>
      </c>
      <c r="AS100" s="910">
        <v>0</v>
      </c>
      <c r="AT100" s="910">
        <v>540.21</v>
      </c>
      <c r="AU100" s="910">
        <v>0</v>
      </c>
      <c r="AV100" s="910">
        <v>119.86</v>
      </c>
      <c r="AW100" s="911">
        <v>2820.86</v>
      </c>
      <c r="AX100" s="912"/>
      <c r="AY100" s="913"/>
      <c r="AZ100" s="913"/>
      <c r="BA100" s="913"/>
      <c r="BB100" s="913"/>
      <c r="BC100" s="914"/>
      <c r="BD100" s="909">
        <v>26.73</v>
      </c>
      <c r="BE100" s="910">
        <v>0</v>
      </c>
      <c r="BF100" s="910">
        <v>648.27</v>
      </c>
      <c r="BG100" s="910">
        <v>0</v>
      </c>
      <c r="BH100" s="910">
        <v>0</v>
      </c>
      <c r="BI100" s="911">
        <v>675</v>
      </c>
      <c r="BJ100" s="909">
        <v>37022.28</v>
      </c>
      <c r="BK100" s="910">
        <v>0</v>
      </c>
      <c r="BL100" s="910">
        <v>4689.49</v>
      </c>
      <c r="BM100" s="910">
        <v>7651.26</v>
      </c>
      <c r="BN100" s="910">
        <v>-0.01</v>
      </c>
      <c r="BO100" s="911">
        <v>49363.02</v>
      </c>
      <c r="BP100" s="909">
        <v>91312.99</v>
      </c>
      <c r="BQ100" s="910">
        <v>2933.06</v>
      </c>
      <c r="BR100" s="910">
        <v>76294.429999999993</v>
      </c>
      <c r="BS100" s="910">
        <v>8975.82</v>
      </c>
      <c r="BT100" s="910">
        <v>-0.25</v>
      </c>
      <c r="BU100" s="911">
        <v>179516.05</v>
      </c>
      <c r="BV100" s="909">
        <v>21187.37</v>
      </c>
      <c r="BW100" s="910">
        <v>0</v>
      </c>
      <c r="BX100" s="910">
        <v>14420.73</v>
      </c>
      <c r="BY100" s="910">
        <v>6531.74</v>
      </c>
      <c r="BZ100" s="910">
        <v>-0.18</v>
      </c>
      <c r="CA100" s="911">
        <v>42139.66</v>
      </c>
      <c r="CB100" s="909">
        <v>1142.02</v>
      </c>
      <c r="CC100" s="910">
        <v>0</v>
      </c>
      <c r="CD100" s="910">
        <v>0</v>
      </c>
      <c r="CE100" s="910">
        <v>1969.74</v>
      </c>
      <c r="CF100" s="910">
        <v>-0.01</v>
      </c>
      <c r="CG100" s="911">
        <v>3111.75</v>
      </c>
      <c r="CH100" s="912"/>
      <c r="CI100" s="913"/>
      <c r="CJ100" s="913"/>
      <c r="CK100" s="913"/>
      <c r="CL100" s="913"/>
      <c r="CM100" s="914"/>
      <c r="CN100" s="909">
        <v>51618.9</v>
      </c>
      <c r="CO100" s="910">
        <v>0</v>
      </c>
      <c r="CP100" s="910">
        <v>0</v>
      </c>
      <c r="CQ100" s="910">
        <v>0</v>
      </c>
      <c r="CR100" s="910">
        <v>0</v>
      </c>
      <c r="CS100" s="911">
        <v>51618.9</v>
      </c>
      <c r="CT100" s="909">
        <v>5894.28</v>
      </c>
      <c r="CU100" s="910">
        <v>5.7</v>
      </c>
      <c r="CV100" s="910">
        <v>4776.18</v>
      </c>
      <c r="CW100" s="910">
        <v>561.9</v>
      </c>
      <c r="CX100" s="910">
        <v>-0.06</v>
      </c>
      <c r="CY100" s="911">
        <v>11238</v>
      </c>
      <c r="CZ100" s="909">
        <v>231762.41</v>
      </c>
      <c r="DA100" s="910">
        <v>27731.01</v>
      </c>
      <c r="DB100" s="910">
        <v>0</v>
      </c>
      <c r="DC100" s="910">
        <v>0</v>
      </c>
      <c r="DD100" s="910">
        <v>0</v>
      </c>
      <c r="DE100" s="911">
        <v>259493.42</v>
      </c>
      <c r="DF100" s="909">
        <v>7850.5</v>
      </c>
      <c r="DG100" s="910">
        <v>0</v>
      </c>
      <c r="DH100" s="910">
        <v>5416.84</v>
      </c>
      <c r="DI100" s="910">
        <v>2433.66</v>
      </c>
      <c r="DJ100" s="910">
        <v>0</v>
      </c>
      <c r="DK100" s="911">
        <v>15701</v>
      </c>
      <c r="DL100" s="909">
        <v>12239.68</v>
      </c>
      <c r="DM100" s="910">
        <v>0</v>
      </c>
      <c r="DN100" s="910">
        <v>72.849999999999994</v>
      </c>
      <c r="DO100" s="910">
        <v>2258.52</v>
      </c>
      <c r="DP100" s="910">
        <v>86.36</v>
      </c>
      <c r="DQ100" s="911">
        <v>14657.41</v>
      </c>
      <c r="DR100" s="912"/>
      <c r="DS100" s="913"/>
      <c r="DT100" s="913"/>
      <c r="DU100" s="913"/>
      <c r="DV100" s="913"/>
      <c r="DW100" s="914"/>
    </row>
    <row r="101" spans="1:127">
      <c r="A101" s="1107" t="s">
        <v>14</v>
      </c>
      <c r="B101" s="904" t="s">
        <v>15</v>
      </c>
      <c r="C101" s="905">
        <f t="shared" si="10"/>
        <v>3143228.8599999994</v>
      </c>
      <c r="D101" s="906">
        <f t="shared" si="8"/>
        <v>1129591.44</v>
      </c>
      <c r="E101" s="907">
        <f t="shared" si="11"/>
        <v>394106.01</v>
      </c>
      <c r="F101" s="908">
        <f t="shared" si="9"/>
        <v>236475.28999999998</v>
      </c>
      <c r="G101" s="907">
        <f t="shared" si="9"/>
        <v>157630.72</v>
      </c>
      <c r="H101" s="912"/>
      <c r="I101" s="913"/>
      <c r="J101" s="913"/>
      <c r="K101" s="913"/>
      <c r="L101" s="913"/>
      <c r="M101" s="914"/>
      <c r="N101" s="909">
        <v>215200.46</v>
      </c>
      <c r="O101" s="910">
        <v>0</v>
      </c>
      <c r="P101" s="910">
        <v>0</v>
      </c>
      <c r="Q101" s="910">
        <v>53800.11</v>
      </c>
      <c r="R101" s="910">
        <v>68491.05</v>
      </c>
      <c r="S101" s="911">
        <v>337491.62</v>
      </c>
      <c r="T101" s="909">
        <v>9479.39</v>
      </c>
      <c r="U101" s="910">
        <v>0</v>
      </c>
      <c r="V101" s="910">
        <v>56.43</v>
      </c>
      <c r="W101" s="910">
        <v>1749.18</v>
      </c>
      <c r="X101" s="910">
        <v>7395.82</v>
      </c>
      <c r="Y101" s="911">
        <v>18680.82</v>
      </c>
      <c r="Z101" s="915">
        <v>70894.64</v>
      </c>
      <c r="AA101" s="916">
        <v>0</v>
      </c>
      <c r="AB101" s="916">
        <v>0</v>
      </c>
      <c r="AC101" s="916">
        <v>17723.66</v>
      </c>
      <c r="AD101" s="916">
        <v>11457.15</v>
      </c>
      <c r="AE101" s="917">
        <v>100075.45</v>
      </c>
      <c r="AF101" s="909">
        <v>4138.79</v>
      </c>
      <c r="AG101" s="910">
        <v>0</v>
      </c>
      <c r="AH101" s="910">
        <v>885.62</v>
      </c>
      <c r="AI101" s="910">
        <v>921.65</v>
      </c>
      <c r="AJ101" s="910">
        <v>-0.02</v>
      </c>
      <c r="AK101" s="911">
        <v>5946.04</v>
      </c>
      <c r="AL101" s="909">
        <v>23239.19</v>
      </c>
      <c r="AM101" s="910">
        <v>0</v>
      </c>
      <c r="AN101" s="910">
        <v>5809.81</v>
      </c>
      <c r="AO101" s="910">
        <v>0</v>
      </c>
      <c r="AP101" s="910">
        <v>2032.07</v>
      </c>
      <c r="AQ101" s="911">
        <v>31081.07</v>
      </c>
      <c r="AR101" s="909">
        <v>24314.36</v>
      </c>
      <c r="AS101" s="910">
        <v>0</v>
      </c>
      <c r="AT101" s="910">
        <v>6078.59</v>
      </c>
      <c r="AU101" s="910">
        <v>0</v>
      </c>
      <c r="AV101" s="910">
        <v>0</v>
      </c>
      <c r="AW101" s="911">
        <v>30392.95</v>
      </c>
      <c r="AX101" s="912"/>
      <c r="AY101" s="913"/>
      <c r="AZ101" s="913"/>
      <c r="BA101" s="913"/>
      <c r="BB101" s="913"/>
      <c r="BC101" s="914"/>
      <c r="BD101" s="909">
        <v>648.12</v>
      </c>
      <c r="BE101" s="910">
        <v>0</v>
      </c>
      <c r="BF101" s="910">
        <v>6461.71</v>
      </c>
      <c r="BG101" s="910">
        <v>0</v>
      </c>
      <c r="BH101" s="910">
        <v>0</v>
      </c>
      <c r="BI101" s="911">
        <v>7109.83</v>
      </c>
      <c r="BJ101" s="909">
        <v>55188.71</v>
      </c>
      <c r="BK101" s="910">
        <v>0</v>
      </c>
      <c r="BL101" s="910">
        <v>6990.57</v>
      </c>
      <c r="BM101" s="910">
        <v>11405.66</v>
      </c>
      <c r="BN101" s="910">
        <v>-0.04</v>
      </c>
      <c r="BO101" s="911">
        <v>73584.899999999994</v>
      </c>
      <c r="BP101" s="909">
        <v>698585.76</v>
      </c>
      <c r="BQ101" s="910">
        <v>25860.62</v>
      </c>
      <c r="BR101" s="910">
        <v>586456.62</v>
      </c>
      <c r="BS101" s="910">
        <v>68994.89</v>
      </c>
      <c r="BT101" s="910">
        <v>-0.35</v>
      </c>
      <c r="BU101" s="911">
        <v>1379897.54</v>
      </c>
      <c r="BV101" s="909">
        <v>19288.349999999999</v>
      </c>
      <c r="BW101" s="910">
        <v>0</v>
      </c>
      <c r="BX101" s="910">
        <v>9103.4</v>
      </c>
      <c r="BY101" s="910">
        <v>5207.96</v>
      </c>
      <c r="BZ101" s="910">
        <v>-0.01</v>
      </c>
      <c r="CA101" s="911">
        <v>33599.699999999997</v>
      </c>
      <c r="CB101" s="909">
        <v>7110.46</v>
      </c>
      <c r="CC101" s="910">
        <v>0</v>
      </c>
      <c r="CD101" s="910">
        <v>0</v>
      </c>
      <c r="CE101" s="910">
        <v>12264.06</v>
      </c>
      <c r="CF101" s="910">
        <v>-0.04</v>
      </c>
      <c r="CG101" s="911">
        <v>19374.48</v>
      </c>
      <c r="CH101" s="912"/>
      <c r="CI101" s="913"/>
      <c r="CJ101" s="913"/>
      <c r="CK101" s="913"/>
      <c r="CL101" s="913"/>
      <c r="CM101" s="914"/>
      <c r="CN101" s="909">
        <v>204079</v>
      </c>
      <c r="CO101" s="910">
        <v>0</v>
      </c>
      <c r="CP101" s="910">
        <v>0</v>
      </c>
      <c r="CQ101" s="910">
        <v>0</v>
      </c>
      <c r="CR101" s="910">
        <v>3559.62</v>
      </c>
      <c r="CS101" s="911">
        <v>207638.62</v>
      </c>
      <c r="CT101" s="909">
        <v>607495.97</v>
      </c>
      <c r="CU101" s="910">
        <v>7921.02</v>
      </c>
      <c r="CV101" s="910">
        <v>498194.71</v>
      </c>
      <c r="CW101" s="910">
        <v>58611.16</v>
      </c>
      <c r="CX101" s="910">
        <v>18783.919999999998</v>
      </c>
      <c r="CY101" s="911">
        <v>1191006.78</v>
      </c>
      <c r="CZ101" s="909">
        <v>902626.85</v>
      </c>
      <c r="DA101" s="910">
        <v>245108.15</v>
      </c>
      <c r="DB101" s="910">
        <v>0</v>
      </c>
      <c r="DC101" s="910">
        <v>0</v>
      </c>
      <c r="DD101" s="910">
        <v>44163.6</v>
      </c>
      <c r="DE101" s="911">
        <v>1191898.6000000001</v>
      </c>
      <c r="DF101" s="909">
        <v>13775.01</v>
      </c>
      <c r="DG101" s="910">
        <v>0</v>
      </c>
      <c r="DH101" s="910">
        <v>9504.74</v>
      </c>
      <c r="DI101" s="910">
        <v>4270.22</v>
      </c>
      <c r="DJ101" s="910">
        <v>-0.05</v>
      </c>
      <c r="DK101" s="911">
        <v>27549.919999999998</v>
      </c>
      <c r="DL101" s="909">
        <v>8274.01</v>
      </c>
      <c r="DM101" s="910">
        <v>0</v>
      </c>
      <c r="DN101" s="910">
        <v>49.24</v>
      </c>
      <c r="DO101" s="910">
        <v>1526.74</v>
      </c>
      <c r="DP101" s="910">
        <v>1748</v>
      </c>
      <c r="DQ101" s="911">
        <v>11597.99</v>
      </c>
      <c r="DR101" s="912"/>
      <c r="DS101" s="913"/>
      <c r="DT101" s="913"/>
      <c r="DU101" s="913"/>
      <c r="DV101" s="913"/>
      <c r="DW101" s="914"/>
    </row>
    <row r="102" spans="1:127">
      <c r="A102" s="1107" t="s">
        <v>35</v>
      </c>
      <c r="B102" s="904" t="s">
        <v>36</v>
      </c>
      <c r="C102" s="905">
        <f t="shared" si="10"/>
        <v>413415.12000000005</v>
      </c>
      <c r="D102" s="906">
        <f t="shared" si="8"/>
        <v>142857.49</v>
      </c>
      <c r="E102" s="907">
        <f t="shared" si="11"/>
        <v>54531.840000000011</v>
      </c>
      <c r="F102" s="908">
        <f t="shared" si="9"/>
        <v>54532.37000000001</v>
      </c>
      <c r="G102" s="907">
        <f t="shared" si="9"/>
        <v>-0.53</v>
      </c>
      <c r="H102" s="912"/>
      <c r="I102" s="913"/>
      <c r="J102" s="913"/>
      <c r="K102" s="913"/>
      <c r="L102" s="913"/>
      <c r="M102" s="914"/>
      <c r="N102" s="909">
        <v>4037.08</v>
      </c>
      <c r="O102" s="910">
        <v>0</v>
      </c>
      <c r="P102" s="910">
        <v>0</v>
      </c>
      <c r="Q102" s="910">
        <v>1009.26</v>
      </c>
      <c r="R102" s="910">
        <v>0</v>
      </c>
      <c r="S102" s="911">
        <v>5046.34</v>
      </c>
      <c r="T102" s="909">
        <v>4623.3599999999997</v>
      </c>
      <c r="U102" s="910">
        <v>0</v>
      </c>
      <c r="V102" s="910">
        <v>27.51</v>
      </c>
      <c r="W102" s="910">
        <v>853.13</v>
      </c>
      <c r="X102" s="910">
        <v>0</v>
      </c>
      <c r="Y102" s="911">
        <v>5504</v>
      </c>
      <c r="Z102" s="915">
        <v>32284.81</v>
      </c>
      <c r="AA102" s="916">
        <v>0</v>
      </c>
      <c r="AB102" s="916">
        <v>0</v>
      </c>
      <c r="AC102" s="916">
        <v>8071.18</v>
      </c>
      <c r="AD102" s="916">
        <v>0</v>
      </c>
      <c r="AE102" s="917">
        <v>40355.99</v>
      </c>
      <c r="AF102" s="909">
        <v>9956.35</v>
      </c>
      <c r="AG102" s="910">
        <v>0</v>
      </c>
      <c r="AH102" s="910">
        <v>2229.38</v>
      </c>
      <c r="AI102" s="910">
        <v>2235.27</v>
      </c>
      <c r="AJ102" s="910">
        <v>-0.03</v>
      </c>
      <c r="AK102" s="911">
        <v>14420.97</v>
      </c>
      <c r="AL102" s="909">
        <v>4512.8</v>
      </c>
      <c r="AM102" s="910">
        <v>0</v>
      </c>
      <c r="AN102" s="910">
        <v>1128.2</v>
      </c>
      <c r="AO102" s="910">
        <v>0</v>
      </c>
      <c r="AP102" s="910">
        <v>0</v>
      </c>
      <c r="AQ102" s="911">
        <v>5641</v>
      </c>
      <c r="AR102" s="909">
        <v>5282.41</v>
      </c>
      <c r="AS102" s="910">
        <v>0</v>
      </c>
      <c r="AT102" s="910">
        <v>1320.59</v>
      </c>
      <c r="AU102" s="910">
        <v>0</v>
      </c>
      <c r="AV102" s="910">
        <v>0</v>
      </c>
      <c r="AW102" s="911">
        <v>6603</v>
      </c>
      <c r="AX102" s="912"/>
      <c r="AY102" s="913"/>
      <c r="AZ102" s="913"/>
      <c r="BA102" s="913"/>
      <c r="BB102" s="913"/>
      <c r="BC102" s="914"/>
      <c r="BD102" s="909">
        <v>0</v>
      </c>
      <c r="BE102" s="910">
        <v>0</v>
      </c>
      <c r="BF102" s="910">
        <v>260.10000000000002</v>
      </c>
      <c r="BG102" s="910">
        <v>0</v>
      </c>
      <c r="BH102" s="910">
        <v>0</v>
      </c>
      <c r="BI102" s="911">
        <v>260.10000000000002</v>
      </c>
      <c r="BJ102" s="909">
        <v>16631.29</v>
      </c>
      <c r="BK102" s="910">
        <v>0</v>
      </c>
      <c r="BL102" s="910">
        <v>2106.61</v>
      </c>
      <c r="BM102" s="910">
        <v>3437.14</v>
      </c>
      <c r="BN102" s="910">
        <v>-0.04</v>
      </c>
      <c r="BO102" s="911">
        <v>22175</v>
      </c>
      <c r="BP102" s="909">
        <v>109297.96</v>
      </c>
      <c r="BQ102" s="910">
        <v>3090.85</v>
      </c>
      <c r="BR102" s="910">
        <v>90978.92</v>
      </c>
      <c r="BS102" s="910">
        <v>10731.45</v>
      </c>
      <c r="BT102" s="910">
        <v>-0.26</v>
      </c>
      <c r="BU102" s="911">
        <v>214098.92</v>
      </c>
      <c r="BV102" s="909">
        <v>61115.42</v>
      </c>
      <c r="BW102" s="910">
        <v>0</v>
      </c>
      <c r="BX102" s="910">
        <v>42126.49</v>
      </c>
      <c r="BY102" s="910">
        <v>18937.900000000001</v>
      </c>
      <c r="BZ102" s="910">
        <v>-0.2</v>
      </c>
      <c r="CA102" s="911">
        <v>122179.61</v>
      </c>
      <c r="CB102" s="909">
        <v>3668.7</v>
      </c>
      <c r="CC102" s="910">
        <v>0</v>
      </c>
      <c r="CD102" s="910">
        <v>0</v>
      </c>
      <c r="CE102" s="910">
        <v>6327.77</v>
      </c>
      <c r="CF102" s="910">
        <v>0</v>
      </c>
      <c r="CG102" s="911">
        <v>9996.4699999999993</v>
      </c>
      <c r="CH102" s="912"/>
      <c r="CI102" s="913"/>
      <c r="CJ102" s="913"/>
      <c r="CK102" s="913"/>
      <c r="CL102" s="913"/>
      <c r="CM102" s="914"/>
      <c r="CN102" s="909">
        <v>1378</v>
      </c>
      <c r="CO102" s="910">
        <v>0</v>
      </c>
      <c r="CP102" s="910">
        <v>0</v>
      </c>
      <c r="CQ102" s="910">
        <v>0</v>
      </c>
      <c r="CR102" s="910">
        <v>0</v>
      </c>
      <c r="CS102" s="911">
        <v>1378</v>
      </c>
      <c r="CT102" s="909">
        <v>1510.17</v>
      </c>
      <c r="CU102" s="910">
        <v>0</v>
      </c>
      <c r="CV102" s="910">
        <v>1222.52</v>
      </c>
      <c r="CW102" s="910">
        <v>143.83000000000001</v>
      </c>
      <c r="CX102" s="910">
        <v>-0.02</v>
      </c>
      <c r="CY102" s="911">
        <v>2876.5</v>
      </c>
      <c r="CZ102" s="909">
        <v>127664.77</v>
      </c>
      <c r="DA102" s="910">
        <v>14633.27</v>
      </c>
      <c r="DB102" s="910">
        <v>0</v>
      </c>
      <c r="DC102" s="910">
        <v>0</v>
      </c>
      <c r="DD102" s="910">
        <v>0.01</v>
      </c>
      <c r="DE102" s="911">
        <v>142298.04999999999</v>
      </c>
      <c r="DF102" s="909">
        <v>2010.82</v>
      </c>
      <c r="DG102" s="910">
        <v>0</v>
      </c>
      <c r="DH102" s="910">
        <v>1387.44</v>
      </c>
      <c r="DI102" s="910">
        <v>623.35</v>
      </c>
      <c r="DJ102" s="910">
        <v>-0.01</v>
      </c>
      <c r="DK102" s="911">
        <v>4021.6</v>
      </c>
      <c r="DL102" s="909">
        <v>11717.06</v>
      </c>
      <c r="DM102" s="910">
        <v>0</v>
      </c>
      <c r="DN102" s="910">
        <v>69.73</v>
      </c>
      <c r="DO102" s="910">
        <v>2162.09</v>
      </c>
      <c r="DP102" s="910">
        <v>0.02</v>
      </c>
      <c r="DQ102" s="911">
        <v>13948.9</v>
      </c>
      <c r="DR102" s="912"/>
      <c r="DS102" s="913"/>
      <c r="DT102" s="913"/>
      <c r="DU102" s="913"/>
      <c r="DV102" s="913"/>
      <c r="DW102" s="914"/>
    </row>
    <row r="103" spans="1:127">
      <c r="A103" s="1107" t="s">
        <v>53</v>
      </c>
      <c r="B103" s="904" t="s">
        <v>54</v>
      </c>
      <c r="C103" s="905">
        <f t="shared" si="10"/>
        <v>1079068</v>
      </c>
      <c r="D103" s="906">
        <f t="shared" si="8"/>
        <v>492617.08999999997</v>
      </c>
      <c r="E103" s="907">
        <f t="shared" si="11"/>
        <v>91760.849999999991</v>
      </c>
      <c r="F103" s="908">
        <f t="shared" si="9"/>
        <v>91761.439999999988</v>
      </c>
      <c r="G103" s="907">
        <f t="shared" si="9"/>
        <v>-0.59000000000000008</v>
      </c>
      <c r="H103" s="912"/>
      <c r="I103" s="913"/>
      <c r="J103" s="913"/>
      <c r="K103" s="913"/>
      <c r="L103" s="913"/>
      <c r="M103" s="914"/>
      <c r="N103" s="909">
        <v>4865.8599999999997</v>
      </c>
      <c r="O103" s="910">
        <v>0</v>
      </c>
      <c r="P103" s="910">
        <v>0</v>
      </c>
      <c r="Q103" s="910">
        <v>1216.45</v>
      </c>
      <c r="R103" s="910">
        <v>0</v>
      </c>
      <c r="S103" s="911">
        <v>6082.31</v>
      </c>
      <c r="T103" s="909">
        <v>6383.16</v>
      </c>
      <c r="U103" s="910">
        <v>0</v>
      </c>
      <c r="V103" s="910">
        <v>38</v>
      </c>
      <c r="W103" s="910">
        <v>1177.8599999999999</v>
      </c>
      <c r="X103" s="910">
        <v>-0.02</v>
      </c>
      <c r="Y103" s="911">
        <v>7599</v>
      </c>
      <c r="Z103" s="915">
        <v>35152.019999999997</v>
      </c>
      <c r="AA103" s="916">
        <v>0</v>
      </c>
      <c r="AB103" s="916">
        <v>0</v>
      </c>
      <c r="AC103" s="916">
        <v>8788.01</v>
      </c>
      <c r="AD103" s="916">
        <v>0</v>
      </c>
      <c r="AE103" s="917">
        <v>43940.03</v>
      </c>
      <c r="AF103" s="912"/>
      <c r="AG103" s="913"/>
      <c r="AH103" s="913"/>
      <c r="AI103" s="913"/>
      <c r="AJ103" s="913"/>
      <c r="AK103" s="914"/>
      <c r="AL103" s="909">
        <v>28873.59</v>
      </c>
      <c r="AM103" s="910">
        <v>0</v>
      </c>
      <c r="AN103" s="910">
        <v>7218.41</v>
      </c>
      <c r="AO103" s="910">
        <v>0</v>
      </c>
      <c r="AP103" s="910">
        <v>0</v>
      </c>
      <c r="AQ103" s="911">
        <v>36092</v>
      </c>
      <c r="AR103" s="909">
        <v>29294.42</v>
      </c>
      <c r="AS103" s="910">
        <v>0</v>
      </c>
      <c r="AT103" s="910">
        <v>7323.58</v>
      </c>
      <c r="AU103" s="910">
        <v>0</v>
      </c>
      <c r="AV103" s="910">
        <v>0</v>
      </c>
      <c r="AW103" s="911">
        <v>36618</v>
      </c>
      <c r="AX103" s="912"/>
      <c r="AY103" s="913"/>
      <c r="AZ103" s="913"/>
      <c r="BA103" s="913"/>
      <c r="BB103" s="913"/>
      <c r="BC103" s="914"/>
      <c r="BD103" s="909">
        <v>819.72</v>
      </c>
      <c r="BE103" s="910">
        <v>0</v>
      </c>
      <c r="BF103" s="910">
        <v>3350.28</v>
      </c>
      <c r="BG103" s="910">
        <v>0</v>
      </c>
      <c r="BH103" s="910">
        <v>0</v>
      </c>
      <c r="BI103" s="911">
        <v>4170</v>
      </c>
      <c r="BJ103" s="909">
        <v>54170.52</v>
      </c>
      <c r="BK103" s="910">
        <v>0</v>
      </c>
      <c r="BL103" s="910">
        <v>6861.62</v>
      </c>
      <c r="BM103" s="910">
        <v>11195.25</v>
      </c>
      <c r="BN103" s="910">
        <v>-0.04</v>
      </c>
      <c r="BO103" s="911">
        <v>72227.350000000006</v>
      </c>
      <c r="BP103" s="909">
        <v>487418.29</v>
      </c>
      <c r="BQ103" s="910">
        <v>16020.56</v>
      </c>
      <c r="BR103" s="910">
        <v>407545.73</v>
      </c>
      <c r="BS103" s="910">
        <v>47946.59</v>
      </c>
      <c r="BT103" s="910">
        <v>-0.19</v>
      </c>
      <c r="BU103" s="911">
        <v>958930.98</v>
      </c>
      <c r="BV103" s="909">
        <v>31199.42</v>
      </c>
      <c r="BW103" s="910">
        <v>0</v>
      </c>
      <c r="BX103" s="910">
        <v>19176.099999999999</v>
      </c>
      <c r="BY103" s="910">
        <v>9240.51</v>
      </c>
      <c r="BZ103" s="910">
        <v>-0.25</v>
      </c>
      <c r="CA103" s="911">
        <v>59615.78</v>
      </c>
      <c r="CB103" s="909">
        <v>3251.06</v>
      </c>
      <c r="CC103" s="910">
        <v>0</v>
      </c>
      <c r="CD103" s="910">
        <v>0</v>
      </c>
      <c r="CE103" s="910">
        <v>5607.42</v>
      </c>
      <c r="CF103" s="910">
        <v>-0.01</v>
      </c>
      <c r="CG103" s="911">
        <v>8858.4699999999993</v>
      </c>
      <c r="CH103" s="909">
        <v>23.28</v>
      </c>
      <c r="CI103" s="910">
        <v>0</v>
      </c>
      <c r="CJ103" s="910">
        <v>0</v>
      </c>
      <c r="CK103" s="910">
        <v>71.73</v>
      </c>
      <c r="CL103" s="910">
        <v>-0.01</v>
      </c>
      <c r="CM103" s="911">
        <v>95</v>
      </c>
      <c r="CN103" s="909">
        <v>6536.94</v>
      </c>
      <c r="CO103" s="910">
        <v>0</v>
      </c>
      <c r="CP103" s="910">
        <v>0</v>
      </c>
      <c r="CQ103" s="910">
        <v>0</v>
      </c>
      <c r="CR103" s="910">
        <v>0</v>
      </c>
      <c r="CS103" s="911">
        <v>6536.94</v>
      </c>
      <c r="CT103" s="909">
        <v>50581.16</v>
      </c>
      <c r="CU103" s="910">
        <v>126.28</v>
      </c>
      <c r="CV103" s="910">
        <v>41048.9</v>
      </c>
      <c r="CW103" s="910">
        <v>4829.28</v>
      </c>
      <c r="CX103" s="910">
        <v>-0.02</v>
      </c>
      <c r="CY103" s="911">
        <v>96585.600000000006</v>
      </c>
      <c r="CZ103" s="909">
        <v>258932.42</v>
      </c>
      <c r="DA103" s="910">
        <v>56269.67</v>
      </c>
      <c r="DB103" s="910">
        <v>0</v>
      </c>
      <c r="DC103" s="910">
        <v>0</v>
      </c>
      <c r="DD103" s="910">
        <v>-0.03</v>
      </c>
      <c r="DE103" s="911">
        <v>315202.06</v>
      </c>
      <c r="DF103" s="912"/>
      <c r="DG103" s="913"/>
      <c r="DH103" s="913"/>
      <c r="DI103" s="913"/>
      <c r="DJ103" s="913"/>
      <c r="DK103" s="914"/>
      <c r="DL103" s="909">
        <v>9149.6299999999992</v>
      </c>
      <c r="DM103" s="910">
        <v>0</v>
      </c>
      <c r="DN103" s="910">
        <v>54.47</v>
      </c>
      <c r="DO103" s="910">
        <v>1688.34</v>
      </c>
      <c r="DP103" s="910">
        <v>-0.02</v>
      </c>
      <c r="DQ103" s="911">
        <v>10892.42</v>
      </c>
      <c r="DR103" s="912"/>
      <c r="DS103" s="913"/>
      <c r="DT103" s="913"/>
      <c r="DU103" s="913"/>
      <c r="DV103" s="913"/>
      <c r="DW103" s="914"/>
    </row>
    <row r="104" spans="1:127">
      <c r="A104" s="1107" t="s">
        <v>55</v>
      </c>
      <c r="B104" s="904" t="s">
        <v>56</v>
      </c>
      <c r="C104" s="905">
        <f t="shared" si="10"/>
        <v>2944558.8500000006</v>
      </c>
      <c r="D104" s="906">
        <f t="shared" si="8"/>
        <v>1077556.73</v>
      </c>
      <c r="E104" s="907">
        <f t="shared" si="11"/>
        <v>271034.56999999995</v>
      </c>
      <c r="F104" s="908">
        <f t="shared" si="9"/>
        <v>268808.83999999997</v>
      </c>
      <c r="G104" s="907">
        <f t="shared" si="9"/>
        <v>2225.73</v>
      </c>
      <c r="H104" s="912"/>
      <c r="I104" s="913"/>
      <c r="J104" s="913"/>
      <c r="K104" s="913"/>
      <c r="L104" s="913"/>
      <c r="M104" s="914"/>
      <c r="N104" s="909">
        <v>51558.34</v>
      </c>
      <c r="O104" s="910">
        <v>0</v>
      </c>
      <c r="P104" s="910">
        <v>0</v>
      </c>
      <c r="Q104" s="910">
        <v>12889.58</v>
      </c>
      <c r="R104" s="910">
        <v>573.82000000000005</v>
      </c>
      <c r="S104" s="911">
        <v>65021.74</v>
      </c>
      <c r="T104" s="909">
        <v>27919.47</v>
      </c>
      <c r="U104" s="910">
        <v>0</v>
      </c>
      <c r="V104" s="910">
        <v>166.19</v>
      </c>
      <c r="W104" s="910">
        <v>5151.8</v>
      </c>
      <c r="X104" s="910">
        <v>0</v>
      </c>
      <c r="Y104" s="911">
        <v>33237.46</v>
      </c>
      <c r="Z104" s="915">
        <v>45458.66</v>
      </c>
      <c r="AA104" s="916">
        <v>0</v>
      </c>
      <c r="AB104" s="916">
        <v>0</v>
      </c>
      <c r="AC104" s="916">
        <v>11364.64</v>
      </c>
      <c r="AD104" s="916">
        <v>0</v>
      </c>
      <c r="AE104" s="917">
        <v>56823.3</v>
      </c>
      <c r="AF104" s="909">
        <v>6450</v>
      </c>
      <c r="AG104" s="910">
        <v>0</v>
      </c>
      <c r="AH104" s="910">
        <v>4450.53</v>
      </c>
      <c r="AI104" s="910">
        <v>1999.53</v>
      </c>
      <c r="AJ104" s="910">
        <v>-0.06</v>
      </c>
      <c r="AK104" s="911">
        <v>12900</v>
      </c>
      <c r="AL104" s="909">
        <v>3954.43</v>
      </c>
      <c r="AM104" s="910">
        <v>0</v>
      </c>
      <c r="AN104" s="910">
        <v>988.62</v>
      </c>
      <c r="AO104" s="910">
        <v>0</v>
      </c>
      <c r="AP104" s="910">
        <v>0</v>
      </c>
      <c r="AQ104" s="911">
        <v>4943.05</v>
      </c>
      <c r="AR104" s="909">
        <v>7819.56</v>
      </c>
      <c r="AS104" s="910">
        <v>0</v>
      </c>
      <c r="AT104" s="910">
        <v>1954.9</v>
      </c>
      <c r="AU104" s="910">
        <v>0</v>
      </c>
      <c r="AV104" s="910">
        <v>0</v>
      </c>
      <c r="AW104" s="911">
        <v>9774.4599999999991</v>
      </c>
      <c r="AX104" s="912"/>
      <c r="AY104" s="913"/>
      <c r="AZ104" s="913"/>
      <c r="BA104" s="913"/>
      <c r="BB104" s="913"/>
      <c r="BC104" s="914"/>
      <c r="BD104" s="909">
        <v>1297.3</v>
      </c>
      <c r="BE104" s="910">
        <v>0</v>
      </c>
      <c r="BF104" s="910">
        <v>3572.7</v>
      </c>
      <c r="BG104" s="910">
        <v>0</v>
      </c>
      <c r="BH104" s="910">
        <v>0</v>
      </c>
      <c r="BI104" s="911">
        <v>4870</v>
      </c>
      <c r="BJ104" s="909">
        <v>48631.73</v>
      </c>
      <c r="BK104" s="910">
        <v>0</v>
      </c>
      <c r="BL104" s="910">
        <v>6160.02</v>
      </c>
      <c r="BM104" s="910">
        <v>10050.549999999999</v>
      </c>
      <c r="BN104" s="910">
        <v>-0.04</v>
      </c>
      <c r="BO104" s="911">
        <v>64842.26</v>
      </c>
      <c r="BP104" s="909">
        <v>1028190.6</v>
      </c>
      <c r="BQ104" s="910">
        <v>31926.84</v>
      </c>
      <c r="BR104" s="910">
        <v>858190.33</v>
      </c>
      <c r="BS104" s="910">
        <v>100963.59</v>
      </c>
      <c r="BT104" s="910">
        <v>1652.14</v>
      </c>
      <c r="BU104" s="911">
        <v>2020923.5</v>
      </c>
      <c r="BV104" s="909">
        <v>409339.38</v>
      </c>
      <c r="BW104" s="910">
        <v>0</v>
      </c>
      <c r="BX104" s="910">
        <v>191002.68</v>
      </c>
      <c r="BY104" s="910">
        <v>110121.96</v>
      </c>
      <c r="BZ104" s="910">
        <v>-0.11</v>
      </c>
      <c r="CA104" s="911">
        <v>710463.91</v>
      </c>
      <c r="CB104" s="909">
        <v>7120.37</v>
      </c>
      <c r="CC104" s="910">
        <v>0</v>
      </c>
      <c r="CD104" s="910">
        <v>0</v>
      </c>
      <c r="CE104" s="910">
        <v>12281.18</v>
      </c>
      <c r="CF104" s="910">
        <v>0</v>
      </c>
      <c r="CG104" s="911">
        <v>19401.55</v>
      </c>
      <c r="CH104" s="912"/>
      <c r="CI104" s="913"/>
      <c r="CJ104" s="913"/>
      <c r="CK104" s="913"/>
      <c r="CL104" s="913"/>
      <c r="CM104" s="914"/>
      <c r="CN104" s="909">
        <v>41435.800000000003</v>
      </c>
      <c r="CO104" s="910">
        <v>0</v>
      </c>
      <c r="CP104" s="910">
        <v>0</v>
      </c>
      <c r="CQ104" s="910">
        <v>0</v>
      </c>
      <c r="CR104" s="910">
        <v>0</v>
      </c>
      <c r="CS104" s="911">
        <v>41435.800000000003</v>
      </c>
      <c r="CT104" s="909">
        <v>11108.77</v>
      </c>
      <c r="CU104" s="910">
        <v>0</v>
      </c>
      <c r="CV104" s="910">
        <v>8992.81</v>
      </c>
      <c r="CW104" s="910">
        <v>1057.98</v>
      </c>
      <c r="CX104" s="910">
        <v>0</v>
      </c>
      <c r="CY104" s="911">
        <v>21159.56</v>
      </c>
      <c r="CZ104" s="909">
        <v>1048300.42</v>
      </c>
      <c r="DA104" s="910">
        <v>160162.57999999999</v>
      </c>
      <c r="DB104" s="910">
        <v>0</v>
      </c>
      <c r="DC104" s="910">
        <v>0</v>
      </c>
      <c r="DD104" s="910">
        <v>-0.03</v>
      </c>
      <c r="DE104" s="911">
        <v>1208462.97</v>
      </c>
      <c r="DF104" s="909">
        <v>2916.92</v>
      </c>
      <c r="DG104" s="910">
        <v>0</v>
      </c>
      <c r="DH104" s="910">
        <v>2012.67</v>
      </c>
      <c r="DI104" s="910">
        <v>904.24</v>
      </c>
      <c r="DJ104" s="910">
        <v>0</v>
      </c>
      <c r="DK104" s="911">
        <v>5833.83</v>
      </c>
      <c r="DL104" s="909">
        <v>10967.68</v>
      </c>
      <c r="DM104" s="910">
        <v>0</v>
      </c>
      <c r="DN104" s="910">
        <v>65.28</v>
      </c>
      <c r="DO104" s="910">
        <v>2023.79</v>
      </c>
      <c r="DP104" s="910">
        <v>0.01</v>
      </c>
      <c r="DQ104" s="911">
        <v>13056.76</v>
      </c>
      <c r="DR104" s="912"/>
      <c r="DS104" s="913"/>
      <c r="DT104" s="913"/>
      <c r="DU104" s="913"/>
      <c r="DV104" s="913"/>
      <c r="DW104" s="914"/>
    </row>
    <row r="105" spans="1:127">
      <c r="A105" s="1107" t="s">
        <v>67</v>
      </c>
      <c r="B105" s="904" t="s">
        <v>68</v>
      </c>
      <c r="C105" s="905">
        <f t="shared" si="10"/>
        <v>1040164.03</v>
      </c>
      <c r="D105" s="906">
        <f t="shared" si="8"/>
        <v>291061.28000000003</v>
      </c>
      <c r="E105" s="907">
        <f t="shared" si="11"/>
        <v>85570.250000000015</v>
      </c>
      <c r="F105" s="908">
        <f t="shared" si="9"/>
        <v>85571.060000000012</v>
      </c>
      <c r="G105" s="907">
        <f t="shared" si="9"/>
        <v>-0.81</v>
      </c>
      <c r="H105" s="912"/>
      <c r="I105" s="913"/>
      <c r="J105" s="913"/>
      <c r="K105" s="913"/>
      <c r="L105" s="913"/>
      <c r="M105" s="914"/>
      <c r="N105" s="909">
        <v>32351.759999999998</v>
      </c>
      <c r="O105" s="910">
        <v>0</v>
      </c>
      <c r="P105" s="910">
        <v>0</v>
      </c>
      <c r="Q105" s="910">
        <v>8087.93</v>
      </c>
      <c r="R105" s="910">
        <v>0</v>
      </c>
      <c r="S105" s="911">
        <v>40439.69</v>
      </c>
      <c r="T105" s="909">
        <v>14660.62</v>
      </c>
      <c r="U105" s="910">
        <v>0</v>
      </c>
      <c r="V105" s="910">
        <v>87.27</v>
      </c>
      <c r="W105" s="910">
        <v>2705.26</v>
      </c>
      <c r="X105" s="910">
        <v>-0.02</v>
      </c>
      <c r="Y105" s="911">
        <v>17453.13</v>
      </c>
      <c r="Z105" s="915">
        <v>67558.86</v>
      </c>
      <c r="AA105" s="916">
        <v>0</v>
      </c>
      <c r="AB105" s="916">
        <v>0</v>
      </c>
      <c r="AC105" s="916">
        <v>16889.73</v>
      </c>
      <c r="AD105" s="916">
        <v>0</v>
      </c>
      <c r="AE105" s="917">
        <v>84448.59</v>
      </c>
      <c r="AF105" s="909">
        <v>8914.9699999999993</v>
      </c>
      <c r="AG105" s="910">
        <v>0</v>
      </c>
      <c r="AH105" s="910">
        <v>2585.4</v>
      </c>
      <c r="AI105" s="910">
        <v>2109.5300000000002</v>
      </c>
      <c r="AJ105" s="910">
        <v>0</v>
      </c>
      <c r="AK105" s="911">
        <v>13609.9</v>
      </c>
      <c r="AL105" s="909">
        <v>7875.41</v>
      </c>
      <c r="AM105" s="910">
        <v>0</v>
      </c>
      <c r="AN105" s="910">
        <v>1968.86</v>
      </c>
      <c r="AO105" s="910">
        <v>0</v>
      </c>
      <c r="AP105" s="910">
        <v>0</v>
      </c>
      <c r="AQ105" s="911">
        <v>9844.27</v>
      </c>
      <c r="AR105" s="909">
        <v>9868.7000000000007</v>
      </c>
      <c r="AS105" s="910">
        <v>0</v>
      </c>
      <c r="AT105" s="910">
        <v>2467.19</v>
      </c>
      <c r="AU105" s="910">
        <v>0</v>
      </c>
      <c r="AV105" s="910">
        <v>0</v>
      </c>
      <c r="AW105" s="911">
        <v>12335.89</v>
      </c>
      <c r="AX105" s="912"/>
      <c r="AY105" s="913"/>
      <c r="AZ105" s="913"/>
      <c r="BA105" s="913"/>
      <c r="BB105" s="913"/>
      <c r="BC105" s="914"/>
      <c r="BD105" s="909">
        <v>76.98</v>
      </c>
      <c r="BE105" s="910">
        <v>0</v>
      </c>
      <c r="BF105" s="910">
        <v>895.02</v>
      </c>
      <c r="BG105" s="910">
        <v>0</v>
      </c>
      <c r="BH105" s="910">
        <v>0</v>
      </c>
      <c r="BI105" s="911">
        <v>972</v>
      </c>
      <c r="BJ105" s="909">
        <v>30856.17</v>
      </c>
      <c r="BK105" s="910">
        <v>0</v>
      </c>
      <c r="BL105" s="910">
        <v>3908.54</v>
      </c>
      <c r="BM105" s="910">
        <v>6376.94</v>
      </c>
      <c r="BN105" s="910">
        <v>-0.04</v>
      </c>
      <c r="BO105" s="911">
        <v>41141.61</v>
      </c>
      <c r="BP105" s="909">
        <v>223769.87</v>
      </c>
      <c r="BQ105" s="910">
        <v>8566.84</v>
      </c>
      <c r="BR105" s="910">
        <v>188077.83</v>
      </c>
      <c r="BS105" s="910">
        <v>22174.639999999999</v>
      </c>
      <c r="BT105" s="910">
        <v>-0.38</v>
      </c>
      <c r="BU105" s="911">
        <v>442588.8</v>
      </c>
      <c r="BV105" s="909">
        <v>50818.71</v>
      </c>
      <c r="BW105" s="910">
        <v>0</v>
      </c>
      <c r="BX105" s="910">
        <v>35064.94</v>
      </c>
      <c r="BY105" s="910">
        <v>15753.85</v>
      </c>
      <c r="BZ105" s="910">
        <v>-0.22</v>
      </c>
      <c r="CA105" s="911">
        <v>101637.28</v>
      </c>
      <c r="CB105" s="909">
        <v>1924.99</v>
      </c>
      <c r="CC105" s="910">
        <v>0</v>
      </c>
      <c r="CD105" s="910">
        <v>0</v>
      </c>
      <c r="CE105" s="910">
        <v>3320.21</v>
      </c>
      <c r="CF105" s="910">
        <v>0</v>
      </c>
      <c r="CG105" s="911">
        <v>5245.2</v>
      </c>
      <c r="CH105" s="909">
        <v>36.24</v>
      </c>
      <c r="CI105" s="910">
        <v>0</v>
      </c>
      <c r="CJ105" s="910">
        <v>0</v>
      </c>
      <c r="CK105" s="910">
        <v>111.66</v>
      </c>
      <c r="CL105" s="910">
        <v>0</v>
      </c>
      <c r="CM105" s="911">
        <v>147.9</v>
      </c>
      <c r="CN105" s="909">
        <v>96565</v>
      </c>
      <c r="CO105" s="910">
        <v>0</v>
      </c>
      <c r="CP105" s="910">
        <v>0</v>
      </c>
      <c r="CQ105" s="910">
        <v>0</v>
      </c>
      <c r="CR105" s="910">
        <v>0</v>
      </c>
      <c r="CS105" s="911">
        <v>96565</v>
      </c>
      <c r="CT105" s="909">
        <v>64741.07</v>
      </c>
      <c r="CU105" s="910">
        <v>779.15</v>
      </c>
      <c r="CV105" s="910">
        <v>53040.19</v>
      </c>
      <c r="CW105" s="910">
        <v>6240.02</v>
      </c>
      <c r="CX105" s="910">
        <v>-0.13</v>
      </c>
      <c r="CY105" s="911">
        <v>124800.3</v>
      </c>
      <c r="CZ105" s="909">
        <v>342824.6</v>
      </c>
      <c r="DA105" s="910">
        <v>71120.2</v>
      </c>
      <c r="DB105" s="910">
        <v>0</v>
      </c>
      <c r="DC105" s="910">
        <v>0</v>
      </c>
      <c r="DD105" s="910">
        <v>0</v>
      </c>
      <c r="DE105" s="911">
        <v>413944.8</v>
      </c>
      <c r="DF105" s="909">
        <v>4276.3900000000003</v>
      </c>
      <c r="DG105" s="910">
        <v>0</v>
      </c>
      <c r="DH105" s="910">
        <v>2950.7</v>
      </c>
      <c r="DI105" s="910">
        <v>1325.68</v>
      </c>
      <c r="DJ105" s="910">
        <v>-0.02</v>
      </c>
      <c r="DK105" s="911">
        <v>8552.75</v>
      </c>
      <c r="DL105" s="909">
        <v>2577.5</v>
      </c>
      <c r="DM105" s="910">
        <v>0</v>
      </c>
      <c r="DN105" s="910">
        <v>15.34</v>
      </c>
      <c r="DO105" s="910">
        <v>475.61</v>
      </c>
      <c r="DP105" s="910">
        <v>0</v>
      </c>
      <c r="DQ105" s="911">
        <v>3068.45</v>
      </c>
      <c r="DR105" s="912"/>
      <c r="DS105" s="913"/>
      <c r="DT105" s="913"/>
      <c r="DU105" s="913"/>
      <c r="DV105" s="913"/>
      <c r="DW105" s="914"/>
    </row>
    <row r="106" spans="1:127">
      <c r="A106" s="1107" t="s">
        <v>83</v>
      </c>
      <c r="B106" s="904" t="s">
        <v>390</v>
      </c>
      <c r="C106" s="905">
        <f t="shared" si="10"/>
        <v>173156.18000000002</v>
      </c>
      <c r="D106" s="906">
        <f t="shared" si="8"/>
        <v>30426.199999999997</v>
      </c>
      <c r="E106" s="907">
        <f t="shared" si="11"/>
        <v>15975.16</v>
      </c>
      <c r="F106" s="908">
        <f t="shared" si="9"/>
        <v>15975.39</v>
      </c>
      <c r="G106" s="907">
        <f t="shared" si="9"/>
        <v>-0.23</v>
      </c>
      <c r="H106" s="912"/>
      <c r="I106" s="913"/>
      <c r="J106" s="913"/>
      <c r="K106" s="913"/>
      <c r="L106" s="913"/>
      <c r="M106" s="914"/>
      <c r="N106" s="909">
        <v>14145.55</v>
      </c>
      <c r="O106" s="910">
        <v>0</v>
      </c>
      <c r="P106" s="910">
        <v>0</v>
      </c>
      <c r="Q106" s="910">
        <v>3536.41</v>
      </c>
      <c r="R106" s="910">
        <v>0</v>
      </c>
      <c r="S106" s="911">
        <v>17681.96</v>
      </c>
      <c r="T106" s="909">
        <v>2260.5100000000002</v>
      </c>
      <c r="U106" s="910">
        <v>0</v>
      </c>
      <c r="V106" s="910">
        <v>13.46</v>
      </c>
      <c r="W106" s="910">
        <v>417.12</v>
      </c>
      <c r="X106" s="910">
        <v>0</v>
      </c>
      <c r="Y106" s="911">
        <v>2691.09</v>
      </c>
      <c r="Z106" s="915">
        <v>18836.78</v>
      </c>
      <c r="AA106" s="916">
        <v>0</v>
      </c>
      <c r="AB106" s="916">
        <v>0</v>
      </c>
      <c r="AC106" s="916">
        <v>4709.2299999999996</v>
      </c>
      <c r="AD106" s="916">
        <v>0</v>
      </c>
      <c r="AE106" s="917">
        <v>23546.01</v>
      </c>
      <c r="AF106" s="912"/>
      <c r="AG106" s="913"/>
      <c r="AH106" s="913"/>
      <c r="AI106" s="913"/>
      <c r="AJ106" s="913"/>
      <c r="AK106" s="914"/>
      <c r="AL106" s="912"/>
      <c r="AM106" s="913"/>
      <c r="AN106" s="913"/>
      <c r="AO106" s="913"/>
      <c r="AP106" s="913"/>
      <c r="AQ106" s="914"/>
      <c r="AR106" s="909">
        <v>1440.35</v>
      </c>
      <c r="AS106" s="910">
        <v>0</v>
      </c>
      <c r="AT106" s="910">
        <v>360.08</v>
      </c>
      <c r="AU106" s="910">
        <v>0</v>
      </c>
      <c r="AV106" s="910">
        <v>0</v>
      </c>
      <c r="AW106" s="911">
        <v>1800.43</v>
      </c>
      <c r="AX106" s="912"/>
      <c r="AY106" s="913"/>
      <c r="AZ106" s="913"/>
      <c r="BA106" s="913"/>
      <c r="BB106" s="913"/>
      <c r="BC106" s="914"/>
      <c r="BD106" s="912"/>
      <c r="BE106" s="913"/>
      <c r="BF106" s="913"/>
      <c r="BG106" s="913"/>
      <c r="BH106" s="913"/>
      <c r="BI106" s="914"/>
      <c r="BJ106" s="909">
        <v>12970.48</v>
      </c>
      <c r="BK106" s="910">
        <v>0</v>
      </c>
      <c r="BL106" s="910">
        <v>1642.93</v>
      </c>
      <c r="BM106" s="910">
        <v>2680.57</v>
      </c>
      <c r="BN106" s="910">
        <v>-0.03</v>
      </c>
      <c r="BO106" s="911">
        <v>17293.95</v>
      </c>
      <c r="BP106" s="909">
        <v>24632.89</v>
      </c>
      <c r="BQ106" s="910">
        <v>938.63</v>
      </c>
      <c r="BR106" s="910">
        <v>20700.759999999998</v>
      </c>
      <c r="BS106" s="910">
        <v>2435.38</v>
      </c>
      <c r="BT106" s="910">
        <v>-0.11</v>
      </c>
      <c r="BU106" s="911">
        <v>48707.55</v>
      </c>
      <c r="BV106" s="909">
        <v>2560.11</v>
      </c>
      <c r="BW106" s="910">
        <v>0</v>
      </c>
      <c r="BX106" s="910">
        <v>1301.23</v>
      </c>
      <c r="BY106" s="910">
        <v>708.33</v>
      </c>
      <c r="BZ106" s="910">
        <v>-0.08</v>
      </c>
      <c r="CA106" s="911">
        <v>4569.59</v>
      </c>
      <c r="CB106" s="909">
        <v>7.67</v>
      </c>
      <c r="CC106" s="910">
        <v>0</v>
      </c>
      <c r="CD106" s="910">
        <v>0</v>
      </c>
      <c r="CE106" s="910">
        <v>13.23</v>
      </c>
      <c r="CF106" s="910">
        <v>0</v>
      </c>
      <c r="CG106" s="911">
        <v>20.9</v>
      </c>
      <c r="CH106" s="909">
        <v>-36.18</v>
      </c>
      <c r="CI106" s="910">
        <v>0</v>
      </c>
      <c r="CJ106" s="910">
        <v>0</v>
      </c>
      <c r="CK106" s="910">
        <v>-111.49</v>
      </c>
      <c r="CL106" s="910">
        <v>0</v>
      </c>
      <c r="CM106" s="911">
        <v>-147.66999999999999</v>
      </c>
      <c r="CN106" s="912"/>
      <c r="CO106" s="913"/>
      <c r="CP106" s="913"/>
      <c r="CQ106" s="913"/>
      <c r="CR106" s="913"/>
      <c r="CS106" s="914"/>
      <c r="CT106" s="909">
        <v>7563.3</v>
      </c>
      <c r="CU106" s="910">
        <v>22.1</v>
      </c>
      <c r="CV106" s="910">
        <v>6140.57</v>
      </c>
      <c r="CW106" s="910">
        <v>722.42</v>
      </c>
      <c r="CX106" s="910">
        <v>-0.03</v>
      </c>
      <c r="CY106" s="911">
        <v>14448.36</v>
      </c>
      <c r="CZ106" s="909">
        <v>69424.320000000007</v>
      </c>
      <c r="DA106" s="910">
        <v>13945.68</v>
      </c>
      <c r="DB106" s="910">
        <v>0</v>
      </c>
      <c r="DC106" s="910">
        <v>0</v>
      </c>
      <c r="DD106" s="910">
        <v>0</v>
      </c>
      <c r="DE106" s="911">
        <v>83370</v>
      </c>
      <c r="DF106" s="909">
        <v>351.92</v>
      </c>
      <c r="DG106" s="910">
        <v>0</v>
      </c>
      <c r="DH106" s="910">
        <v>242.82</v>
      </c>
      <c r="DI106" s="910">
        <v>109.1</v>
      </c>
      <c r="DJ106" s="910">
        <v>0</v>
      </c>
      <c r="DK106" s="911">
        <v>703.84</v>
      </c>
      <c r="DL106" s="909">
        <v>4092.07</v>
      </c>
      <c r="DM106" s="910">
        <v>0</v>
      </c>
      <c r="DN106" s="910">
        <v>24.35</v>
      </c>
      <c r="DO106" s="910">
        <v>755.09</v>
      </c>
      <c r="DP106" s="910">
        <v>0.02</v>
      </c>
      <c r="DQ106" s="911">
        <v>4871.53</v>
      </c>
      <c r="DR106" s="912"/>
      <c r="DS106" s="913"/>
      <c r="DT106" s="913"/>
      <c r="DU106" s="913"/>
      <c r="DV106" s="913"/>
      <c r="DW106" s="914"/>
    </row>
    <row r="107" spans="1:127">
      <c r="A107" s="1107" t="s">
        <v>89</v>
      </c>
      <c r="B107" s="904" t="s">
        <v>90</v>
      </c>
      <c r="C107" s="905">
        <f t="shared" si="10"/>
        <v>775312.83</v>
      </c>
      <c r="D107" s="906">
        <f t="shared" si="8"/>
        <v>293132.17000000004</v>
      </c>
      <c r="E107" s="907">
        <f t="shared" si="11"/>
        <v>58841.93</v>
      </c>
      <c r="F107" s="908">
        <f t="shared" si="9"/>
        <v>58822.45</v>
      </c>
      <c r="G107" s="907">
        <f t="shared" si="9"/>
        <v>19.48</v>
      </c>
      <c r="H107" s="912"/>
      <c r="I107" s="913"/>
      <c r="J107" s="913"/>
      <c r="K107" s="913"/>
      <c r="L107" s="913"/>
      <c r="M107" s="914"/>
      <c r="N107" s="909">
        <v>614.04999999999995</v>
      </c>
      <c r="O107" s="910">
        <v>0</v>
      </c>
      <c r="P107" s="910">
        <v>0</v>
      </c>
      <c r="Q107" s="910">
        <v>153.5</v>
      </c>
      <c r="R107" s="910">
        <v>0</v>
      </c>
      <c r="S107" s="911">
        <v>767.55</v>
      </c>
      <c r="T107" s="909">
        <v>1648.64</v>
      </c>
      <c r="U107" s="910">
        <v>0</v>
      </c>
      <c r="V107" s="910">
        <v>9.82</v>
      </c>
      <c r="W107" s="910">
        <v>304.22000000000003</v>
      </c>
      <c r="X107" s="910">
        <v>-0.01</v>
      </c>
      <c r="Y107" s="911">
        <v>1962.67</v>
      </c>
      <c r="Z107" s="915">
        <v>18840.400000000001</v>
      </c>
      <c r="AA107" s="916">
        <v>0</v>
      </c>
      <c r="AB107" s="916">
        <v>0</v>
      </c>
      <c r="AC107" s="916">
        <v>4710.1000000000004</v>
      </c>
      <c r="AD107" s="916">
        <v>0</v>
      </c>
      <c r="AE107" s="917">
        <v>23550.5</v>
      </c>
      <c r="AF107" s="912"/>
      <c r="AG107" s="913"/>
      <c r="AH107" s="913"/>
      <c r="AI107" s="913"/>
      <c r="AJ107" s="913"/>
      <c r="AK107" s="914"/>
      <c r="AL107" s="909">
        <v>2762.99</v>
      </c>
      <c r="AM107" s="910">
        <v>0</v>
      </c>
      <c r="AN107" s="910">
        <v>690.75</v>
      </c>
      <c r="AO107" s="910">
        <v>0</v>
      </c>
      <c r="AP107" s="910">
        <v>0</v>
      </c>
      <c r="AQ107" s="911">
        <v>3453.74</v>
      </c>
      <c r="AR107" s="909">
        <v>3935.82</v>
      </c>
      <c r="AS107" s="910">
        <v>0</v>
      </c>
      <c r="AT107" s="910">
        <v>983.96</v>
      </c>
      <c r="AU107" s="910">
        <v>0</v>
      </c>
      <c r="AV107" s="910">
        <v>0</v>
      </c>
      <c r="AW107" s="911">
        <v>4919.78</v>
      </c>
      <c r="AX107" s="912"/>
      <c r="AY107" s="913"/>
      <c r="AZ107" s="913"/>
      <c r="BA107" s="913"/>
      <c r="BB107" s="913"/>
      <c r="BC107" s="914"/>
      <c r="BD107" s="909">
        <v>0</v>
      </c>
      <c r="BE107" s="910">
        <v>0</v>
      </c>
      <c r="BF107" s="910">
        <v>950</v>
      </c>
      <c r="BG107" s="910">
        <v>0</v>
      </c>
      <c r="BH107" s="910">
        <v>0</v>
      </c>
      <c r="BI107" s="911">
        <v>950</v>
      </c>
      <c r="BJ107" s="909">
        <v>7933.07</v>
      </c>
      <c r="BK107" s="910">
        <v>0</v>
      </c>
      <c r="BL107" s="910">
        <v>1004.87</v>
      </c>
      <c r="BM107" s="910">
        <v>1639.52</v>
      </c>
      <c r="BN107" s="910">
        <v>-0.05</v>
      </c>
      <c r="BO107" s="911">
        <v>10577.41</v>
      </c>
      <c r="BP107" s="909">
        <v>321071.59000000003</v>
      </c>
      <c r="BQ107" s="910">
        <v>10655.27</v>
      </c>
      <c r="BR107" s="910">
        <v>268540.82</v>
      </c>
      <c r="BS107" s="910">
        <v>31593.02</v>
      </c>
      <c r="BT107" s="910">
        <v>-0.3</v>
      </c>
      <c r="BU107" s="911">
        <v>631860.4</v>
      </c>
      <c r="BV107" s="909">
        <v>19069.22</v>
      </c>
      <c r="BW107" s="910">
        <v>0</v>
      </c>
      <c r="BX107" s="910">
        <v>12858.92</v>
      </c>
      <c r="BY107" s="910">
        <v>5856.65</v>
      </c>
      <c r="BZ107" s="910">
        <v>-7.0000000000000007E-2</v>
      </c>
      <c r="CA107" s="911">
        <v>37784.720000000001</v>
      </c>
      <c r="CB107" s="909">
        <v>6204.31</v>
      </c>
      <c r="CC107" s="910">
        <v>0</v>
      </c>
      <c r="CD107" s="910">
        <v>0</v>
      </c>
      <c r="CE107" s="910">
        <v>10701.1</v>
      </c>
      <c r="CF107" s="910">
        <v>20</v>
      </c>
      <c r="CG107" s="911">
        <v>16925.41</v>
      </c>
      <c r="CH107" s="909">
        <v>128.18</v>
      </c>
      <c r="CI107" s="910">
        <v>0</v>
      </c>
      <c r="CJ107" s="910">
        <v>0</v>
      </c>
      <c r="CK107" s="910">
        <v>395</v>
      </c>
      <c r="CL107" s="910">
        <v>0</v>
      </c>
      <c r="CM107" s="911">
        <v>523.17999999999995</v>
      </c>
      <c r="CN107" s="909">
        <v>190582.8</v>
      </c>
      <c r="CO107" s="910">
        <v>0</v>
      </c>
      <c r="CP107" s="910">
        <v>0</v>
      </c>
      <c r="CQ107" s="910">
        <v>0</v>
      </c>
      <c r="CR107" s="910">
        <v>0</v>
      </c>
      <c r="CS107" s="911">
        <v>190582.8</v>
      </c>
      <c r="CT107" s="909">
        <v>5116.72</v>
      </c>
      <c r="CU107" s="910">
        <v>142.25</v>
      </c>
      <c r="CV107" s="910">
        <v>4257.2700000000004</v>
      </c>
      <c r="CW107" s="910">
        <v>500.85</v>
      </c>
      <c r="CX107" s="910">
        <v>-0.09</v>
      </c>
      <c r="CY107" s="911">
        <v>10017</v>
      </c>
      <c r="CZ107" s="909">
        <v>151882.6</v>
      </c>
      <c r="DA107" s="910">
        <v>22377.599999999999</v>
      </c>
      <c r="DB107" s="910">
        <v>0</v>
      </c>
      <c r="DC107" s="910">
        <v>0</v>
      </c>
      <c r="DD107" s="910">
        <v>0</v>
      </c>
      <c r="DE107" s="911">
        <v>174260.2</v>
      </c>
      <c r="DF107" s="909">
        <v>5500</v>
      </c>
      <c r="DG107" s="910">
        <v>0</v>
      </c>
      <c r="DH107" s="910">
        <v>3795</v>
      </c>
      <c r="DI107" s="910">
        <v>1705</v>
      </c>
      <c r="DJ107" s="910">
        <v>0</v>
      </c>
      <c r="DK107" s="911">
        <v>11000</v>
      </c>
      <c r="DL107" s="909">
        <v>6847.32</v>
      </c>
      <c r="DM107" s="910">
        <v>0</v>
      </c>
      <c r="DN107" s="910">
        <v>40.76</v>
      </c>
      <c r="DO107" s="910">
        <v>1263.49</v>
      </c>
      <c r="DP107" s="910">
        <v>0</v>
      </c>
      <c r="DQ107" s="911">
        <v>8151.57</v>
      </c>
      <c r="DR107" s="912"/>
      <c r="DS107" s="913"/>
      <c r="DT107" s="913"/>
      <c r="DU107" s="913"/>
      <c r="DV107" s="913"/>
      <c r="DW107" s="914"/>
    </row>
    <row r="108" spans="1:127">
      <c r="A108" s="1107" t="s">
        <v>91</v>
      </c>
      <c r="B108" s="904" t="s">
        <v>92</v>
      </c>
      <c r="C108" s="905">
        <f t="shared" si="10"/>
        <v>166525.24</v>
      </c>
      <c r="D108" s="906">
        <f t="shared" si="8"/>
        <v>46411.46</v>
      </c>
      <c r="E108" s="907">
        <f t="shared" si="11"/>
        <v>16150.98</v>
      </c>
      <c r="F108" s="908">
        <f t="shared" si="9"/>
        <v>16151.449999999999</v>
      </c>
      <c r="G108" s="907">
        <f t="shared" si="9"/>
        <v>-0.47</v>
      </c>
      <c r="H108" s="909">
        <v>0</v>
      </c>
      <c r="I108" s="910">
        <v>0</v>
      </c>
      <c r="J108" s="910">
        <v>1586</v>
      </c>
      <c r="K108" s="910">
        <v>0</v>
      </c>
      <c r="L108" s="910">
        <v>0</v>
      </c>
      <c r="M108" s="911">
        <v>1586</v>
      </c>
      <c r="N108" s="909">
        <v>6149.38</v>
      </c>
      <c r="O108" s="910">
        <v>0</v>
      </c>
      <c r="P108" s="910">
        <v>0</v>
      </c>
      <c r="Q108" s="910">
        <v>1537.33</v>
      </c>
      <c r="R108" s="910">
        <v>0</v>
      </c>
      <c r="S108" s="911">
        <v>7686.71</v>
      </c>
      <c r="T108" s="909">
        <v>949.62</v>
      </c>
      <c r="U108" s="910">
        <v>0</v>
      </c>
      <c r="V108" s="910">
        <v>5.65</v>
      </c>
      <c r="W108" s="910">
        <v>175.23</v>
      </c>
      <c r="X108" s="910">
        <v>0</v>
      </c>
      <c r="Y108" s="911">
        <v>1130.5</v>
      </c>
      <c r="Z108" s="915">
        <v>10733.21</v>
      </c>
      <c r="AA108" s="916">
        <v>0</v>
      </c>
      <c r="AB108" s="916">
        <v>0</v>
      </c>
      <c r="AC108" s="916">
        <v>2683.25</v>
      </c>
      <c r="AD108" s="916">
        <v>0</v>
      </c>
      <c r="AE108" s="917">
        <v>13416.46</v>
      </c>
      <c r="AF108" s="912"/>
      <c r="AG108" s="913"/>
      <c r="AH108" s="913"/>
      <c r="AI108" s="913"/>
      <c r="AJ108" s="913"/>
      <c r="AK108" s="914"/>
      <c r="AL108" s="912"/>
      <c r="AM108" s="913"/>
      <c r="AN108" s="913"/>
      <c r="AO108" s="913"/>
      <c r="AP108" s="913"/>
      <c r="AQ108" s="914"/>
      <c r="AR108" s="912"/>
      <c r="AS108" s="913"/>
      <c r="AT108" s="913"/>
      <c r="AU108" s="913"/>
      <c r="AV108" s="913"/>
      <c r="AW108" s="914"/>
      <c r="AX108" s="912"/>
      <c r="AY108" s="913"/>
      <c r="AZ108" s="913"/>
      <c r="BA108" s="913"/>
      <c r="BB108" s="913"/>
      <c r="BC108" s="914"/>
      <c r="BD108" s="909">
        <v>89.1</v>
      </c>
      <c r="BE108" s="910">
        <v>0</v>
      </c>
      <c r="BF108" s="910">
        <v>160.9</v>
      </c>
      <c r="BG108" s="910">
        <v>0</v>
      </c>
      <c r="BH108" s="910">
        <v>0</v>
      </c>
      <c r="BI108" s="911">
        <v>250</v>
      </c>
      <c r="BJ108" s="909">
        <v>11016</v>
      </c>
      <c r="BK108" s="910">
        <v>0</v>
      </c>
      <c r="BL108" s="910">
        <v>1395.36</v>
      </c>
      <c r="BM108" s="910">
        <v>2276.64</v>
      </c>
      <c r="BN108" s="910">
        <v>0</v>
      </c>
      <c r="BO108" s="911">
        <v>14688</v>
      </c>
      <c r="BP108" s="909">
        <v>31004.45</v>
      </c>
      <c r="BQ108" s="910">
        <v>880.67</v>
      </c>
      <c r="BR108" s="910">
        <v>25811.78</v>
      </c>
      <c r="BS108" s="910">
        <v>3036.67</v>
      </c>
      <c r="BT108" s="910">
        <v>-0.19</v>
      </c>
      <c r="BU108" s="911">
        <v>60733.38</v>
      </c>
      <c r="BV108" s="909">
        <v>11884.63</v>
      </c>
      <c r="BW108" s="910">
        <v>0</v>
      </c>
      <c r="BX108" s="910">
        <v>8062.13</v>
      </c>
      <c r="BY108" s="910">
        <v>3658.93</v>
      </c>
      <c r="BZ108" s="910">
        <v>-0.21</v>
      </c>
      <c r="CA108" s="911">
        <v>23605.48</v>
      </c>
      <c r="CB108" s="912"/>
      <c r="CC108" s="913"/>
      <c r="CD108" s="913"/>
      <c r="CE108" s="913"/>
      <c r="CF108" s="913"/>
      <c r="CG108" s="914"/>
      <c r="CH108" s="912"/>
      <c r="CI108" s="913"/>
      <c r="CJ108" s="913"/>
      <c r="CK108" s="913"/>
      <c r="CL108" s="913"/>
      <c r="CM108" s="914"/>
      <c r="CN108" s="909">
        <v>2387</v>
      </c>
      <c r="CO108" s="910">
        <v>0</v>
      </c>
      <c r="CP108" s="910">
        <v>0</v>
      </c>
      <c r="CQ108" s="910">
        <v>0</v>
      </c>
      <c r="CR108" s="910">
        <v>0</v>
      </c>
      <c r="CS108" s="911">
        <v>2387</v>
      </c>
      <c r="CT108" s="909">
        <v>7096.56</v>
      </c>
      <c r="CU108" s="910">
        <v>729.22</v>
      </c>
      <c r="CV108" s="910">
        <v>6335.16</v>
      </c>
      <c r="CW108" s="910">
        <v>745.31</v>
      </c>
      <c r="CX108" s="910">
        <v>-0.05</v>
      </c>
      <c r="CY108" s="911">
        <v>14906.2</v>
      </c>
      <c r="CZ108" s="909">
        <v>71525.53</v>
      </c>
      <c r="DA108" s="910">
        <v>4023.5</v>
      </c>
      <c r="DB108" s="910">
        <v>0</v>
      </c>
      <c r="DC108" s="910">
        <v>0</v>
      </c>
      <c r="DD108" s="910">
        <v>0</v>
      </c>
      <c r="DE108" s="911">
        <v>75549.03</v>
      </c>
      <c r="DF108" s="909">
        <v>4395.1899999999996</v>
      </c>
      <c r="DG108" s="910">
        <v>0</v>
      </c>
      <c r="DH108" s="910">
        <v>3032.68</v>
      </c>
      <c r="DI108" s="910">
        <v>1362.51</v>
      </c>
      <c r="DJ108" s="910">
        <v>-0.03</v>
      </c>
      <c r="DK108" s="911">
        <v>8790.35</v>
      </c>
      <c r="DL108" s="909">
        <v>3661.18</v>
      </c>
      <c r="DM108" s="910">
        <v>0</v>
      </c>
      <c r="DN108" s="910">
        <v>21.8</v>
      </c>
      <c r="DO108" s="910">
        <v>675.58</v>
      </c>
      <c r="DP108" s="910">
        <v>0.01</v>
      </c>
      <c r="DQ108" s="911">
        <v>4358.57</v>
      </c>
      <c r="DR108" s="912"/>
      <c r="DS108" s="913"/>
      <c r="DT108" s="913"/>
      <c r="DU108" s="913"/>
      <c r="DV108" s="913"/>
      <c r="DW108" s="914"/>
    </row>
    <row r="109" spans="1:127">
      <c r="A109" s="1107" t="s">
        <v>107</v>
      </c>
      <c r="B109" s="904" t="s">
        <v>108</v>
      </c>
      <c r="C109" s="905">
        <f t="shared" si="10"/>
        <v>2835048.46</v>
      </c>
      <c r="D109" s="906">
        <f t="shared" si="8"/>
        <v>1028747.8699999999</v>
      </c>
      <c r="E109" s="907">
        <f t="shared" si="11"/>
        <v>336196.36</v>
      </c>
      <c r="F109" s="908">
        <f t="shared" si="9"/>
        <v>333923.19</v>
      </c>
      <c r="G109" s="907">
        <f t="shared" si="9"/>
        <v>2273.1699999999996</v>
      </c>
      <c r="H109" s="912"/>
      <c r="I109" s="913"/>
      <c r="J109" s="913"/>
      <c r="K109" s="913"/>
      <c r="L109" s="913"/>
      <c r="M109" s="914"/>
      <c r="N109" s="909">
        <v>47415.7</v>
      </c>
      <c r="O109" s="910">
        <v>0</v>
      </c>
      <c r="P109" s="910">
        <v>0</v>
      </c>
      <c r="Q109" s="910">
        <v>11853.92</v>
      </c>
      <c r="R109" s="910">
        <v>0</v>
      </c>
      <c r="S109" s="911">
        <v>59269.62</v>
      </c>
      <c r="T109" s="909">
        <v>33859.599999999999</v>
      </c>
      <c r="U109" s="910">
        <v>0</v>
      </c>
      <c r="V109" s="910">
        <v>201.54</v>
      </c>
      <c r="W109" s="910">
        <v>6247.89</v>
      </c>
      <c r="X109" s="910">
        <v>0.03</v>
      </c>
      <c r="Y109" s="911">
        <v>40309.06</v>
      </c>
      <c r="Z109" s="915">
        <v>132311.5</v>
      </c>
      <c r="AA109" s="916">
        <v>0</v>
      </c>
      <c r="AB109" s="916">
        <v>0</v>
      </c>
      <c r="AC109" s="916">
        <v>33077.89</v>
      </c>
      <c r="AD109" s="916">
        <v>0</v>
      </c>
      <c r="AE109" s="917">
        <v>165389.39000000001</v>
      </c>
      <c r="AF109" s="909">
        <v>18461.7</v>
      </c>
      <c r="AG109" s="910">
        <v>0</v>
      </c>
      <c r="AH109" s="910">
        <v>3483.25</v>
      </c>
      <c r="AI109" s="910">
        <v>4025.42</v>
      </c>
      <c r="AJ109" s="910">
        <v>-0.03</v>
      </c>
      <c r="AK109" s="911">
        <v>25970.34</v>
      </c>
      <c r="AL109" s="909">
        <v>20604.04</v>
      </c>
      <c r="AM109" s="910">
        <v>0</v>
      </c>
      <c r="AN109" s="910">
        <v>5151.01</v>
      </c>
      <c r="AO109" s="910">
        <v>0</v>
      </c>
      <c r="AP109" s="910">
        <v>0</v>
      </c>
      <c r="AQ109" s="911">
        <v>25755.05</v>
      </c>
      <c r="AR109" s="909">
        <v>15927.64</v>
      </c>
      <c r="AS109" s="910">
        <v>0</v>
      </c>
      <c r="AT109" s="910">
        <v>3981.91</v>
      </c>
      <c r="AU109" s="910">
        <v>0</v>
      </c>
      <c r="AV109" s="910">
        <v>0</v>
      </c>
      <c r="AW109" s="911">
        <v>19909.55</v>
      </c>
      <c r="AX109" s="912"/>
      <c r="AY109" s="913"/>
      <c r="AZ109" s="913"/>
      <c r="BA109" s="913"/>
      <c r="BB109" s="913"/>
      <c r="BC109" s="914"/>
      <c r="BD109" s="909">
        <v>1487.97</v>
      </c>
      <c r="BE109" s="910">
        <v>0</v>
      </c>
      <c r="BF109" s="910">
        <v>6002.03</v>
      </c>
      <c r="BG109" s="910">
        <v>0</v>
      </c>
      <c r="BH109" s="910">
        <v>0</v>
      </c>
      <c r="BI109" s="911">
        <v>7490</v>
      </c>
      <c r="BJ109" s="909">
        <v>79900.45</v>
      </c>
      <c r="BK109" s="910">
        <v>0</v>
      </c>
      <c r="BL109" s="910">
        <v>10120.75</v>
      </c>
      <c r="BM109" s="910">
        <v>16512.759999999998</v>
      </c>
      <c r="BN109" s="910">
        <v>-0.03</v>
      </c>
      <c r="BO109" s="911">
        <v>106533.93</v>
      </c>
      <c r="BP109" s="909">
        <v>930061.21</v>
      </c>
      <c r="BQ109" s="910">
        <v>29224.43</v>
      </c>
      <c r="BR109" s="910">
        <v>776564.59</v>
      </c>
      <c r="BS109" s="910">
        <v>91360.53</v>
      </c>
      <c r="BT109" s="910">
        <v>-0.6</v>
      </c>
      <c r="BU109" s="911">
        <v>1827210.16</v>
      </c>
      <c r="BV109" s="909">
        <v>202835.88</v>
      </c>
      <c r="BW109" s="910">
        <v>0</v>
      </c>
      <c r="BX109" s="910">
        <v>103493.62</v>
      </c>
      <c r="BY109" s="910">
        <v>56190.62</v>
      </c>
      <c r="BZ109" s="910">
        <v>-0.03</v>
      </c>
      <c r="CA109" s="911">
        <v>362520.09</v>
      </c>
      <c r="CB109" s="909">
        <v>53126.63</v>
      </c>
      <c r="CC109" s="910">
        <v>0</v>
      </c>
      <c r="CD109" s="910">
        <v>0</v>
      </c>
      <c r="CE109" s="910">
        <v>91632.61</v>
      </c>
      <c r="CF109" s="910">
        <v>1383.95</v>
      </c>
      <c r="CG109" s="911">
        <v>146143.19</v>
      </c>
      <c r="CH109" s="909">
        <v>760.48</v>
      </c>
      <c r="CI109" s="910">
        <v>0</v>
      </c>
      <c r="CJ109" s="910">
        <v>0</v>
      </c>
      <c r="CK109" s="910">
        <v>2343.5</v>
      </c>
      <c r="CL109" s="910">
        <v>889.98</v>
      </c>
      <c r="CM109" s="911">
        <v>3993.96</v>
      </c>
      <c r="CN109" s="909">
        <v>2555</v>
      </c>
      <c r="CO109" s="910">
        <v>0</v>
      </c>
      <c r="CP109" s="910">
        <v>0</v>
      </c>
      <c r="CQ109" s="910">
        <v>0</v>
      </c>
      <c r="CR109" s="910">
        <v>0</v>
      </c>
      <c r="CS109" s="911">
        <v>2555</v>
      </c>
      <c r="CT109" s="909">
        <v>134853.62</v>
      </c>
      <c r="CU109" s="910">
        <v>0</v>
      </c>
      <c r="CV109" s="910">
        <v>109167.22</v>
      </c>
      <c r="CW109" s="910">
        <v>12843.2</v>
      </c>
      <c r="CX109" s="910">
        <v>-0.04</v>
      </c>
      <c r="CY109" s="911">
        <v>256864</v>
      </c>
      <c r="CZ109" s="909">
        <v>887405.15</v>
      </c>
      <c r="DA109" s="910">
        <v>212126.88</v>
      </c>
      <c r="DB109" s="910">
        <v>0</v>
      </c>
      <c r="DC109" s="910">
        <v>0</v>
      </c>
      <c r="DD109" s="910">
        <v>-0.03</v>
      </c>
      <c r="DE109" s="911">
        <v>1099532</v>
      </c>
      <c r="DF109" s="909">
        <v>15189.99</v>
      </c>
      <c r="DG109" s="910">
        <v>0</v>
      </c>
      <c r="DH109" s="910">
        <v>10481.09</v>
      </c>
      <c r="DI109" s="910">
        <v>4708.8999999999996</v>
      </c>
      <c r="DJ109" s="910">
        <v>-0.01</v>
      </c>
      <c r="DK109" s="911">
        <v>30379.97</v>
      </c>
      <c r="DL109" s="909">
        <v>16940.59</v>
      </c>
      <c r="DM109" s="910">
        <v>0</v>
      </c>
      <c r="DN109" s="910">
        <v>100.86</v>
      </c>
      <c r="DO109" s="910">
        <v>3125.95</v>
      </c>
      <c r="DP109" s="910">
        <v>-0.02</v>
      </c>
      <c r="DQ109" s="911">
        <v>20167.38</v>
      </c>
      <c r="DR109" s="912"/>
      <c r="DS109" s="913"/>
      <c r="DT109" s="913"/>
      <c r="DU109" s="913"/>
      <c r="DV109" s="913"/>
      <c r="DW109" s="914"/>
    </row>
    <row r="110" spans="1:127">
      <c r="A110" s="1107" t="s">
        <v>117</v>
      </c>
      <c r="B110" s="904" t="s">
        <v>118</v>
      </c>
      <c r="C110" s="905">
        <f t="shared" si="10"/>
        <v>693568.38</v>
      </c>
      <c r="D110" s="906">
        <f t="shared" si="8"/>
        <v>220906.40000000005</v>
      </c>
      <c r="E110" s="907">
        <f t="shared" si="11"/>
        <v>59056.420000000006</v>
      </c>
      <c r="F110" s="908">
        <f t="shared" si="9"/>
        <v>59057.090000000004</v>
      </c>
      <c r="G110" s="907">
        <f t="shared" si="9"/>
        <v>-0.66999999999999993</v>
      </c>
      <c r="H110" s="912"/>
      <c r="I110" s="913"/>
      <c r="J110" s="913"/>
      <c r="K110" s="913"/>
      <c r="L110" s="913"/>
      <c r="M110" s="914"/>
      <c r="N110" s="909">
        <v>1150.1300000000001</v>
      </c>
      <c r="O110" s="910">
        <v>0</v>
      </c>
      <c r="P110" s="910">
        <v>0</v>
      </c>
      <c r="Q110" s="910">
        <v>287.52</v>
      </c>
      <c r="R110" s="910">
        <v>0</v>
      </c>
      <c r="S110" s="911">
        <v>1437.65</v>
      </c>
      <c r="T110" s="912"/>
      <c r="U110" s="913"/>
      <c r="V110" s="913"/>
      <c r="W110" s="913"/>
      <c r="X110" s="913"/>
      <c r="Y110" s="914"/>
      <c r="Z110" s="915">
        <v>25471.09</v>
      </c>
      <c r="AA110" s="916">
        <v>0</v>
      </c>
      <c r="AB110" s="916">
        <v>0</v>
      </c>
      <c r="AC110" s="916">
        <v>6367.79</v>
      </c>
      <c r="AD110" s="916">
        <v>0</v>
      </c>
      <c r="AE110" s="917">
        <v>31838.880000000001</v>
      </c>
      <c r="AF110" s="912"/>
      <c r="AG110" s="913"/>
      <c r="AH110" s="913"/>
      <c r="AI110" s="913"/>
      <c r="AJ110" s="913"/>
      <c r="AK110" s="914"/>
      <c r="AL110" s="909">
        <v>-57.12</v>
      </c>
      <c r="AM110" s="910">
        <v>0</v>
      </c>
      <c r="AN110" s="910">
        <v>-14.28</v>
      </c>
      <c r="AO110" s="910">
        <v>0</v>
      </c>
      <c r="AP110" s="910">
        <v>0</v>
      </c>
      <c r="AQ110" s="911">
        <v>-71.400000000000006</v>
      </c>
      <c r="AR110" s="909">
        <v>3321.97</v>
      </c>
      <c r="AS110" s="910">
        <v>0</v>
      </c>
      <c r="AT110" s="910">
        <v>830.49</v>
      </c>
      <c r="AU110" s="910">
        <v>0</v>
      </c>
      <c r="AV110" s="910">
        <v>0</v>
      </c>
      <c r="AW110" s="911">
        <v>4152.46</v>
      </c>
      <c r="AX110" s="912"/>
      <c r="AY110" s="913"/>
      <c r="AZ110" s="913"/>
      <c r="BA110" s="913"/>
      <c r="BB110" s="913"/>
      <c r="BC110" s="914"/>
      <c r="BD110" s="909">
        <v>118.99</v>
      </c>
      <c r="BE110" s="910">
        <v>0</v>
      </c>
      <c r="BF110" s="910">
        <v>214.89</v>
      </c>
      <c r="BG110" s="910">
        <v>0</v>
      </c>
      <c r="BH110" s="910">
        <v>0</v>
      </c>
      <c r="BI110" s="911">
        <v>333.88</v>
      </c>
      <c r="BJ110" s="909">
        <v>1485</v>
      </c>
      <c r="BK110" s="910">
        <v>0</v>
      </c>
      <c r="BL110" s="910">
        <v>188.1</v>
      </c>
      <c r="BM110" s="910">
        <v>306.89999999999998</v>
      </c>
      <c r="BN110" s="910">
        <v>0</v>
      </c>
      <c r="BO110" s="911">
        <v>1980</v>
      </c>
      <c r="BP110" s="909">
        <v>177886.21</v>
      </c>
      <c r="BQ110" s="910">
        <v>5844.3</v>
      </c>
      <c r="BR110" s="910">
        <v>148734.26</v>
      </c>
      <c r="BS110" s="910">
        <v>17498.150000000001</v>
      </c>
      <c r="BT110" s="910">
        <v>-0.42</v>
      </c>
      <c r="BU110" s="911">
        <v>349962.5</v>
      </c>
      <c r="BV110" s="909">
        <v>98537.78</v>
      </c>
      <c r="BW110" s="910">
        <v>0</v>
      </c>
      <c r="BX110" s="910">
        <v>67991.100000000006</v>
      </c>
      <c r="BY110" s="910">
        <v>30546.78</v>
      </c>
      <c r="BZ110" s="910">
        <v>-0.16</v>
      </c>
      <c r="CA110" s="911">
        <v>197075.5</v>
      </c>
      <c r="CB110" s="909">
        <v>1492.6</v>
      </c>
      <c r="CC110" s="910">
        <v>0</v>
      </c>
      <c r="CD110" s="910">
        <v>0</v>
      </c>
      <c r="CE110" s="910">
        <v>2574.4299999999998</v>
      </c>
      <c r="CF110" s="910">
        <v>0</v>
      </c>
      <c r="CG110" s="911">
        <v>4067.03</v>
      </c>
      <c r="CH110" s="912"/>
      <c r="CI110" s="913"/>
      <c r="CJ110" s="913"/>
      <c r="CK110" s="913"/>
      <c r="CL110" s="913"/>
      <c r="CM110" s="914"/>
      <c r="CN110" s="909">
        <v>174971.6</v>
      </c>
      <c r="CO110" s="910">
        <v>0</v>
      </c>
      <c r="CP110" s="910">
        <v>0</v>
      </c>
      <c r="CQ110" s="910">
        <v>0</v>
      </c>
      <c r="CR110" s="910">
        <v>0</v>
      </c>
      <c r="CS110" s="911">
        <v>174971.6</v>
      </c>
      <c r="CT110" s="909">
        <v>560.17999999999995</v>
      </c>
      <c r="CU110" s="910">
        <v>0</v>
      </c>
      <c r="CV110" s="910">
        <v>453.48</v>
      </c>
      <c r="CW110" s="910">
        <v>53.35</v>
      </c>
      <c r="CX110" s="910">
        <v>-0.01</v>
      </c>
      <c r="CY110" s="911">
        <v>1067</v>
      </c>
      <c r="CZ110" s="909">
        <v>166641.45000000001</v>
      </c>
      <c r="DA110" s="910">
        <v>30899.55</v>
      </c>
      <c r="DB110" s="910">
        <v>0</v>
      </c>
      <c r="DC110" s="910">
        <v>0</v>
      </c>
      <c r="DD110" s="910">
        <v>0</v>
      </c>
      <c r="DE110" s="911">
        <v>197541</v>
      </c>
      <c r="DF110" s="909">
        <v>3621.31</v>
      </c>
      <c r="DG110" s="910">
        <v>0</v>
      </c>
      <c r="DH110" s="910">
        <v>2498.6999999999998</v>
      </c>
      <c r="DI110" s="910">
        <v>1122.6199999999999</v>
      </c>
      <c r="DJ110" s="910">
        <v>-0.08</v>
      </c>
      <c r="DK110" s="911">
        <v>7242.55</v>
      </c>
      <c r="DL110" s="909">
        <v>1623.34</v>
      </c>
      <c r="DM110" s="910">
        <v>0</v>
      </c>
      <c r="DN110" s="910">
        <v>9.66</v>
      </c>
      <c r="DO110" s="910">
        <v>299.55</v>
      </c>
      <c r="DP110" s="910">
        <v>0</v>
      </c>
      <c r="DQ110" s="911">
        <v>1932.55</v>
      </c>
      <c r="DR110" s="912"/>
      <c r="DS110" s="913"/>
      <c r="DT110" s="913"/>
      <c r="DU110" s="913"/>
      <c r="DV110" s="913"/>
      <c r="DW110" s="914"/>
    </row>
    <row r="111" spans="1:127">
      <c r="A111" s="1107" t="s">
        <v>139</v>
      </c>
      <c r="B111" s="904" t="s">
        <v>140</v>
      </c>
      <c r="C111" s="905">
        <f t="shared" si="10"/>
        <v>1022010.79</v>
      </c>
      <c r="D111" s="906">
        <f t="shared" si="8"/>
        <v>401643.74</v>
      </c>
      <c r="E111" s="907">
        <f t="shared" si="11"/>
        <v>92130.51</v>
      </c>
      <c r="F111" s="908">
        <f t="shared" si="9"/>
        <v>92131.08</v>
      </c>
      <c r="G111" s="907">
        <f t="shared" si="9"/>
        <v>-0.57000000000000006</v>
      </c>
      <c r="H111" s="912"/>
      <c r="I111" s="913"/>
      <c r="J111" s="913"/>
      <c r="K111" s="913"/>
      <c r="L111" s="913"/>
      <c r="M111" s="914"/>
      <c r="N111" s="909">
        <v>6874.75</v>
      </c>
      <c r="O111" s="910">
        <v>0</v>
      </c>
      <c r="P111" s="910">
        <v>0</v>
      </c>
      <c r="Q111" s="910">
        <v>1718.71</v>
      </c>
      <c r="R111" s="910">
        <v>0</v>
      </c>
      <c r="S111" s="911">
        <v>8593.4599999999991</v>
      </c>
      <c r="T111" s="909">
        <v>15656.36</v>
      </c>
      <c r="U111" s="910">
        <v>0</v>
      </c>
      <c r="V111" s="910">
        <v>93.18</v>
      </c>
      <c r="W111" s="910">
        <v>2888.97</v>
      </c>
      <c r="X111" s="910">
        <v>0.01</v>
      </c>
      <c r="Y111" s="911">
        <v>18638.52</v>
      </c>
      <c r="Z111" s="915">
        <v>71924.92</v>
      </c>
      <c r="AA111" s="916">
        <v>0</v>
      </c>
      <c r="AB111" s="916">
        <v>0</v>
      </c>
      <c r="AC111" s="916">
        <v>17981.259999999998</v>
      </c>
      <c r="AD111" s="916">
        <v>0</v>
      </c>
      <c r="AE111" s="917">
        <v>89906.18</v>
      </c>
      <c r="AF111" s="912"/>
      <c r="AG111" s="913"/>
      <c r="AH111" s="913"/>
      <c r="AI111" s="913"/>
      <c r="AJ111" s="913"/>
      <c r="AK111" s="914"/>
      <c r="AL111" s="909">
        <v>12716.64</v>
      </c>
      <c r="AM111" s="910">
        <v>0</v>
      </c>
      <c r="AN111" s="910">
        <v>3179.16</v>
      </c>
      <c r="AO111" s="910">
        <v>0</v>
      </c>
      <c r="AP111" s="910">
        <v>0</v>
      </c>
      <c r="AQ111" s="911">
        <v>15895.8</v>
      </c>
      <c r="AR111" s="909">
        <v>15957.1</v>
      </c>
      <c r="AS111" s="910">
        <v>0</v>
      </c>
      <c r="AT111" s="910">
        <v>3989.31</v>
      </c>
      <c r="AU111" s="910">
        <v>0</v>
      </c>
      <c r="AV111" s="910">
        <v>0</v>
      </c>
      <c r="AW111" s="911">
        <v>19946.41</v>
      </c>
      <c r="AX111" s="912"/>
      <c r="AY111" s="913"/>
      <c r="AZ111" s="913"/>
      <c r="BA111" s="913"/>
      <c r="BB111" s="913"/>
      <c r="BC111" s="914"/>
      <c r="BD111" s="909">
        <v>2228.21</v>
      </c>
      <c r="BE111" s="910">
        <v>0</v>
      </c>
      <c r="BF111" s="910">
        <v>9604.7900000000009</v>
      </c>
      <c r="BG111" s="910">
        <v>0</v>
      </c>
      <c r="BH111" s="910">
        <v>0</v>
      </c>
      <c r="BI111" s="911">
        <v>11833</v>
      </c>
      <c r="BJ111" s="909">
        <v>25547.21</v>
      </c>
      <c r="BK111" s="910">
        <v>0</v>
      </c>
      <c r="BL111" s="910">
        <v>3235.98</v>
      </c>
      <c r="BM111" s="910">
        <v>5279.76</v>
      </c>
      <c r="BN111" s="910">
        <v>-0.01</v>
      </c>
      <c r="BO111" s="911">
        <v>34062.94</v>
      </c>
      <c r="BP111" s="909">
        <v>287645.12</v>
      </c>
      <c r="BQ111" s="910">
        <v>10347.85</v>
      </c>
      <c r="BR111" s="910">
        <v>241232.44</v>
      </c>
      <c r="BS111" s="910">
        <v>28380.27</v>
      </c>
      <c r="BT111" s="910">
        <v>-0.4</v>
      </c>
      <c r="BU111" s="911">
        <v>567605.28</v>
      </c>
      <c r="BV111" s="909">
        <v>48344.54</v>
      </c>
      <c r="BW111" s="910">
        <v>0</v>
      </c>
      <c r="BX111" s="910">
        <v>30615.63</v>
      </c>
      <c r="BY111" s="910">
        <v>14483.85</v>
      </c>
      <c r="BZ111" s="910">
        <v>-0.08</v>
      </c>
      <c r="CA111" s="911">
        <v>93443.94</v>
      </c>
      <c r="CB111" s="909">
        <v>2348.71</v>
      </c>
      <c r="CC111" s="910">
        <v>0</v>
      </c>
      <c r="CD111" s="910">
        <v>0</v>
      </c>
      <c r="CE111" s="910">
        <v>4051.06</v>
      </c>
      <c r="CF111" s="910">
        <v>0</v>
      </c>
      <c r="CG111" s="911">
        <v>6399.77</v>
      </c>
      <c r="CH111" s="909">
        <v>881.99</v>
      </c>
      <c r="CI111" s="910">
        <v>0</v>
      </c>
      <c r="CJ111" s="910">
        <v>0</v>
      </c>
      <c r="CK111" s="910">
        <v>2717.95</v>
      </c>
      <c r="CL111" s="910">
        <v>0</v>
      </c>
      <c r="CM111" s="911">
        <v>3599.94</v>
      </c>
      <c r="CN111" s="909">
        <v>11364.4</v>
      </c>
      <c r="CO111" s="910">
        <v>0</v>
      </c>
      <c r="CP111" s="910">
        <v>0</v>
      </c>
      <c r="CQ111" s="910">
        <v>0</v>
      </c>
      <c r="CR111" s="910">
        <v>0</v>
      </c>
      <c r="CS111" s="911">
        <v>11364.4</v>
      </c>
      <c r="CT111" s="909">
        <v>129850.49</v>
      </c>
      <c r="CU111" s="910">
        <v>5583.97</v>
      </c>
      <c r="CV111" s="910">
        <v>109637.43</v>
      </c>
      <c r="CW111" s="910">
        <v>12898.51</v>
      </c>
      <c r="CX111" s="910">
        <v>-0.1</v>
      </c>
      <c r="CY111" s="911">
        <v>257970.3</v>
      </c>
      <c r="CZ111" s="909">
        <v>325638.5</v>
      </c>
      <c r="DA111" s="910">
        <v>39720.6</v>
      </c>
      <c r="DB111" s="910">
        <v>0</v>
      </c>
      <c r="DC111" s="910">
        <v>0</v>
      </c>
      <c r="DD111" s="910">
        <v>0</v>
      </c>
      <c r="DE111" s="911">
        <v>365359.1</v>
      </c>
      <c r="DF111" s="912"/>
      <c r="DG111" s="913"/>
      <c r="DH111" s="913"/>
      <c r="DI111" s="913"/>
      <c r="DJ111" s="913"/>
      <c r="DK111" s="914"/>
      <c r="DL111" s="909">
        <v>9379.43</v>
      </c>
      <c r="DM111" s="910">
        <v>0</v>
      </c>
      <c r="DN111" s="910">
        <v>55.82</v>
      </c>
      <c r="DO111" s="910">
        <v>1730.74</v>
      </c>
      <c r="DP111" s="910">
        <v>0.01</v>
      </c>
      <c r="DQ111" s="911">
        <v>11166</v>
      </c>
      <c r="DR111" s="912"/>
      <c r="DS111" s="913"/>
      <c r="DT111" s="913"/>
      <c r="DU111" s="913"/>
      <c r="DV111" s="913"/>
      <c r="DW111" s="914"/>
    </row>
    <row r="112" spans="1:127">
      <c r="A112" s="1107" t="s">
        <v>143</v>
      </c>
      <c r="B112" s="904" t="s">
        <v>144</v>
      </c>
      <c r="C112" s="905">
        <f t="shared" si="10"/>
        <v>621628.92000000004</v>
      </c>
      <c r="D112" s="906">
        <f t="shared" si="8"/>
        <v>279295.96000000002</v>
      </c>
      <c r="E112" s="907">
        <f t="shared" si="11"/>
        <v>44030.03</v>
      </c>
      <c r="F112" s="908">
        <f t="shared" si="9"/>
        <v>44030.54</v>
      </c>
      <c r="G112" s="907">
        <f t="shared" si="9"/>
        <v>-0.51</v>
      </c>
      <c r="H112" s="912"/>
      <c r="I112" s="913"/>
      <c r="J112" s="913"/>
      <c r="K112" s="913"/>
      <c r="L112" s="913"/>
      <c r="M112" s="914"/>
      <c r="N112" s="909">
        <v>650.19000000000005</v>
      </c>
      <c r="O112" s="910">
        <v>0</v>
      </c>
      <c r="P112" s="910">
        <v>0</v>
      </c>
      <c r="Q112" s="910">
        <v>162.55000000000001</v>
      </c>
      <c r="R112" s="910">
        <v>0</v>
      </c>
      <c r="S112" s="911">
        <v>812.74</v>
      </c>
      <c r="T112" s="909">
        <v>498.79</v>
      </c>
      <c r="U112" s="910">
        <v>0</v>
      </c>
      <c r="V112" s="910">
        <v>2.97</v>
      </c>
      <c r="W112" s="910">
        <v>92.04</v>
      </c>
      <c r="X112" s="910">
        <v>0</v>
      </c>
      <c r="Y112" s="911">
        <v>593.79999999999995</v>
      </c>
      <c r="Z112" s="915">
        <v>2473.84</v>
      </c>
      <c r="AA112" s="916">
        <v>0</v>
      </c>
      <c r="AB112" s="916">
        <v>0</v>
      </c>
      <c r="AC112" s="916">
        <v>618.45000000000005</v>
      </c>
      <c r="AD112" s="916">
        <v>0</v>
      </c>
      <c r="AE112" s="917">
        <v>3092.29</v>
      </c>
      <c r="AF112" s="912"/>
      <c r="AG112" s="913"/>
      <c r="AH112" s="913"/>
      <c r="AI112" s="913"/>
      <c r="AJ112" s="913"/>
      <c r="AK112" s="914"/>
      <c r="AL112" s="912"/>
      <c r="AM112" s="913"/>
      <c r="AN112" s="913"/>
      <c r="AO112" s="913"/>
      <c r="AP112" s="913"/>
      <c r="AQ112" s="914"/>
      <c r="AR112" s="909">
        <v>730.99</v>
      </c>
      <c r="AS112" s="910">
        <v>0</v>
      </c>
      <c r="AT112" s="910">
        <v>182.74</v>
      </c>
      <c r="AU112" s="910">
        <v>0</v>
      </c>
      <c r="AV112" s="910">
        <v>0</v>
      </c>
      <c r="AW112" s="911">
        <v>913.73</v>
      </c>
      <c r="AX112" s="912"/>
      <c r="AY112" s="913"/>
      <c r="AZ112" s="913"/>
      <c r="BA112" s="913"/>
      <c r="BB112" s="913"/>
      <c r="BC112" s="914"/>
      <c r="BD112" s="912"/>
      <c r="BE112" s="913"/>
      <c r="BF112" s="913"/>
      <c r="BG112" s="913"/>
      <c r="BH112" s="913"/>
      <c r="BI112" s="914"/>
      <c r="BJ112" s="909">
        <v>20278.11</v>
      </c>
      <c r="BK112" s="910">
        <v>0</v>
      </c>
      <c r="BL112" s="910">
        <v>2568.54</v>
      </c>
      <c r="BM112" s="910">
        <v>4190.8</v>
      </c>
      <c r="BN112" s="910">
        <v>0.01</v>
      </c>
      <c r="BO112" s="911">
        <v>27037.46</v>
      </c>
      <c r="BP112" s="909">
        <v>307863.06</v>
      </c>
      <c r="BQ112" s="910">
        <v>11736.23</v>
      </c>
      <c r="BR112" s="910">
        <v>258723.26</v>
      </c>
      <c r="BS112" s="910">
        <v>30438.01</v>
      </c>
      <c r="BT112" s="910">
        <v>-0.35</v>
      </c>
      <c r="BU112" s="911">
        <v>608760.21</v>
      </c>
      <c r="BV112" s="909">
        <v>20849.03</v>
      </c>
      <c r="BW112" s="910">
        <v>0</v>
      </c>
      <c r="BX112" s="910">
        <v>14385.81</v>
      </c>
      <c r="BY112" s="910">
        <v>6463.19</v>
      </c>
      <c r="BZ112" s="910">
        <v>-0.14000000000000001</v>
      </c>
      <c r="CA112" s="911">
        <v>41697.89</v>
      </c>
      <c r="CB112" s="912"/>
      <c r="CC112" s="913"/>
      <c r="CD112" s="913"/>
      <c r="CE112" s="913"/>
      <c r="CF112" s="913"/>
      <c r="CG112" s="914"/>
      <c r="CH112" s="912"/>
      <c r="CI112" s="913"/>
      <c r="CJ112" s="913"/>
      <c r="CK112" s="913"/>
      <c r="CL112" s="913"/>
      <c r="CM112" s="914"/>
      <c r="CN112" s="909">
        <v>130901.89</v>
      </c>
      <c r="CO112" s="910">
        <v>0</v>
      </c>
      <c r="CP112" s="910">
        <v>0</v>
      </c>
      <c r="CQ112" s="910">
        <v>0</v>
      </c>
      <c r="CR112" s="910">
        <v>0</v>
      </c>
      <c r="CS112" s="911">
        <v>130901.89</v>
      </c>
      <c r="CT112" s="912"/>
      <c r="CU112" s="913"/>
      <c r="CV112" s="913"/>
      <c r="CW112" s="913"/>
      <c r="CX112" s="913"/>
      <c r="CY112" s="914"/>
      <c r="CZ112" s="909">
        <v>107446.8</v>
      </c>
      <c r="DA112" s="910">
        <v>10372.4</v>
      </c>
      <c r="DB112" s="910">
        <v>0</v>
      </c>
      <c r="DC112" s="910">
        <v>0</v>
      </c>
      <c r="DD112" s="910">
        <v>0</v>
      </c>
      <c r="DE112" s="911">
        <v>117819.2</v>
      </c>
      <c r="DF112" s="909">
        <v>4950</v>
      </c>
      <c r="DG112" s="910">
        <v>0</v>
      </c>
      <c r="DH112" s="910">
        <v>3415.5</v>
      </c>
      <c r="DI112" s="910">
        <v>1534.5</v>
      </c>
      <c r="DJ112" s="910">
        <v>0</v>
      </c>
      <c r="DK112" s="911">
        <v>9900</v>
      </c>
      <c r="DL112" s="909">
        <v>2877.59</v>
      </c>
      <c r="DM112" s="910">
        <v>0</v>
      </c>
      <c r="DN112" s="910">
        <v>17.14</v>
      </c>
      <c r="DO112" s="910">
        <v>531</v>
      </c>
      <c r="DP112" s="910">
        <v>-0.03</v>
      </c>
      <c r="DQ112" s="911">
        <v>3425.7</v>
      </c>
      <c r="DR112" s="912"/>
      <c r="DS112" s="913"/>
      <c r="DT112" s="913"/>
      <c r="DU112" s="913"/>
      <c r="DV112" s="913"/>
      <c r="DW112" s="914"/>
    </row>
    <row r="113" spans="1:127">
      <c r="A113" s="1107" t="s">
        <v>145</v>
      </c>
      <c r="B113" s="904" t="s">
        <v>146</v>
      </c>
      <c r="C113" s="905">
        <f t="shared" si="10"/>
        <v>231393.36</v>
      </c>
      <c r="D113" s="906">
        <f t="shared" si="8"/>
        <v>78325.06</v>
      </c>
      <c r="E113" s="907">
        <f t="shared" si="11"/>
        <v>23789.89</v>
      </c>
      <c r="F113" s="908">
        <f t="shared" si="9"/>
        <v>18098.28</v>
      </c>
      <c r="G113" s="907">
        <f t="shared" si="9"/>
        <v>5691.61</v>
      </c>
      <c r="H113" s="912"/>
      <c r="I113" s="913"/>
      <c r="J113" s="913"/>
      <c r="K113" s="913"/>
      <c r="L113" s="913"/>
      <c r="M113" s="914"/>
      <c r="N113" s="909">
        <v>1086.97</v>
      </c>
      <c r="O113" s="910">
        <v>0</v>
      </c>
      <c r="P113" s="910">
        <v>0</v>
      </c>
      <c r="Q113" s="910">
        <v>271.75</v>
      </c>
      <c r="R113" s="910">
        <v>0</v>
      </c>
      <c r="S113" s="911">
        <v>1358.72</v>
      </c>
      <c r="T113" s="909">
        <v>10.38</v>
      </c>
      <c r="U113" s="910">
        <v>0</v>
      </c>
      <c r="V113" s="910">
        <v>0.06</v>
      </c>
      <c r="W113" s="910">
        <v>1.92</v>
      </c>
      <c r="X113" s="910">
        <v>0</v>
      </c>
      <c r="Y113" s="911">
        <v>12.36</v>
      </c>
      <c r="Z113" s="915">
        <v>1610.71</v>
      </c>
      <c r="AA113" s="916">
        <v>0</v>
      </c>
      <c r="AB113" s="916">
        <v>0</v>
      </c>
      <c r="AC113" s="916">
        <v>402.68</v>
      </c>
      <c r="AD113" s="916">
        <v>0</v>
      </c>
      <c r="AE113" s="917">
        <v>2013.39</v>
      </c>
      <c r="AF113" s="912"/>
      <c r="AG113" s="913"/>
      <c r="AH113" s="913"/>
      <c r="AI113" s="913"/>
      <c r="AJ113" s="913"/>
      <c r="AK113" s="914"/>
      <c r="AL113" s="912"/>
      <c r="AM113" s="913"/>
      <c r="AN113" s="913"/>
      <c r="AO113" s="913"/>
      <c r="AP113" s="913"/>
      <c r="AQ113" s="914"/>
      <c r="AR113" s="909">
        <v>720</v>
      </c>
      <c r="AS113" s="910">
        <v>0</v>
      </c>
      <c r="AT113" s="910">
        <v>180</v>
      </c>
      <c r="AU113" s="910">
        <v>0</v>
      </c>
      <c r="AV113" s="910">
        <v>0</v>
      </c>
      <c r="AW113" s="911">
        <v>900</v>
      </c>
      <c r="AX113" s="912"/>
      <c r="AY113" s="913"/>
      <c r="AZ113" s="913"/>
      <c r="BA113" s="913"/>
      <c r="BB113" s="913"/>
      <c r="BC113" s="914"/>
      <c r="BD113" s="912"/>
      <c r="BE113" s="913"/>
      <c r="BF113" s="913"/>
      <c r="BG113" s="913"/>
      <c r="BH113" s="913"/>
      <c r="BI113" s="914"/>
      <c r="BJ113" s="909">
        <v>15561.39</v>
      </c>
      <c r="BK113" s="910">
        <v>0</v>
      </c>
      <c r="BL113" s="910">
        <v>1971.1</v>
      </c>
      <c r="BM113" s="910">
        <v>3216.03</v>
      </c>
      <c r="BN113" s="910">
        <v>0</v>
      </c>
      <c r="BO113" s="911">
        <v>20748.52</v>
      </c>
      <c r="BP113" s="909">
        <v>55073.06</v>
      </c>
      <c r="BQ113" s="910">
        <v>1754.45</v>
      </c>
      <c r="BR113" s="910">
        <v>46003.21</v>
      </c>
      <c r="BS113" s="910">
        <v>5412.15</v>
      </c>
      <c r="BT113" s="910">
        <v>5691.69</v>
      </c>
      <c r="BU113" s="911">
        <v>113934.56</v>
      </c>
      <c r="BV113" s="909">
        <v>13152.41</v>
      </c>
      <c r="BW113" s="910">
        <v>0</v>
      </c>
      <c r="BX113" s="910">
        <v>8088.81</v>
      </c>
      <c r="BY113" s="910">
        <v>3896.31</v>
      </c>
      <c r="BZ113" s="910">
        <v>-0.03</v>
      </c>
      <c r="CA113" s="911">
        <v>25137.5</v>
      </c>
      <c r="CB113" s="912"/>
      <c r="CC113" s="913"/>
      <c r="CD113" s="913"/>
      <c r="CE113" s="913"/>
      <c r="CF113" s="913"/>
      <c r="CG113" s="914"/>
      <c r="CH113" s="912"/>
      <c r="CI113" s="913"/>
      <c r="CJ113" s="913"/>
      <c r="CK113" s="913"/>
      <c r="CL113" s="913"/>
      <c r="CM113" s="914"/>
      <c r="CN113" s="909">
        <v>51308</v>
      </c>
      <c r="CO113" s="910">
        <v>0</v>
      </c>
      <c r="CP113" s="910">
        <v>0</v>
      </c>
      <c r="CQ113" s="910">
        <v>0</v>
      </c>
      <c r="CR113" s="910">
        <v>0</v>
      </c>
      <c r="CS113" s="911">
        <v>51308</v>
      </c>
      <c r="CT113" s="909">
        <v>18964.509999999998</v>
      </c>
      <c r="CU113" s="910">
        <v>88.8</v>
      </c>
      <c r="CV113" s="910">
        <v>15424.11</v>
      </c>
      <c r="CW113" s="910">
        <v>1814.6</v>
      </c>
      <c r="CX113" s="910">
        <v>-0.02</v>
      </c>
      <c r="CY113" s="911">
        <v>36292</v>
      </c>
      <c r="CZ113" s="909">
        <v>51547.02</v>
      </c>
      <c r="DA113" s="910">
        <v>10367.1</v>
      </c>
      <c r="DB113" s="910">
        <v>0</v>
      </c>
      <c r="DC113" s="910">
        <v>0</v>
      </c>
      <c r="DD113" s="910">
        <v>0</v>
      </c>
      <c r="DE113" s="911">
        <v>61914.12</v>
      </c>
      <c r="DF113" s="909">
        <v>9644.56</v>
      </c>
      <c r="DG113" s="910">
        <v>0</v>
      </c>
      <c r="DH113" s="910">
        <v>6654.77</v>
      </c>
      <c r="DI113" s="910">
        <v>2989.84</v>
      </c>
      <c r="DJ113" s="910">
        <v>-0.03</v>
      </c>
      <c r="DK113" s="911">
        <v>19289.14</v>
      </c>
      <c r="DL113" s="909">
        <v>504</v>
      </c>
      <c r="DM113" s="910">
        <v>0</v>
      </c>
      <c r="DN113" s="910">
        <v>3</v>
      </c>
      <c r="DO113" s="910">
        <v>93</v>
      </c>
      <c r="DP113" s="910">
        <v>0</v>
      </c>
      <c r="DQ113" s="911">
        <v>600</v>
      </c>
      <c r="DR113" s="912"/>
      <c r="DS113" s="913"/>
      <c r="DT113" s="913"/>
      <c r="DU113" s="913"/>
      <c r="DV113" s="913"/>
      <c r="DW113" s="914"/>
    </row>
    <row r="114" spans="1:127">
      <c r="A114" s="1107" t="s">
        <v>159</v>
      </c>
      <c r="B114" s="904" t="s">
        <v>160</v>
      </c>
      <c r="C114" s="905">
        <f t="shared" si="10"/>
        <v>5058676.8400000008</v>
      </c>
      <c r="D114" s="906">
        <f t="shared" si="8"/>
        <v>2051184.4599999997</v>
      </c>
      <c r="E114" s="907">
        <f t="shared" si="11"/>
        <v>415129.01</v>
      </c>
      <c r="F114" s="908">
        <f t="shared" si="9"/>
        <v>415129.67</v>
      </c>
      <c r="G114" s="907">
        <f t="shared" si="9"/>
        <v>-0.66000000000000014</v>
      </c>
      <c r="H114" s="912"/>
      <c r="I114" s="913"/>
      <c r="J114" s="913"/>
      <c r="K114" s="913"/>
      <c r="L114" s="913"/>
      <c r="M114" s="914"/>
      <c r="N114" s="909">
        <v>27964.91</v>
      </c>
      <c r="O114" s="910">
        <v>0</v>
      </c>
      <c r="P114" s="910">
        <v>0</v>
      </c>
      <c r="Q114" s="910">
        <v>6991.24</v>
      </c>
      <c r="R114" s="910">
        <v>0</v>
      </c>
      <c r="S114" s="911">
        <v>34956.15</v>
      </c>
      <c r="T114" s="909">
        <v>34046.54</v>
      </c>
      <c r="U114" s="910">
        <v>0</v>
      </c>
      <c r="V114" s="910">
        <v>202.67</v>
      </c>
      <c r="W114" s="910">
        <v>6282.43</v>
      </c>
      <c r="X114" s="910">
        <v>-0.03</v>
      </c>
      <c r="Y114" s="911">
        <v>40531.61</v>
      </c>
      <c r="Z114" s="915">
        <v>147609.63</v>
      </c>
      <c r="AA114" s="916">
        <v>0</v>
      </c>
      <c r="AB114" s="916">
        <v>0</v>
      </c>
      <c r="AC114" s="916">
        <v>36902.400000000001</v>
      </c>
      <c r="AD114" s="916">
        <v>0</v>
      </c>
      <c r="AE114" s="917">
        <v>184512.03</v>
      </c>
      <c r="AF114" s="909">
        <v>15885.1</v>
      </c>
      <c r="AG114" s="910">
        <v>0</v>
      </c>
      <c r="AH114" s="910">
        <v>6407.08</v>
      </c>
      <c r="AI114" s="910">
        <v>4089.1</v>
      </c>
      <c r="AJ114" s="910">
        <v>-0.04</v>
      </c>
      <c r="AK114" s="911">
        <v>26381.24</v>
      </c>
      <c r="AL114" s="909">
        <v>32341.21</v>
      </c>
      <c r="AM114" s="910">
        <v>0</v>
      </c>
      <c r="AN114" s="910">
        <v>8085.3</v>
      </c>
      <c r="AO114" s="910">
        <v>0</v>
      </c>
      <c r="AP114" s="910">
        <v>0</v>
      </c>
      <c r="AQ114" s="911">
        <v>40426.51</v>
      </c>
      <c r="AR114" s="909">
        <v>33657.160000000003</v>
      </c>
      <c r="AS114" s="910">
        <v>0</v>
      </c>
      <c r="AT114" s="910">
        <v>8414.2999999999993</v>
      </c>
      <c r="AU114" s="910">
        <v>0</v>
      </c>
      <c r="AV114" s="910">
        <v>0</v>
      </c>
      <c r="AW114" s="911">
        <v>42071.46</v>
      </c>
      <c r="AX114" s="912"/>
      <c r="AY114" s="913"/>
      <c r="AZ114" s="913"/>
      <c r="BA114" s="913"/>
      <c r="BB114" s="913"/>
      <c r="BC114" s="914"/>
      <c r="BD114" s="909">
        <v>78.41</v>
      </c>
      <c r="BE114" s="910">
        <v>0</v>
      </c>
      <c r="BF114" s="910">
        <v>6888.59</v>
      </c>
      <c r="BG114" s="910">
        <v>0</v>
      </c>
      <c r="BH114" s="910">
        <v>0</v>
      </c>
      <c r="BI114" s="911">
        <v>6967</v>
      </c>
      <c r="BJ114" s="909">
        <v>22971.200000000001</v>
      </c>
      <c r="BK114" s="910">
        <v>0</v>
      </c>
      <c r="BL114" s="910">
        <v>2909.7</v>
      </c>
      <c r="BM114" s="910">
        <v>4747.3900000000003</v>
      </c>
      <c r="BN114" s="910">
        <v>-0.04</v>
      </c>
      <c r="BO114" s="911">
        <v>30628.25</v>
      </c>
      <c r="BP114" s="909">
        <v>1705930.82</v>
      </c>
      <c r="BQ114" s="910">
        <v>54393.77</v>
      </c>
      <c r="BR114" s="910">
        <v>1425024.68</v>
      </c>
      <c r="BS114" s="910">
        <v>167649.96</v>
      </c>
      <c r="BT114" s="910">
        <v>-0.18</v>
      </c>
      <c r="BU114" s="911">
        <v>3352999.05</v>
      </c>
      <c r="BV114" s="909">
        <v>498604.51</v>
      </c>
      <c r="BW114" s="910">
        <v>0</v>
      </c>
      <c r="BX114" s="910">
        <v>243936.81</v>
      </c>
      <c r="BY114" s="910">
        <v>136205.84</v>
      </c>
      <c r="BZ114" s="910">
        <v>-0.28000000000000003</v>
      </c>
      <c r="CA114" s="911">
        <v>878746.88</v>
      </c>
      <c r="CB114" s="909">
        <v>2348.85</v>
      </c>
      <c r="CC114" s="910">
        <v>0</v>
      </c>
      <c r="CD114" s="910">
        <v>0</v>
      </c>
      <c r="CE114" s="910">
        <v>4051.31</v>
      </c>
      <c r="CF114" s="910">
        <v>0</v>
      </c>
      <c r="CG114" s="911">
        <v>6400.16</v>
      </c>
      <c r="CH114" s="912"/>
      <c r="CI114" s="913"/>
      <c r="CJ114" s="913"/>
      <c r="CK114" s="913"/>
      <c r="CL114" s="913"/>
      <c r="CM114" s="914"/>
      <c r="CN114" s="909">
        <v>136942.20000000001</v>
      </c>
      <c r="CO114" s="910">
        <v>0</v>
      </c>
      <c r="CP114" s="910">
        <v>0</v>
      </c>
      <c r="CQ114" s="910">
        <v>0</v>
      </c>
      <c r="CR114" s="910">
        <v>0</v>
      </c>
      <c r="CS114" s="911">
        <v>136942.20000000001</v>
      </c>
      <c r="CT114" s="909">
        <v>398526.67</v>
      </c>
      <c r="CU114" s="910">
        <v>13413.34</v>
      </c>
      <c r="CV114" s="910">
        <v>333475.24</v>
      </c>
      <c r="CW114" s="910">
        <v>39232.370000000003</v>
      </c>
      <c r="CX114" s="910">
        <v>-0.04</v>
      </c>
      <c r="CY114" s="911">
        <v>784647.58</v>
      </c>
      <c r="CZ114" s="909">
        <v>1618096.84</v>
      </c>
      <c r="DA114" s="910">
        <v>282763.37</v>
      </c>
      <c r="DB114" s="910">
        <v>0</v>
      </c>
      <c r="DC114" s="910">
        <v>0</v>
      </c>
      <c r="DD114" s="910">
        <v>-0.01</v>
      </c>
      <c r="DE114" s="911">
        <v>1900860.2</v>
      </c>
      <c r="DF114" s="909">
        <v>22868.36</v>
      </c>
      <c r="DG114" s="910">
        <v>0</v>
      </c>
      <c r="DH114" s="910">
        <v>15779.17</v>
      </c>
      <c r="DI114" s="910">
        <v>7089.19</v>
      </c>
      <c r="DJ114" s="910">
        <v>-0.01</v>
      </c>
      <c r="DK114" s="911">
        <v>45736.71</v>
      </c>
      <c r="DL114" s="909">
        <v>10233.950000000001</v>
      </c>
      <c r="DM114" s="910">
        <v>0</v>
      </c>
      <c r="DN114" s="910">
        <v>60.92</v>
      </c>
      <c r="DO114" s="910">
        <v>1888.44</v>
      </c>
      <c r="DP114" s="910">
        <v>-0.03</v>
      </c>
      <c r="DQ114" s="911">
        <v>12183.28</v>
      </c>
      <c r="DR114" s="912"/>
      <c r="DS114" s="913"/>
      <c r="DT114" s="913"/>
      <c r="DU114" s="913"/>
      <c r="DV114" s="913"/>
      <c r="DW114" s="914"/>
    </row>
    <row r="115" spans="1:127">
      <c r="A115" s="1107" t="s">
        <v>161</v>
      </c>
      <c r="B115" s="904" t="s">
        <v>162</v>
      </c>
      <c r="C115" s="905">
        <f t="shared" si="10"/>
        <v>6052899.1899999995</v>
      </c>
      <c r="D115" s="906">
        <f t="shared" si="8"/>
        <v>1792242.0999999999</v>
      </c>
      <c r="E115" s="907">
        <f t="shared" si="11"/>
        <v>435865.22000000003</v>
      </c>
      <c r="F115" s="908">
        <f t="shared" si="9"/>
        <v>433028.12000000005</v>
      </c>
      <c r="G115" s="907">
        <f t="shared" si="9"/>
        <v>2837.1000000000004</v>
      </c>
      <c r="H115" s="912"/>
      <c r="I115" s="913"/>
      <c r="J115" s="913"/>
      <c r="K115" s="913"/>
      <c r="L115" s="913"/>
      <c r="M115" s="914"/>
      <c r="N115" s="909">
        <v>112418.58</v>
      </c>
      <c r="O115" s="910">
        <v>0</v>
      </c>
      <c r="P115" s="910">
        <v>0</v>
      </c>
      <c r="Q115" s="910">
        <v>28104.63</v>
      </c>
      <c r="R115" s="910">
        <v>0</v>
      </c>
      <c r="S115" s="911">
        <v>140523.21</v>
      </c>
      <c r="T115" s="909">
        <v>154984.81</v>
      </c>
      <c r="U115" s="910">
        <v>0</v>
      </c>
      <c r="V115" s="910">
        <v>922.52</v>
      </c>
      <c r="W115" s="910">
        <v>28598.39</v>
      </c>
      <c r="X115" s="910">
        <v>0.01</v>
      </c>
      <c r="Y115" s="911">
        <v>184505.73</v>
      </c>
      <c r="Z115" s="915">
        <v>213675.18</v>
      </c>
      <c r="AA115" s="916">
        <v>0</v>
      </c>
      <c r="AB115" s="916">
        <v>0</v>
      </c>
      <c r="AC115" s="916">
        <v>53418.79</v>
      </c>
      <c r="AD115" s="916">
        <v>0</v>
      </c>
      <c r="AE115" s="917">
        <v>267093.96999999997</v>
      </c>
      <c r="AF115" s="909">
        <v>73112.17</v>
      </c>
      <c r="AG115" s="910">
        <v>0</v>
      </c>
      <c r="AH115" s="910">
        <v>6093.12</v>
      </c>
      <c r="AI115" s="910">
        <v>14528.8</v>
      </c>
      <c r="AJ115" s="910">
        <v>-0.08</v>
      </c>
      <c r="AK115" s="911">
        <v>93734.01</v>
      </c>
      <c r="AL115" s="909">
        <v>21346.44</v>
      </c>
      <c r="AM115" s="910">
        <v>0</v>
      </c>
      <c r="AN115" s="910">
        <v>5336.62</v>
      </c>
      <c r="AO115" s="910">
        <v>0</v>
      </c>
      <c r="AP115" s="910">
        <v>0</v>
      </c>
      <c r="AQ115" s="911">
        <v>26683.06</v>
      </c>
      <c r="AR115" s="909">
        <v>25736.58</v>
      </c>
      <c r="AS115" s="910">
        <v>0</v>
      </c>
      <c r="AT115" s="910">
        <v>6434.19</v>
      </c>
      <c r="AU115" s="910">
        <v>0</v>
      </c>
      <c r="AV115" s="910">
        <v>0</v>
      </c>
      <c r="AW115" s="911">
        <v>32170.77</v>
      </c>
      <c r="AX115" s="912"/>
      <c r="AY115" s="913"/>
      <c r="AZ115" s="913"/>
      <c r="BA115" s="913"/>
      <c r="BB115" s="913"/>
      <c r="BC115" s="914"/>
      <c r="BD115" s="909">
        <v>1454.11</v>
      </c>
      <c r="BE115" s="910">
        <v>0</v>
      </c>
      <c r="BF115" s="910">
        <v>7215.89</v>
      </c>
      <c r="BG115" s="910">
        <v>0</v>
      </c>
      <c r="BH115" s="910">
        <v>0</v>
      </c>
      <c r="BI115" s="911">
        <v>8670</v>
      </c>
      <c r="BJ115" s="909">
        <v>176607.47</v>
      </c>
      <c r="BK115" s="910">
        <v>0</v>
      </c>
      <c r="BL115" s="910">
        <v>22370.28</v>
      </c>
      <c r="BM115" s="910">
        <v>36498.86</v>
      </c>
      <c r="BN115" s="910">
        <v>-0.03</v>
      </c>
      <c r="BO115" s="911">
        <v>235476.58</v>
      </c>
      <c r="BP115" s="909">
        <v>1914377.36</v>
      </c>
      <c r="BQ115" s="910">
        <v>63277.599999999999</v>
      </c>
      <c r="BR115" s="910">
        <v>1600956.05</v>
      </c>
      <c r="BS115" s="910">
        <v>188378.05</v>
      </c>
      <c r="BT115" s="910">
        <v>-0.24</v>
      </c>
      <c r="BU115" s="911">
        <v>3766988.82</v>
      </c>
      <c r="BV115" s="909">
        <v>187962.26</v>
      </c>
      <c r="BW115" s="910">
        <v>0</v>
      </c>
      <c r="BX115" s="910">
        <v>129694.06</v>
      </c>
      <c r="BY115" s="910">
        <v>58268.46</v>
      </c>
      <c r="BZ115" s="910">
        <v>-0.27</v>
      </c>
      <c r="CA115" s="911">
        <v>375924.51</v>
      </c>
      <c r="CB115" s="909">
        <v>9181.34</v>
      </c>
      <c r="CC115" s="910">
        <v>0</v>
      </c>
      <c r="CD115" s="910">
        <v>0</v>
      </c>
      <c r="CE115" s="910">
        <v>15835.89</v>
      </c>
      <c r="CF115" s="910">
        <v>-0.01</v>
      </c>
      <c r="CG115" s="911">
        <v>25017.22</v>
      </c>
      <c r="CH115" s="912"/>
      <c r="CI115" s="913"/>
      <c r="CJ115" s="913"/>
      <c r="CK115" s="913"/>
      <c r="CL115" s="913"/>
      <c r="CM115" s="914"/>
      <c r="CN115" s="909">
        <v>116076.44</v>
      </c>
      <c r="CO115" s="910">
        <v>0</v>
      </c>
      <c r="CP115" s="910">
        <v>0</v>
      </c>
      <c r="CQ115" s="910">
        <v>0</v>
      </c>
      <c r="CR115" s="910">
        <v>0</v>
      </c>
      <c r="CS115" s="911">
        <v>116076.44</v>
      </c>
      <c r="CT115" s="912"/>
      <c r="CU115" s="913"/>
      <c r="CV115" s="913"/>
      <c r="CW115" s="913"/>
      <c r="CX115" s="913"/>
      <c r="CY115" s="914"/>
      <c r="CZ115" s="909">
        <v>2555667.67</v>
      </c>
      <c r="DA115" s="910">
        <v>389015.8</v>
      </c>
      <c r="DB115" s="910">
        <v>0</v>
      </c>
      <c r="DC115" s="910">
        <v>0</v>
      </c>
      <c r="DD115" s="910">
        <v>-0.03</v>
      </c>
      <c r="DE115" s="911">
        <v>2944683.44</v>
      </c>
      <c r="DF115" s="909">
        <v>18994.509999999998</v>
      </c>
      <c r="DG115" s="910">
        <v>0</v>
      </c>
      <c r="DH115" s="910">
        <v>13106.21</v>
      </c>
      <c r="DI115" s="910">
        <v>5888.29</v>
      </c>
      <c r="DJ115" s="910">
        <v>-0.01</v>
      </c>
      <c r="DK115" s="911">
        <v>37989</v>
      </c>
      <c r="DL115" s="909">
        <v>19010.87</v>
      </c>
      <c r="DM115" s="910">
        <v>0</v>
      </c>
      <c r="DN115" s="910">
        <v>113.16</v>
      </c>
      <c r="DO115" s="910">
        <v>3507.96</v>
      </c>
      <c r="DP115" s="910">
        <v>2837.76</v>
      </c>
      <c r="DQ115" s="911">
        <v>25469.75</v>
      </c>
      <c r="DR115" s="912"/>
      <c r="DS115" s="913"/>
      <c r="DT115" s="913"/>
      <c r="DU115" s="913"/>
      <c r="DV115" s="913"/>
      <c r="DW115" s="914"/>
    </row>
    <row r="116" spans="1:127">
      <c r="A116" s="1107" t="s">
        <v>167</v>
      </c>
      <c r="B116" s="904" t="s">
        <v>168</v>
      </c>
      <c r="C116" s="905">
        <f t="shared" si="10"/>
        <v>57014.149999999987</v>
      </c>
      <c r="D116" s="906">
        <f t="shared" si="8"/>
        <v>16680.240000000002</v>
      </c>
      <c r="E116" s="907">
        <f t="shared" si="11"/>
        <v>8924.36</v>
      </c>
      <c r="F116" s="908">
        <f t="shared" si="9"/>
        <v>8924.61</v>
      </c>
      <c r="G116" s="907">
        <f t="shared" si="9"/>
        <v>-0.25</v>
      </c>
      <c r="H116" s="912"/>
      <c r="I116" s="913"/>
      <c r="J116" s="913"/>
      <c r="K116" s="913"/>
      <c r="L116" s="913"/>
      <c r="M116" s="914"/>
      <c r="N116" s="909">
        <v>4238.07</v>
      </c>
      <c r="O116" s="910">
        <v>0</v>
      </c>
      <c r="P116" s="910">
        <v>0</v>
      </c>
      <c r="Q116" s="910">
        <v>1059.5</v>
      </c>
      <c r="R116" s="910">
        <v>0</v>
      </c>
      <c r="S116" s="911">
        <v>5297.57</v>
      </c>
      <c r="T116" s="909">
        <v>938.12</v>
      </c>
      <c r="U116" s="910">
        <v>0</v>
      </c>
      <c r="V116" s="910">
        <v>5.58</v>
      </c>
      <c r="W116" s="910">
        <v>173.11</v>
      </c>
      <c r="X116" s="910">
        <v>0</v>
      </c>
      <c r="Y116" s="911">
        <v>1116.81</v>
      </c>
      <c r="Z116" s="915">
        <v>3800</v>
      </c>
      <c r="AA116" s="916">
        <v>0</v>
      </c>
      <c r="AB116" s="916">
        <v>0</v>
      </c>
      <c r="AC116" s="916">
        <v>950</v>
      </c>
      <c r="AD116" s="916">
        <v>0</v>
      </c>
      <c r="AE116" s="917">
        <v>4750</v>
      </c>
      <c r="AF116" s="912"/>
      <c r="AG116" s="913"/>
      <c r="AH116" s="913"/>
      <c r="AI116" s="913"/>
      <c r="AJ116" s="913"/>
      <c r="AK116" s="914"/>
      <c r="AL116" s="912"/>
      <c r="AM116" s="913"/>
      <c r="AN116" s="913"/>
      <c r="AO116" s="913"/>
      <c r="AP116" s="913"/>
      <c r="AQ116" s="914"/>
      <c r="AR116" s="912"/>
      <c r="AS116" s="913"/>
      <c r="AT116" s="913"/>
      <c r="AU116" s="913"/>
      <c r="AV116" s="913"/>
      <c r="AW116" s="914"/>
      <c r="AX116" s="912"/>
      <c r="AY116" s="913"/>
      <c r="AZ116" s="913"/>
      <c r="BA116" s="913"/>
      <c r="BB116" s="913"/>
      <c r="BC116" s="914"/>
      <c r="BD116" s="912"/>
      <c r="BE116" s="913"/>
      <c r="BF116" s="913"/>
      <c r="BG116" s="913"/>
      <c r="BH116" s="913"/>
      <c r="BI116" s="914"/>
      <c r="BJ116" s="909">
        <v>11171.25</v>
      </c>
      <c r="BK116" s="910">
        <v>0</v>
      </c>
      <c r="BL116" s="910">
        <v>1415.03</v>
      </c>
      <c r="BM116" s="910">
        <v>2308.73</v>
      </c>
      <c r="BN116" s="910">
        <v>-0.01</v>
      </c>
      <c r="BO116" s="911">
        <v>14895</v>
      </c>
      <c r="BP116" s="909">
        <v>8738.83</v>
      </c>
      <c r="BQ116" s="910">
        <v>313.3</v>
      </c>
      <c r="BR116" s="910">
        <v>7327.93</v>
      </c>
      <c r="BS116" s="910">
        <v>862.1</v>
      </c>
      <c r="BT116" s="910">
        <v>-0.16</v>
      </c>
      <c r="BU116" s="911">
        <v>17242</v>
      </c>
      <c r="BV116" s="909">
        <v>8197.0499999999993</v>
      </c>
      <c r="BW116" s="910">
        <v>0</v>
      </c>
      <c r="BX116" s="910">
        <v>5655.98</v>
      </c>
      <c r="BY116" s="910">
        <v>2541.11</v>
      </c>
      <c r="BZ116" s="910">
        <v>-0.05</v>
      </c>
      <c r="CA116" s="911">
        <v>16394.09</v>
      </c>
      <c r="CB116" s="912"/>
      <c r="CC116" s="913"/>
      <c r="CD116" s="913"/>
      <c r="CE116" s="913"/>
      <c r="CF116" s="913"/>
      <c r="CG116" s="914"/>
      <c r="CH116" s="912"/>
      <c r="CI116" s="913"/>
      <c r="CJ116" s="913"/>
      <c r="CK116" s="913"/>
      <c r="CL116" s="913"/>
      <c r="CM116" s="914"/>
      <c r="CN116" s="912"/>
      <c r="CO116" s="913"/>
      <c r="CP116" s="913"/>
      <c r="CQ116" s="913"/>
      <c r="CR116" s="913"/>
      <c r="CS116" s="914"/>
      <c r="CT116" s="912"/>
      <c r="CU116" s="913"/>
      <c r="CV116" s="913"/>
      <c r="CW116" s="913"/>
      <c r="CX116" s="913"/>
      <c r="CY116" s="914"/>
      <c r="CZ116" s="909">
        <v>14324.88</v>
      </c>
      <c r="DA116" s="910">
        <v>1952.88</v>
      </c>
      <c r="DB116" s="910">
        <v>0</v>
      </c>
      <c r="DC116" s="910">
        <v>0</v>
      </c>
      <c r="DD116" s="910">
        <v>0</v>
      </c>
      <c r="DE116" s="911">
        <v>16277.76</v>
      </c>
      <c r="DF116" s="909">
        <v>3297.77</v>
      </c>
      <c r="DG116" s="910">
        <v>0</v>
      </c>
      <c r="DH116" s="910">
        <v>2275.4699999999998</v>
      </c>
      <c r="DI116" s="910">
        <v>1022.31</v>
      </c>
      <c r="DJ116" s="910">
        <v>-0.03</v>
      </c>
      <c r="DK116" s="911">
        <v>6595.52</v>
      </c>
      <c r="DL116" s="909">
        <v>42</v>
      </c>
      <c r="DM116" s="910">
        <v>0</v>
      </c>
      <c r="DN116" s="910">
        <v>0.25</v>
      </c>
      <c r="DO116" s="910">
        <v>7.75</v>
      </c>
      <c r="DP116" s="910">
        <v>0</v>
      </c>
      <c r="DQ116" s="911">
        <v>50</v>
      </c>
      <c r="DR116" s="912"/>
      <c r="DS116" s="913"/>
      <c r="DT116" s="913"/>
      <c r="DU116" s="913"/>
      <c r="DV116" s="913"/>
      <c r="DW116" s="914"/>
    </row>
    <row r="117" spans="1:127">
      <c r="A117" s="1107" t="s">
        <v>177</v>
      </c>
      <c r="B117" s="904" t="s">
        <v>178</v>
      </c>
      <c r="C117" s="905">
        <f t="shared" si="10"/>
        <v>938050.07000000007</v>
      </c>
      <c r="D117" s="906">
        <f t="shared" si="8"/>
        <v>369000.9</v>
      </c>
      <c r="E117" s="907">
        <f t="shared" si="11"/>
        <v>108089.17000000001</v>
      </c>
      <c r="F117" s="908">
        <f t="shared" si="9"/>
        <v>103584.39000000001</v>
      </c>
      <c r="G117" s="907">
        <f t="shared" si="9"/>
        <v>4504.78</v>
      </c>
      <c r="H117" s="912"/>
      <c r="I117" s="913"/>
      <c r="J117" s="913"/>
      <c r="K117" s="913"/>
      <c r="L117" s="913"/>
      <c r="M117" s="914"/>
      <c r="N117" s="909">
        <v>5763.86</v>
      </c>
      <c r="O117" s="910">
        <v>0</v>
      </c>
      <c r="P117" s="910">
        <v>0</v>
      </c>
      <c r="Q117" s="910">
        <v>1440.97</v>
      </c>
      <c r="R117" s="910">
        <v>0</v>
      </c>
      <c r="S117" s="911">
        <v>7204.83</v>
      </c>
      <c r="T117" s="909">
        <v>8980.1</v>
      </c>
      <c r="U117" s="910">
        <v>0</v>
      </c>
      <c r="V117" s="910">
        <v>53.46</v>
      </c>
      <c r="W117" s="910">
        <v>1657.04</v>
      </c>
      <c r="X117" s="910">
        <v>-0.01</v>
      </c>
      <c r="Y117" s="911">
        <v>10690.59</v>
      </c>
      <c r="Z117" s="915">
        <v>66009.850000000006</v>
      </c>
      <c r="AA117" s="916">
        <v>0</v>
      </c>
      <c r="AB117" s="916">
        <v>0</v>
      </c>
      <c r="AC117" s="916">
        <v>16502.5</v>
      </c>
      <c r="AD117" s="916">
        <v>4505.72</v>
      </c>
      <c r="AE117" s="917">
        <v>87018.07</v>
      </c>
      <c r="AF117" s="912"/>
      <c r="AG117" s="913"/>
      <c r="AH117" s="913"/>
      <c r="AI117" s="913"/>
      <c r="AJ117" s="913"/>
      <c r="AK117" s="914"/>
      <c r="AL117" s="909">
        <v>1359.2</v>
      </c>
      <c r="AM117" s="910">
        <v>0</v>
      </c>
      <c r="AN117" s="910">
        <v>339.8</v>
      </c>
      <c r="AO117" s="910">
        <v>0</v>
      </c>
      <c r="AP117" s="910">
        <v>0</v>
      </c>
      <c r="AQ117" s="911">
        <v>1699</v>
      </c>
      <c r="AR117" s="909">
        <v>6801.36</v>
      </c>
      <c r="AS117" s="910">
        <v>0</v>
      </c>
      <c r="AT117" s="910">
        <v>1700.36</v>
      </c>
      <c r="AU117" s="910">
        <v>0</v>
      </c>
      <c r="AV117" s="910">
        <v>0</v>
      </c>
      <c r="AW117" s="911">
        <v>8501.7199999999993</v>
      </c>
      <c r="AX117" s="912"/>
      <c r="AY117" s="913"/>
      <c r="AZ117" s="913"/>
      <c r="BA117" s="913"/>
      <c r="BB117" s="913"/>
      <c r="BC117" s="914"/>
      <c r="BD117" s="909">
        <v>0</v>
      </c>
      <c r="BE117" s="910">
        <v>0</v>
      </c>
      <c r="BF117" s="910">
        <v>305</v>
      </c>
      <c r="BG117" s="910">
        <v>0</v>
      </c>
      <c r="BH117" s="910">
        <v>0</v>
      </c>
      <c r="BI117" s="911">
        <v>305</v>
      </c>
      <c r="BJ117" s="909">
        <v>28447.68</v>
      </c>
      <c r="BK117" s="910">
        <v>0</v>
      </c>
      <c r="BL117" s="910">
        <v>3603.36</v>
      </c>
      <c r="BM117" s="910">
        <v>5879.19</v>
      </c>
      <c r="BN117" s="910">
        <v>0.01</v>
      </c>
      <c r="BO117" s="911">
        <v>37930.239999999998</v>
      </c>
      <c r="BP117" s="909">
        <v>300845.78999999998</v>
      </c>
      <c r="BQ117" s="910">
        <v>10083.299999999999</v>
      </c>
      <c r="BR117" s="910">
        <v>251704.55</v>
      </c>
      <c r="BS117" s="910">
        <v>29612.27</v>
      </c>
      <c r="BT117" s="910">
        <v>-0.51</v>
      </c>
      <c r="BU117" s="911">
        <v>592245.4</v>
      </c>
      <c r="BV117" s="909">
        <v>141941.85999999999</v>
      </c>
      <c r="BW117" s="910">
        <v>0</v>
      </c>
      <c r="BX117" s="910">
        <v>86985.79</v>
      </c>
      <c r="BY117" s="910">
        <v>41992.78</v>
      </c>
      <c r="BZ117" s="910">
        <v>-0.28999999999999998</v>
      </c>
      <c r="CA117" s="911">
        <v>270920.14</v>
      </c>
      <c r="CB117" s="909">
        <v>848.47</v>
      </c>
      <c r="CC117" s="910">
        <v>0</v>
      </c>
      <c r="CD117" s="910">
        <v>0</v>
      </c>
      <c r="CE117" s="910">
        <v>1463.46</v>
      </c>
      <c r="CF117" s="910">
        <v>-0.01</v>
      </c>
      <c r="CG117" s="911">
        <v>2311.92</v>
      </c>
      <c r="CH117" s="912"/>
      <c r="CI117" s="913"/>
      <c r="CJ117" s="913"/>
      <c r="CK117" s="913"/>
      <c r="CL117" s="913"/>
      <c r="CM117" s="914"/>
      <c r="CN117" s="909">
        <v>32726</v>
      </c>
      <c r="CO117" s="910">
        <v>0</v>
      </c>
      <c r="CP117" s="910">
        <v>0</v>
      </c>
      <c r="CQ117" s="910">
        <v>0</v>
      </c>
      <c r="CR117" s="910">
        <v>0</v>
      </c>
      <c r="CS117" s="911">
        <v>32726</v>
      </c>
      <c r="CT117" s="909">
        <v>27089.35</v>
      </c>
      <c r="CU117" s="910">
        <v>338.51</v>
      </c>
      <c r="CV117" s="910">
        <v>22203.52</v>
      </c>
      <c r="CW117" s="910">
        <v>2612.17</v>
      </c>
      <c r="CX117" s="910">
        <v>-0.15</v>
      </c>
      <c r="CY117" s="911">
        <v>52243.4</v>
      </c>
      <c r="CZ117" s="909">
        <v>249353.2</v>
      </c>
      <c r="DA117" s="910">
        <v>46351.8</v>
      </c>
      <c r="DB117" s="910">
        <v>0</v>
      </c>
      <c r="DC117" s="910">
        <v>0</v>
      </c>
      <c r="DD117" s="910">
        <v>-0.01</v>
      </c>
      <c r="DE117" s="911">
        <v>295704.99</v>
      </c>
      <c r="DF117" s="909">
        <v>2980.71</v>
      </c>
      <c r="DG117" s="910">
        <v>0</v>
      </c>
      <c r="DH117" s="910">
        <v>2056.69</v>
      </c>
      <c r="DI117" s="910">
        <v>924.02</v>
      </c>
      <c r="DJ117" s="910">
        <v>-0.01</v>
      </c>
      <c r="DK117" s="911">
        <v>5961.41</v>
      </c>
      <c r="DL117" s="909">
        <v>8129.03</v>
      </c>
      <c r="DM117" s="910">
        <v>0</v>
      </c>
      <c r="DN117" s="910">
        <v>48.37</v>
      </c>
      <c r="DO117" s="910">
        <v>1499.99</v>
      </c>
      <c r="DP117" s="910">
        <v>0.04</v>
      </c>
      <c r="DQ117" s="911">
        <v>9677.43</v>
      </c>
      <c r="DR117" s="912"/>
      <c r="DS117" s="913"/>
      <c r="DT117" s="913"/>
      <c r="DU117" s="913"/>
      <c r="DV117" s="913"/>
      <c r="DW117" s="914"/>
    </row>
    <row r="118" spans="1:127">
      <c r="A118" s="1107" t="s">
        <v>181</v>
      </c>
      <c r="B118" s="904" t="s">
        <v>182</v>
      </c>
      <c r="C118" s="905">
        <f t="shared" si="10"/>
        <v>2033436.0000000002</v>
      </c>
      <c r="D118" s="906">
        <f t="shared" si="8"/>
        <v>804382.53</v>
      </c>
      <c r="E118" s="907">
        <f t="shared" si="11"/>
        <v>200323.81000000003</v>
      </c>
      <c r="F118" s="908">
        <f t="shared" si="9"/>
        <v>194193.61000000002</v>
      </c>
      <c r="G118" s="907">
        <f t="shared" si="9"/>
        <v>6130.2</v>
      </c>
      <c r="H118" s="912"/>
      <c r="I118" s="913"/>
      <c r="J118" s="913"/>
      <c r="K118" s="913"/>
      <c r="L118" s="913"/>
      <c r="M118" s="914"/>
      <c r="N118" s="909">
        <v>39589.86</v>
      </c>
      <c r="O118" s="910">
        <v>0</v>
      </c>
      <c r="P118" s="910">
        <v>0</v>
      </c>
      <c r="Q118" s="910">
        <v>9897.44</v>
      </c>
      <c r="R118" s="910">
        <v>558</v>
      </c>
      <c r="S118" s="911">
        <v>50045.3</v>
      </c>
      <c r="T118" s="909">
        <v>31802.39</v>
      </c>
      <c r="U118" s="910">
        <v>0</v>
      </c>
      <c r="V118" s="910">
        <v>189.29</v>
      </c>
      <c r="W118" s="910">
        <v>5868.3</v>
      </c>
      <c r="X118" s="910">
        <v>265.02</v>
      </c>
      <c r="Y118" s="911">
        <v>38125</v>
      </c>
      <c r="Z118" s="915">
        <v>92561.22</v>
      </c>
      <c r="AA118" s="916">
        <v>0</v>
      </c>
      <c r="AB118" s="916">
        <v>0</v>
      </c>
      <c r="AC118" s="916">
        <v>23140.29</v>
      </c>
      <c r="AD118" s="916">
        <v>0</v>
      </c>
      <c r="AE118" s="917">
        <v>115701.51</v>
      </c>
      <c r="AF118" s="909">
        <v>37887.17</v>
      </c>
      <c r="AG118" s="910">
        <v>0</v>
      </c>
      <c r="AH118" s="910">
        <v>12393.72</v>
      </c>
      <c r="AI118" s="910">
        <v>9223.17</v>
      </c>
      <c r="AJ118" s="910">
        <v>5097.6499999999996</v>
      </c>
      <c r="AK118" s="911">
        <v>64601.71</v>
      </c>
      <c r="AL118" s="909">
        <v>40256.129999999997</v>
      </c>
      <c r="AM118" s="910">
        <v>0</v>
      </c>
      <c r="AN118" s="910">
        <v>10064.040000000001</v>
      </c>
      <c r="AO118" s="910">
        <v>0</v>
      </c>
      <c r="AP118" s="910">
        <v>0</v>
      </c>
      <c r="AQ118" s="911">
        <v>50320.17</v>
      </c>
      <c r="AR118" s="909">
        <v>36214.92</v>
      </c>
      <c r="AS118" s="910">
        <v>0</v>
      </c>
      <c r="AT118" s="910">
        <v>9053.75</v>
      </c>
      <c r="AU118" s="910">
        <v>0</v>
      </c>
      <c r="AV118" s="910">
        <v>0</v>
      </c>
      <c r="AW118" s="911">
        <v>45268.67</v>
      </c>
      <c r="AX118" s="912"/>
      <c r="AY118" s="913"/>
      <c r="AZ118" s="913"/>
      <c r="BA118" s="913"/>
      <c r="BB118" s="913"/>
      <c r="BC118" s="914"/>
      <c r="BD118" s="909">
        <v>386.69</v>
      </c>
      <c r="BE118" s="910">
        <v>0</v>
      </c>
      <c r="BF118" s="910">
        <v>4413.3100000000004</v>
      </c>
      <c r="BG118" s="910">
        <v>0</v>
      </c>
      <c r="BH118" s="910">
        <v>0</v>
      </c>
      <c r="BI118" s="911">
        <v>4800</v>
      </c>
      <c r="BJ118" s="909">
        <v>86936.2</v>
      </c>
      <c r="BK118" s="910">
        <v>0</v>
      </c>
      <c r="BL118" s="910">
        <v>11011.95</v>
      </c>
      <c r="BM118" s="910">
        <v>17966.82</v>
      </c>
      <c r="BN118" s="910">
        <v>60.03</v>
      </c>
      <c r="BO118" s="911">
        <v>115975</v>
      </c>
      <c r="BP118" s="909">
        <v>839770.52</v>
      </c>
      <c r="BQ118" s="910">
        <v>30316.01</v>
      </c>
      <c r="BR118" s="910">
        <v>704355.77</v>
      </c>
      <c r="BS118" s="910">
        <v>82865.41</v>
      </c>
      <c r="BT118" s="910">
        <v>-0.43</v>
      </c>
      <c r="BU118" s="911">
        <v>1657307.28</v>
      </c>
      <c r="BV118" s="909">
        <v>92783.38</v>
      </c>
      <c r="BW118" s="910">
        <v>0</v>
      </c>
      <c r="BX118" s="910">
        <v>42740.53</v>
      </c>
      <c r="BY118" s="910">
        <v>24859.43</v>
      </c>
      <c r="BZ118" s="910">
        <v>149.96</v>
      </c>
      <c r="CA118" s="911">
        <v>160533.29999999999</v>
      </c>
      <c r="CB118" s="909">
        <v>9087.64</v>
      </c>
      <c r="CC118" s="910">
        <v>0</v>
      </c>
      <c r="CD118" s="910">
        <v>0</v>
      </c>
      <c r="CE118" s="910">
        <v>15674.29</v>
      </c>
      <c r="CF118" s="910">
        <v>0</v>
      </c>
      <c r="CG118" s="911">
        <v>24761.93</v>
      </c>
      <c r="CH118" s="909">
        <v>288.61</v>
      </c>
      <c r="CI118" s="910">
        <v>0</v>
      </c>
      <c r="CJ118" s="910">
        <v>0</v>
      </c>
      <c r="CK118" s="910">
        <v>889.39</v>
      </c>
      <c r="CL118" s="910">
        <v>0</v>
      </c>
      <c r="CM118" s="911">
        <v>1178</v>
      </c>
      <c r="CN118" s="909">
        <v>39244.300000000003</v>
      </c>
      <c r="CO118" s="910">
        <v>0</v>
      </c>
      <c r="CP118" s="910">
        <v>0</v>
      </c>
      <c r="CQ118" s="910">
        <v>0</v>
      </c>
      <c r="CR118" s="910">
        <v>0</v>
      </c>
      <c r="CS118" s="911">
        <v>39244.300000000003</v>
      </c>
      <c r="CT118" s="909">
        <v>5472.92</v>
      </c>
      <c r="CU118" s="910">
        <v>0</v>
      </c>
      <c r="CV118" s="910">
        <v>4430.46</v>
      </c>
      <c r="CW118" s="910">
        <v>521.23</v>
      </c>
      <c r="CX118" s="910">
        <v>-0.01</v>
      </c>
      <c r="CY118" s="911">
        <v>10424.6</v>
      </c>
      <c r="CZ118" s="909">
        <v>560479.78</v>
      </c>
      <c r="DA118" s="910">
        <v>78163.77</v>
      </c>
      <c r="DB118" s="910">
        <v>0</v>
      </c>
      <c r="DC118" s="910">
        <v>0</v>
      </c>
      <c r="DD118" s="910">
        <v>-0.03</v>
      </c>
      <c r="DE118" s="911">
        <v>638643.52</v>
      </c>
      <c r="DF118" s="909">
        <v>8270.0300000000007</v>
      </c>
      <c r="DG118" s="910">
        <v>0</v>
      </c>
      <c r="DH118" s="910">
        <v>5706.35</v>
      </c>
      <c r="DI118" s="910">
        <v>2563.6799999999998</v>
      </c>
      <c r="DJ118" s="910">
        <v>0.01</v>
      </c>
      <c r="DK118" s="911">
        <v>16540.07</v>
      </c>
      <c r="DL118" s="909">
        <v>3924.46</v>
      </c>
      <c r="DM118" s="910">
        <v>0</v>
      </c>
      <c r="DN118" s="910">
        <v>23.36</v>
      </c>
      <c r="DO118" s="910">
        <v>724.16</v>
      </c>
      <c r="DP118" s="910">
        <v>0</v>
      </c>
      <c r="DQ118" s="911">
        <v>4671.9799999999996</v>
      </c>
      <c r="DR118" s="912"/>
      <c r="DS118" s="913"/>
      <c r="DT118" s="913"/>
      <c r="DU118" s="913"/>
      <c r="DV118" s="913"/>
      <c r="DW118" s="914"/>
    </row>
    <row r="119" spans="1:127">
      <c r="A119" s="1107" t="s">
        <v>193</v>
      </c>
      <c r="B119" s="904" t="s">
        <v>194</v>
      </c>
      <c r="C119" s="905">
        <f t="shared" si="10"/>
        <v>129125.98999999999</v>
      </c>
      <c r="D119" s="906">
        <f t="shared" si="8"/>
        <v>39623.35</v>
      </c>
      <c r="E119" s="907">
        <f t="shared" si="11"/>
        <v>22357.45</v>
      </c>
      <c r="F119" s="908">
        <f t="shared" si="9"/>
        <v>14120.720000000001</v>
      </c>
      <c r="G119" s="907">
        <f t="shared" si="9"/>
        <v>8236.73</v>
      </c>
      <c r="H119" s="912"/>
      <c r="I119" s="913"/>
      <c r="J119" s="913"/>
      <c r="K119" s="913"/>
      <c r="L119" s="913"/>
      <c r="M119" s="914"/>
      <c r="N119" s="909">
        <v>3378.96</v>
      </c>
      <c r="O119" s="910">
        <v>0</v>
      </c>
      <c r="P119" s="910">
        <v>0</v>
      </c>
      <c r="Q119" s="910">
        <v>844.74</v>
      </c>
      <c r="R119" s="910">
        <v>8145</v>
      </c>
      <c r="S119" s="911">
        <v>12368.7</v>
      </c>
      <c r="T119" s="909">
        <v>842</v>
      </c>
      <c r="U119" s="910">
        <v>0</v>
      </c>
      <c r="V119" s="910">
        <v>5.01</v>
      </c>
      <c r="W119" s="910">
        <v>155.37</v>
      </c>
      <c r="X119" s="910">
        <v>0</v>
      </c>
      <c r="Y119" s="911">
        <v>1002.38</v>
      </c>
      <c r="Z119" s="915">
        <v>5151.6400000000003</v>
      </c>
      <c r="AA119" s="916">
        <v>0</v>
      </c>
      <c r="AB119" s="916">
        <v>0</v>
      </c>
      <c r="AC119" s="916">
        <v>1287.92</v>
      </c>
      <c r="AD119" s="916">
        <v>0</v>
      </c>
      <c r="AE119" s="917">
        <v>6439.56</v>
      </c>
      <c r="AF119" s="912"/>
      <c r="AG119" s="913"/>
      <c r="AH119" s="913"/>
      <c r="AI119" s="913"/>
      <c r="AJ119" s="913"/>
      <c r="AK119" s="914"/>
      <c r="AL119" s="912"/>
      <c r="AM119" s="913"/>
      <c r="AN119" s="913"/>
      <c r="AO119" s="913"/>
      <c r="AP119" s="913"/>
      <c r="AQ119" s="914"/>
      <c r="AR119" s="912"/>
      <c r="AS119" s="913"/>
      <c r="AT119" s="913"/>
      <c r="AU119" s="913"/>
      <c r="AV119" s="913"/>
      <c r="AW119" s="914"/>
      <c r="AX119" s="912"/>
      <c r="AY119" s="913"/>
      <c r="AZ119" s="913"/>
      <c r="BA119" s="913"/>
      <c r="BB119" s="913"/>
      <c r="BC119" s="914"/>
      <c r="BD119" s="912"/>
      <c r="BE119" s="913"/>
      <c r="BF119" s="913"/>
      <c r="BG119" s="913"/>
      <c r="BH119" s="913"/>
      <c r="BI119" s="914"/>
      <c r="BJ119" s="909">
        <v>7684.3</v>
      </c>
      <c r="BK119" s="910">
        <v>0</v>
      </c>
      <c r="BL119" s="910">
        <v>973.35</v>
      </c>
      <c r="BM119" s="910">
        <v>1588.09</v>
      </c>
      <c r="BN119" s="910">
        <v>-0.01</v>
      </c>
      <c r="BO119" s="911">
        <v>10245.73</v>
      </c>
      <c r="BP119" s="909">
        <v>29500.68</v>
      </c>
      <c r="BQ119" s="910">
        <v>811.41</v>
      </c>
      <c r="BR119" s="910">
        <v>24538.37</v>
      </c>
      <c r="BS119" s="910">
        <v>2886.86</v>
      </c>
      <c r="BT119" s="910">
        <v>-0.12</v>
      </c>
      <c r="BU119" s="911">
        <v>57737.2</v>
      </c>
      <c r="BV119" s="909">
        <v>16799.57</v>
      </c>
      <c r="BW119" s="910">
        <v>0</v>
      </c>
      <c r="BX119" s="910">
        <v>10799.11</v>
      </c>
      <c r="BY119" s="910">
        <v>5062.5600000000004</v>
      </c>
      <c r="BZ119" s="910">
        <v>-0.25</v>
      </c>
      <c r="CA119" s="911">
        <v>32660.99</v>
      </c>
      <c r="CB119" s="909">
        <v>0</v>
      </c>
      <c r="CC119" s="910">
        <v>0</v>
      </c>
      <c r="CD119" s="910">
        <v>0</v>
      </c>
      <c r="CE119" s="910">
        <v>0</v>
      </c>
      <c r="CF119" s="910">
        <v>92.12</v>
      </c>
      <c r="CG119" s="911">
        <v>92.12</v>
      </c>
      <c r="CH119" s="912"/>
      <c r="CI119" s="913"/>
      <c r="CJ119" s="913"/>
      <c r="CK119" s="913"/>
      <c r="CL119" s="913"/>
      <c r="CM119" s="914"/>
      <c r="CN119" s="909">
        <v>7437</v>
      </c>
      <c r="CO119" s="910">
        <v>0</v>
      </c>
      <c r="CP119" s="910">
        <v>0</v>
      </c>
      <c r="CQ119" s="910">
        <v>0</v>
      </c>
      <c r="CR119" s="910">
        <v>0</v>
      </c>
      <c r="CS119" s="911">
        <v>7437</v>
      </c>
      <c r="CT119" s="909">
        <v>525.86</v>
      </c>
      <c r="CU119" s="910">
        <v>5.45</v>
      </c>
      <c r="CV119" s="910">
        <v>430.11</v>
      </c>
      <c r="CW119" s="910">
        <v>50.6</v>
      </c>
      <c r="CX119" s="910">
        <v>-0.02</v>
      </c>
      <c r="CY119" s="911">
        <v>1012</v>
      </c>
      <c r="CZ119" s="909">
        <v>38787.56</v>
      </c>
      <c r="DA119" s="910">
        <v>8842.36</v>
      </c>
      <c r="DB119" s="910">
        <v>0</v>
      </c>
      <c r="DC119" s="910">
        <v>0</v>
      </c>
      <c r="DD119" s="910">
        <v>0</v>
      </c>
      <c r="DE119" s="911">
        <v>47629.919999999998</v>
      </c>
      <c r="DF119" s="909">
        <v>4125</v>
      </c>
      <c r="DG119" s="910">
        <v>0</v>
      </c>
      <c r="DH119" s="910">
        <v>2846.25</v>
      </c>
      <c r="DI119" s="910">
        <v>1278.75</v>
      </c>
      <c r="DJ119" s="910">
        <v>0</v>
      </c>
      <c r="DK119" s="911">
        <v>8250</v>
      </c>
      <c r="DL119" s="909">
        <v>5234.2</v>
      </c>
      <c r="DM119" s="910">
        <v>0</v>
      </c>
      <c r="DN119" s="910">
        <v>31.15</v>
      </c>
      <c r="DO119" s="910">
        <v>965.83</v>
      </c>
      <c r="DP119" s="910">
        <v>0.01</v>
      </c>
      <c r="DQ119" s="911">
        <v>6231.19</v>
      </c>
      <c r="DR119" s="912"/>
      <c r="DS119" s="913"/>
      <c r="DT119" s="913"/>
      <c r="DU119" s="913"/>
      <c r="DV119" s="913"/>
      <c r="DW119" s="914"/>
    </row>
    <row r="120" spans="1:127">
      <c r="A120" s="1107" t="s">
        <v>197</v>
      </c>
      <c r="B120" s="904" t="s">
        <v>391</v>
      </c>
      <c r="C120" s="905">
        <f t="shared" si="10"/>
        <v>6779288.7199999997</v>
      </c>
      <c r="D120" s="906">
        <f t="shared" si="8"/>
        <v>2406649.44</v>
      </c>
      <c r="E120" s="907">
        <f t="shared" si="11"/>
        <v>455592.29</v>
      </c>
      <c r="F120" s="908">
        <f t="shared" si="9"/>
        <v>454833.67</v>
      </c>
      <c r="G120" s="907">
        <f t="shared" si="9"/>
        <v>758.62</v>
      </c>
      <c r="H120" s="912"/>
      <c r="I120" s="913"/>
      <c r="J120" s="913"/>
      <c r="K120" s="913"/>
      <c r="L120" s="913"/>
      <c r="M120" s="914"/>
      <c r="N120" s="909">
        <v>70821.36</v>
      </c>
      <c r="O120" s="910">
        <v>0</v>
      </c>
      <c r="P120" s="910">
        <v>0</v>
      </c>
      <c r="Q120" s="910">
        <v>17705.34</v>
      </c>
      <c r="R120" s="910">
        <v>-265.41000000000003</v>
      </c>
      <c r="S120" s="911">
        <v>88261.29</v>
      </c>
      <c r="T120" s="909">
        <v>26736.35</v>
      </c>
      <c r="U120" s="910">
        <v>0</v>
      </c>
      <c r="V120" s="910">
        <v>159.15</v>
      </c>
      <c r="W120" s="910">
        <v>4933.5</v>
      </c>
      <c r="X120" s="910">
        <v>-0.02</v>
      </c>
      <c r="Y120" s="911">
        <v>31828.98</v>
      </c>
      <c r="Z120" s="915">
        <v>269355.69</v>
      </c>
      <c r="AA120" s="916">
        <v>0</v>
      </c>
      <c r="AB120" s="916">
        <v>0</v>
      </c>
      <c r="AC120" s="916">
        <v>67338.92</v>
      </c>
      <c r="AD120" s="916">
        <v>0</v>
      </c>
      <c r="AE120" s="917">
        <v>336694.61</v>
      </c>
      <c r="AF120" s="909">
        <v>7026.25</v>
      </c>
      <c r="AG120" s="910">
        <v>0</v>
      </c>
      <c r="AH120" s="910">
        <v>4848.13</v>
      </c>
      <c r="AI120" s="910">
        <v>2178.16</v>
      </c>
      <c r="AJ120" s="910">
        <v>-0.04</v>
      </c>
      <c r="AK120" s="911">
        <v>14052.5</v>
      </c>
      <c r="AL120" s="909">
        <v>50957.79</v>
      </c>
      <c r="AM120" s="910">
        <v>0</v>
      </c>
      <c r="AN120" s="910">
        <v>12739.46</v>
      </c>
      <c r="AO120" s="910">
        <v>0</v>
      </c>
      <c r="AP120" s="910">
        <v>0</v>
      </c>
      <c r="AQ120" s="911">
        <v>63697.25</v>
      </c>
      <c r="AR120" s="909">
        <v>75779.149999999994</v>
      </c>
      <c r="AS120" s="910">
        <v>0</v>
      </c>
      <c r="AT120" s="910">
        <v>18944.79</v>
      </c>
      <c r="AU120" s="910">
        <v>0</v>
      </c>
      <c r="AV120" s="910">
        <v>0</v>
      </c>
      <c r="AW120" s="911">
        <v>94723.94</v>
      </c>
      <c r="AX120" s="912"/>
      <c r="AY120" s="913"/>
      <c r="AZ120" s="913"/>
      <c r="BA120" s="913"/>
      <c r="BB120" s="913"/>
      <c r="BC120" s="914"/>
      <c r="BD120" s="909">
        <v>1427.39</v>
      </c>
      <c r="BE120" s="910">
        <v>0</v>
      </c>
      <c r="BF120" s="910">
        <v>8452.61</v>
      </c>
      <c r="BG120" s="910">
        <v>0</v>
      </c>
      <c r="BH120" s="910">
        <v>0</v>
      </c>
      <c r="BI120" s="911">
        <v>9880</v>
      </c>
      <c r="BJ120" s="909">
        <v>113684.52</v>
      </c>
      <c r="BK120" s="910">
        <v>0</v>
      </c>
      <c r="BL120" s="910">
        <v>14400.06</v>
      </c>
      <c r="BM120" s="910">
        <v>23494.799999999999</v>
      </c>
      <c r="BN120" s="910">
        <v>-0.05</v>
      </c>
      <c r="BO120" s="911">
        <v>151579.32999999999</v>
      </c>
      <c r="BP120" s="909">
        <v>2652606.63</v>
      </c>
      <c r="BQ120" s="910">
        <v>89955.11</v>
      </c>
      <c r="BR120" s="910">
        <v>2220169.0699999998</v>
      </c>
      <c r="BS120" s="910">
        <v>261196.34</v>
      </c>
      <c r="BT120" s="910">
        <v>-0.42</v>
      </c>
      <c r="BU120" s="911">
        <v>5223926.7300000004</v>
      </c>
      <c r="BV120" s="909">
        <v>157611.51999999999</v>
      </c>
      <c r="BW120" s="910">
        <v>0</v>
      </c>
      <c r="BX120" s="910">
        <v>105551.92</v>
      </c>
      <c r="BY120" s="910">
        <v>48272.67</v>
      </c>
      <c r="BZ120" s="910">
        <v>-0.35</v>
      </c>
      <c r="CA120" s="911">
        <v>311435.76</v>
      </c>
      <c r="CB120" s="909">
        <v>9506.68</v>
      </c>
      <c r="CC120" s="910">
        <v>0</v>
      </c>
      <c r="CD120" s="910">
        <v>0</v>
      </c>
      <c r="CE120" s="910">
        <v>16397.05</v>
      </c>
      <c r="CF120" s="910">
        <v>0</v>
      </c>
      <c r="CG120" s="911">
        <v>25903.73</v>
      </c>
      <c r="CH120" s="912"/>
      <c r="CI120" s="913"/>
      <c r="CJ120" s="913"/>
      <c r="CK120" s="913"/>
      <c r="CL120" s="913"/>
      <c r="CM120" s="914"/>
      <c r="CN120" s="909">
        <v>73036</v>
      </c>
      <c r="CO120" s="910">
        <v>0</v>
      </c>
      <c r="CP120" s="910">
        <v>0</v>
      </c>
      <c r="CQ120" s="910">
        <v>0</v>
      </c>
      <c r="CR120" s="910">
        <v>0</v>
      </c>
      <c r="CS120" s="911">
        <v>73036</v>
      </c>
      <c r="CT120" s="912"/>
      <c r="CU120" s="913"/>
      <c r="CV120" s="913"/>
      <c r="CW120" s="913"/>
      <c r="CX120" s="913"/>
      <c r="CY120" s="914"/>
      <c r="CZ120" s="909">
        <v>2753678.98</v>
      </c>
      <c r="DA120" s="910">
        <v>375890.97</v>
      </c>
      <c r="DB120" s="910">
        <v>0</v>
      </c>
      <c r="DC120" s="910">
        <v>0</v>
      </c>
      <c r="DD120" s="910">
        <v>-0.03</v>
      </c>
      <c r="DE120" s="911">
        <v>3129569.92</v>
      </c>
      <c r="DF120" s="909">
        <v>30815.78</v>
      </c>
      <c r="DG120" s="910">
        <v>0</v>
      </c>
      <c r="DH120" s="910">
        <v>21262.84</v>
      </c>
      <c r="DI120" s="910">
        <v>9552.8799999999992</v>
      </c>
      <c r="DJ120" s="910">
        <v>0</v>
      </c>
      <c r="DK120" s="911">
        <v>61631.5</v>
      </c>
      <c r="DL120" s="909">
        <v>20398.55</v>
      </c>
      <c r="DM120" s="910">
        <v>0</v>
      </c>
      <c r="DN120" s="910">
        <v>121.41</v>
      </c>
      <c r="DO120" s="910">
        <v>3764.01</v>
      </c>
      <c r="DP120" s="910">
        <v>1024.94</v>
      </c>
      <c r="DQ120" s="911">
        <v>25308.91</v>
      </c>
      <c r="DR120" s="912"/>
      <c r="DS120" s="913"/>
      <c r="DT120" s="913"/>
      <c r="DU120" s="913"/>
      <c r="DV120" s="913"/>
      <c r="DW120" s="914"/>
    </row>
    <row r="121" spans="1:127">
      <c r="A121" s="1107" t="s">
        <v>201</v>
      </c>
      <c r="B121" s="904" t="s">
        <v>392</v>
      </c>
      <c r="C121" s="905">
        <f t="shared" si="10"/>
        <v>2706449.8499999996</v>
      </c>
      <c r="D121" s="906">
        <f t="shared" si="8"/>
        <v>1179489.4300000002</v>
      </c>
      <c r="E121" s="907">
        <f t="shared" si="11"/>
        <v>250836.74000000002</v>
      </c>
      <c r="F121" s="908">
        <f t="shared" si="9"/>
        <v>250837.57</v>
      </c>
      <c r="G121" s="907">
        <f t="shared" si="9"/>
        <v>-0.83000000000000007</v>
      </c>
      <c r="H121" s="912"/>
      <c r="I121" s="913"/>
      <c r="J121" s="913"/>
      <c r="K121" s="913"/>
      <c r="L121" s="913"/>
      <c r="M121" s="914"/>
      <c r="N121" s="909">
        <v>41419.160000000003</v>
      </c>
      <c r="O121" s="910">
        <v>0</v>
      </c>
      <c r="P121" s="910">
        <v>0</v>
      </c>
      <c r="Q121" s="910">
        <v>10354.790000000001</v>
      </c>
      <c r="R121" s="910">
        <v>0</v>
      </c>
      <c r="S121" s="911">
        <v>51773.95</v>
      </c>
      <c r="T121" s="909">
        <v>20637.11</v>
      </c>
      <c r="U121" s="910">
        <v>0</v>
      </c>
      <c r="V121" s="910">
        <v>122.84</v>
      </c>
      <c r="W121" s="910">
        <v>3808.04</v>
      </c>
      <c r="X121" s="910">
        <v>0</v>
      </c>
      <c r="Y121" s="911">
        <v>24567.99</v>
      </c>
      <c r="Z121" s="915">
        <v>68761.88</v>
      </c>
      <c r="AA121" s="916">
        <v>0</v>
      </c>
      <c r="AB121" s="916">
        <v>0</v>
      </c>
      <c r="AC121" s="916">
        <v>17190.47</v>
      </c>
      <c r="AD121" s="916">
        <v>0</v>
      </c>
      <c r="AE121" s="917">
        <v>85952.35</v>
      </c>
      <c r="AF121" s="909">
        <v>14818.41</v>
      </c>
      <c r="AG121" s="910">
        <v>0</v>
      </c>
      <c r="AH121" s="910">
        <v>2073.11</v>
      </c>
      <c r="AI121" s="910">
        <v>3098.46</v>
      </c>
      <c r="AJ121" s="910">
        <v>-0.03</v>
      </c>
      <c r="AK121" s="911">
        <v>19989.95</v>
      </c>
      <c r="AL121" s="909">
        <v>16901.599999999999</v>
      </c>
      <c r="AM121" s="910">
        <v>0</v>
      </c>
      <c r="AN121" s="910">
        <v>4225.3999999999996</v>
      </c>
      <c r="AO121" s="910">
        <v>0</v>
      </c>
      <c r="AP121" s="910">
        <v>0</v>
      </c>
      <c r="AQ121" s="911">
        <v>21127</v>
      </c>
      <c r="AR121" s="909">
        <v>42978.93</v>
      </c>
      <c r="AS121" s="910">
        <v>0</v>
      </c>
      <c r="AT121" s="910">
        <v>10744.74</v>
      </c>
      <c r="AU121" s="910">
        <v>0</v>
      </c>
      <c r="AV121" s="910">
        <v>0</v>
      </c>
      <c r="AW121" s="911">
        <v>53723.67</v>
      </c>
      <c r="AX121" s="912"/>
      <c r="AY121" s="913"/>
      <c r="AZ121" s="913"/>
      <c r="BA121" s="913"/>
      <c r="BB121" s="913"/>
      <c r="BC121" s="914"/>
      <c r="BD121" s="909">
        <v>1120.8800000000001</v>
      </c>
      <c r="BE121" s="910">
        <v>0</v>
      </c>
      <c r="BF121" s="910">
        <v>6114.12</v>
      </c>
      <c r="BG121" s="910">
        <v>0</v>
      </c>
      <c r="BH121" s="910">
        <v>0</v>
      </c>
      <c r="BI121" s="911">
        <v>7235</v>
      </c>
      <c r="BJ121" s="909">
        <v>55617.760000000002</v>
      </c>
      <c r="BK121" s="910">
        <v>0</v>
      </c>
      <c r="BL121" s="910">
        <v>7044.91</v>
      </c>
      <c r="BM121" s="910">
        <v>11494.32</v>
      </c>
      <c r="BN121" s="910">
        <v>-0.04</v>
      </c>
      <c r="BO121" s="911">
        <v>74156.95</v>
      </c>
      <c r="BP121" s="909">
        <v>1008371.85</v>
      </c>
      <c r="BQ121" s="910">
        <v>34219.919999999998</v>
      </c>
      <c r="BR121" s="910">
        <v>844002.93</v>
      </c>
      <c r="BS121" s="910">
        <v>99294.43</v>
      </c>
      <c r="BT121" s="910">
        <v>-0.54</v>
      </c>
      <c r="BU121" s="911">
        <v>1985888.59</v>
      </c>
      <c r="BV121" s="909">
        <v>262921.13</v>
      </c>
      <c r="BW121" s="910">
        <v>0</v>
      </c>
      <c r="BX121" s="910">
        <v>146365.12</v>
      </c>
      <c r="BY121" s="910">
        <v>75076.149999999994</v>
      </c>
      <c r="BZ121" s="910">
        <v>-0.04</v>
      </c>
      <c r="CA121" s="911">
        <v>484362.36</v>
      </c>
      <c r="CB121" s="909">
        <v>4130.38</v>
      </c>
      <c r="CC121" s="910">
        <v>0</v>
      </c>
      <c r="CD121" s="910">
        <v>0</v>
      </c>
      <c r="CE121" s="910">
        <v>7124.03</v>
      </c>
      <c r="CF121" s="910">
        <v>0</v>
      </c>
      <c r="CG121" s="911">
        <v>11254.41</v>
      </c>
      <c r="CH121" s="912"/>
      <c r="CI121" s="913"/>
      <c r="CJ121" s="913"/>
      <c r="CK121" s="913"/>
      <c r="CL121" s="913"/>
      <c r="CM121" s="914"/>
      <c r="CN121" s="909">
        <v>109251.94</v>
      </c>
      <c r="CO121" s="910">
        <v>0</v>
      </c>
      <c r="CP121" s="910">
        <v>0</v>
      </c>
      <c r="CQ121" s="910">
        <v>0</v>
      </c>
      <c r="CR121" s="910">
        <v>0</v>
      </c>
      <c r="CS121" s="911">
        <v>109251.94</v>
      </c>
      <c r="CT121" s="909">
        <v>179845</v>
      </c>
      <c r="CU121" s="910">
        <v>6006.41</v>
      </c>
      <c r="CV121" s="910">
        <v>150451.15</v>
      </c>
      <c r="CW121" s="910">
        <v>17700.13</v>
      </c>
      <c r="CX121" s="910">
        <v>-0.19</v>
      </c>
      <c r="CY121" s="911">
        <v>354002.5</v>
      </c>
      <c r="CZ121" s="909">
        <v>698740.99</v>
      </c>
      <c r="DA121" s="910">
        <v>117995.14</v>
      </c>
      <c r="DB121" s="910">
        <v>0</v>
      </c>
      <c r="DC121" s="910">
        <v>0</v>
      </c>
      <c r="DD121" s="910">
        <v>0</v>
      </c>
      <c r="DE121" s="911">
        <v>816736.13</v>
      </c>
      <c r="DF121" s="909">
        <v>12001.98</v>
      </c>
      <c r="DG121" s="910">
        <v>0</v>
      </c>
      <c r="DH121" s="910">
        <v>8281.36</v>
      </c>
      <c r="DI121" s="910">
        <v>3720.61</v>
      </c>
      <c r="DJ121" s="910">
        <v>0</v>
      </c>
      <c r="DK121" s="911">
        <v>24003.95</v>
      </c>
      <c r="DL121" s="909">
        <v>10709.38</v>
      </c>
      <c r="DM121" s="910">
        <v>0</v>
      </c>
      <c r="DN121" s="910">
        <v>63.75</v>
      </c>
      <c r="DO121" s="910">
        <v>1976.14</v>
      </c>
      <c r="DP121" s="910">
        <v>0.01</v>
      </c>
      <c r="DQ121" s="911">
        <v>12749.28</v>
      </c>
      <c r="DR121" s="912"/>
      <c r="DS121" s="913"/>
      <c r="DT121" s="913"/>
      <c r="DU121" s="913"/>
      <c r="DV121" s="913"/>
      <c r="DW121" s="914"/>
    </row>
    <row r="122" spans="1:127">
      <c r="A122" s="1107" t="s">
        <v>223</v>
      </c>
      <c r="B122" s="904" t="s">
        <v>224</v>
      </c>
      <c r="C122" s="905">
        <f t="shared" si="10"/>
        <v>761891.74</v>
      </c>
      <c r="D122" s="906">
        <f t="shared" si="8"/>
        <v>174445.59999999998</v>
      </c>
      <c r="E122" s="907">
        <f t="shared" si="11"/>
        <v>94920.739999999991</v>
      </c>
      <c r="F122" s="908">
        <f t="shared" si="9"/>
        <v>94921.409999999989</v>
      </c>
      <c r="G122" s="907">
        <f t="shared" si="9"/>
        <v>-0.67</v>
      </c>
      <c r="H122" s="912"/>
      <c r="I122" s="913"/>
      <c r="J122" s="913"/>
      <c r="K122" s="913"/>
      <c r="L122" s="913"/>
      <c r="M122" s="914"/>
      <c r="N122" s="909">
        <v>38561.58</v>
      </c>
      <c r="O122" s="910">
        <v>0</v>
      </c>
      <c r="P122" s="910">
        <v>0</v>
      </c>
      <c r="Q122" s="910">
        <v>9640.42</v>
      </c>
      <c r="R122" s="910">
        <v>0</v>
      </c>
      <c r="S122" s="911">
        <v>48202</v>
      </c>
      <c r="T122" s="909">
        <v>15283.8</v>
      </c>
      <c r="U122" s="910">
        <v>0</v>
      </c>
      <c r="V122" s="910">
        <v>90.98</v>
      </c>
      <c r="W122" s="910">
        <v>2820.22</v>
      </c>
      <c r="X122" s="910">
        <v>0</v>
      </c>
      <c r="Y122" s="911">
        <v>18195</v>
      </c>
      <c r="Z122" s="915">
        <v>104742.79</v>
      </c>
      <c r="AA122" s="916">
        <v>0</v>
      </c>
      <c r="AB122" s="916">
        <v>0</v>
      </c>
      <c r="AC122" s="916">
        <v>26185.73</v>
      </c>
      <c r="AD122" s="916">
        <v>0</v>
      </c>
      <c r="AE122" s="917">
        <v>130928.52</v>
      </c>
      <c r="AF122" s="912"/>
      <c r="AG122" s="913"/>
      <c r="AH122" s="913"/>
      <c r="AI122" s="913"/>
      <c r="AJ122" s="913"/>
      <c r="AK122" s="914"/>
      <c r="AL122" s="909">
        <v>4225.6000000000004</v>
      </c>
      <c r="AM122" s="910">
        <v>0</v>
      </c>
      <c r="AN122" s="910">
        <v>1056.4000000000001</v>
      </c>
      <c r="AO122" s="910">
        <v>0</v>
      </c>
      <c r="AP122" s="910">
        <v>0</v>
      </c>
      <c r="AQ122" s="911">
        <v>5282</v>
      </c>
      <c r="AR122" s="909">
        <v>9124.6299999999992</v>
      </c>
      <c r="AS122" s="910">
        <v>0</v>
      </c>
      <c r="AT122" s="910">
        <v>2281.17</v>
      </c>
      <c r="AU122" s="910">
        <v>0</v>
      </c>
      <c r="AV122" s="910">
        <v>0</v>
      </c>
      <c r="AW122" s="911">
        <v>11405.8</v>
      </c>
      <c r="AX122" s="912"/>
      <c r="AY122" s="913"/>
      <c r="AZ122" s="913"/>
      <c r="BA122" s="913"/>
      <c r="BB122" s="913"/>
      <c r="BC122" s="914"/>
      <c r="BD122" s="909">
        <v>35.64</v>
      </c>
      <c r="BE122" s="910">
        <v>0</v>
      </c>
      <c r="BF122" s="910">
        <v>289.36</v>
      </c>
      <c r="BG122" s="910">
        <v>0</v>
      </c>
      <c r="BH122" s="910">
        <v>0</v>
      </c>
      <c r="BI122" s="911">
        <v>325</v>
      </c>
      <c r="BJ122" s="909">
        <v>40986.769999999997</v>
      </c>
      <c r="BK122" s="910">
        <v>0</v>
      </c>
      <c r="BL122" s="910">
        <v>5191.63</v>
      </c>
      <c r="BM122" s="910">
        <v>8470.61</v>
      </c>
      <c r="BN122" s="910">
        <v>-0.01</v>
      </c>
      <c r="BO122" s="911">
        <v>54649</v>
      </c>
      <c r="BP122" s="909">
        <v>146417.81</v>
      </c>
      <c r="BQ122" s="910">
        <v>4836.8</v>
      </c>
      <c r="BR122" s="910">
        <v>122444.26</v>
      </c>
      <c r="BS122" s="910">
        <v>14405.18</v>
      </c>
      <c r="BT122" s="910">
        <v>-0.38</v>
      </c>
      <c r="BU122" s="911">
        <v>288103.67</v>
      </c>
      <c r="BV122" s="909">
        <v>59887.91</v>
      </c>
      <c r="BW122" s="910">
        <v>0</v>
      </c>
      <c r="BX122" s="910">
        <v>37114.93</v>
      </c>
      <c r="BY122" s="910">
        <v>17793.439999999999</v>
      </c>
      <c r="BZ122" s="910">
        <v>-0.26</v>
      </c>
      <c r="CA122" s="911">
        <v>114796.02</v>
      </c>
      <c r="CB122" s="909">
        <v>6536.13</v>
      </c>
      <c r="CC122" s="910">
        <v>0</v>
      </c>
      <c r="CD122" s="910">
        <v>0</v>
      </c>
      <c r="CE122" s="910">
        <v>11273.51</v>
      </c>
      <c r="CF122" s="910">
        <v>0</v>
      </c>
      <c r="CG122" s="911">
        <v>17809.64</v>
      </c>
      <c r="CH122" s="909">
        <v>68.58</v>
      </c>
      <c r="CI122" s="910">
        <v>0</v>
      </c>
      <c r="CJ122" s="910">
        <v>0</v>
      </c>
      <c r="CK122" s="910">
        <v>211.33</v>
      </c>
      <c r="CL122" s="910">
        <v>0</v>
      </c>
      <c r="CM122" s="911">
        <v>279.91000000000003</v>
      </c>
      <c r="CN122" s="909">
        <v>40517.1</v>
      </c>
      <c r="CO122" s="910">
        <v>0</v>
      </c>
      <c r="CP122" s="910">
        <v>0</v>
      </c>
      <c r="CQ122" s="910">
        <v>0</v>
      </c>
      <c r="CR122" s="910">
        <v>0</v>
      </c>
      <c r="CS122" s="911">
        <v>40517.1</v>
      </c>
      <c r="CT122" s="912"/>
      <c r="CU122" s="913"/>
      <c r="CV122" s="913"/>
      <c r="CW122" s="913"/>
      <c r="CX122" s="913"/>
      <c r="CY122" s="914"/>
      <c r="CZ122" s="909">
        <v>240536.85</v>
      </c>
      <c r="DA122" s="910">
        <v>33640.69</v>
      </c>
      <c r="DB122" s="910">
        <v>0</v>
      </c>
      <c r="DC122" s="910">
        <v>0</v>
      </c>
      <c r="DD122" s="910">
        <v>0</v>
      </c>
      <c r="DE122" s="911">
        <v>274177.53999999998</v>
      </c>
      <c r="DF122" s="909">
        <v>8594.01</v>
      </c>
      <c r="DG122" s="910">
        <v>0</v>
      </c>
      <c r="DH122" s="910">
        <v>5929.86</v>
      </c>
      <c r="DI122" s="910">
        <v>2664.14</v>
      </c>
      <c r="DJ122" s="910">
        <v>-0.01</v>
      </c>
      <c r="DK122" s="911">
        <v>17188</v>
      </c>
      <c r="DL122" s="909">
        <v>7895.05</v>
      </c>
      <c r="DM122" s="910">
        <v>0</v>
      </c>
      <c r="DN122" s="910">
        <v>47.01</v>
      </c>
      <c r="DO122" s="910">
        <v>1456.83</v>
      </c>
      <c r="DP122" s="910">
        <v>-0.01</v>
      </c>
      <c r="DQ122" s="911">
        <v>9398.8799999999992</v>
      </c>
      <c r="DR122" s="912"/>
      <c r="DS122" s="913"/>
      <c r="DT122" s="913"/>
      <c r="DU122" s="913"/>
      <c r="DV122" s="913"/>
      <c r="DW122" s="914"/>
    </row>
    <row r="123" spans="1:127">
      <c r="A123" s="1107" t="s">
        <v>231</v>
      </c>
      <c r="B123" s="904" t="s">
        <v>232</v>
      </c>
      <c r="C123" s="905">
        <f t="shared" si="10"/>
        <v>6215469.3000000007</v>
      </c>
      <c r="D123" s="906">
        <f t="shared" si="8"/>
        <v>1281319.6000000001</v>
      </c>
      <c r="E123" s="907">
        <f t="shared" si="11"/>
        <v>505018.83</v>
      </c>
      <c r="F123" s="908">
        <f t="shared" si="9"/>
        <v>342788.09</v>
      </c>
      <c r="G123" s="907">
        <f t="shared" si="9"/>
        <v>162230.74</v>
      </c>
      <c r="H123" s="912"/>
      <c r="I123" s="913"/>
      <c r="J123" s="913"/>
      <c r="K123" s="913"/>
      <c r="L123" s="913"/>
      <c r="M123" s="914"/>
      <c r="N123" s="909">
        <v>25753.78</v>
      </c>
      <c r="O123" s="910">
        <v>0</v>
      </c>
      <c r="P123" s="910">
        <v>0</v>
      </c>
      <c r="Q123" s="910">
        <v>6438.44</v>
      </c>
      <c r="R123" s="910">
        <v>2312.33</v>
      </c>
      <c r="S123" s="911">
        <v>34504.550000000003</v>
      </c>
      <c r="T123" s="912"/>
      <c r="U123" s="913"/>
      <c r="V123" s="913"/>
      <c r="W123" s="913"/>
      <c r="X123" s="913"/>
      <c r="Y123" s="914"/>
      <c r="Z123" s="915">
        <v>286434.09000000003</v>
      </c>
      <c r="AA123" s="916">
        <v>0</v>
      </c>
      <c r="AB123" s="916">
        <v>0</v>
      </c>
      <c r="AC123" s="916">
        <v>71608.490000000005</v>
      </c>
      <c r="AD123" s="916">
        <v>88162.06</v>
      </c>
      <c r="AE123" s="917">
        <v>446204.64</v>
      </c>
      <c r="AF123" s="909">
        <v>38618.67</v>
      </c>
      <c r="AG123" s="910">
        <v>0</v>
      </c>
      <c r="AH123" s="910">
        <v>4900.96</v>
      </c>
      <c r="AI123" s="910">
        <v>7982.9</v>
      </c>
      <c r="AJ123" s="910">
        <v>-0.05</v>
      </c>
      <c r="AK123" s="911">
        <v>51502.48</v>
      </c>
      <c r="AL123" s="909">
        <v>10563.2</v>
      </c>
      <c r="AM123" s="910">
        <v>0</v>
      </c>
      <c r="AN123" s="910">
        <v>2640.8</v>
      </c>
      <c r="AO123" s="910">
        <v>0</v>
      </c>
      <c r="AP123" s="910">
        <v>0</v>
      </c>
      <c r="AQ123" s="911">
        <v>13204</v>
      </c>
      <c r="AR123" s="909">
        <v>31565.98</v>
      </c>
      <c r="AS123" s="910">
        <v>0</v>
      </c>
      <c r="AT123" s="910">
        <v>7891.49</v>
      </c>
      <c r="AU123" s="910">
        <v>0</v>
      </c>
      <c r="AV123" s="910">
        <v>0</v>
      </c>
      <c r="AW123" s="911">
        <v>39457.47</v>
      </c>
      <c r="AX123" s="912"/>
      <c r="AY123" s="913"/>
      <c r="AZ123" s="913"/>
      <c r="BA123" s="913"/>
      <c r="BB123" s="913"/>
      <c r="BC123" s="914"/>
      <c r="BD123" s="909">
        <v>2013.65</v>
      </c>
      <c r="BE123" s="910">
        <v>0</v>
      </c>
      <c r="BF123" s="910">
        <v>13411.35</v>
      </c>
      <c r="BG123" s="910">
        <v>0</v>
      </c>
      <c r="BH123" s="910">
        <v>0</v>
      </c>
      <c r="BI123" s="911">
        <v>15425</v>
      </c>
      <c r="BJ123" s="909">
        <v>211772.88</v>
      </c>
      <c r="BK123" s="910">
        <v>0</v>
      </c>
      <c r="BL123" s="910">
        <v>26824.57</v>
      </c>
      <c r="BM123" s="910">
        <v>43766.39</v>
      </c>
      <c r="BN123" s="910">
        <v>-0.09</v>
      </c>
      <c r="BO123" s="911">
        <v>282363.75</v>
      </c>
      <c r="BP123" s="909">
        <v>1199728.6599999999</v>
      </c>
      <c r="BQ123" s="910">
        <v>34636.67</v>
      </c>
      <c r="BR123" s="910">
        <v>999248.15</v>
      </c>
      <c r="BS123" s="910">
        <v>117558.61</v>
      </c>
      <c r="BT123" s="910">
        <v>-0.28999999999999998</v>
      </c>
      <c r="BU123" s="911">
        <v>2351171.7999999998</v>
      </c>
      <c r="BV123" s="909">
        <v>86529.87</v>
      </c>
      <c r="BW123" s="910">
        <v>0</v>
      </c>
      <c r="BX123" s="910">
        <v>60956.23</v>
      </c>
      <c r="BY123" s="910">
        <v>27053.81</v>
      </c>
      <c r="BZ123" s="910">
        <v>32982.19</v>
      </c>
      <c r="CA123" s="911">
        <v>207522.1</v>
      </c>
      <c r="CB123" s="909">
        <v>21950.52</v>
      </c>
      <c r="CC123" s="910">
        <v>0</v>
      </c>
      <c r="CD123" s="910">
        <v>0</v>
      </c>
      <c r="CE123" s="910">
        <v>37860.239999999998</v>
      </c>
      <c r="CF123" s="910">
        <v>-0.02</v>
      </c>
      <c r="CG123" s="911">
        <v>59810.74</v>
      </c>
      <c r="CH123" s="912"/>
      <c r="CI123" s="913"/>
      <c r="CJ123" s="913"/>
      <c r="CK123" s="913"/>
      <c r="CL123" s="913"/>
      <c r="CM123" s="914"/>
      <c r="CN123" s="909">
        <v>31589.200000000001</v>
      </c>
      <c r="CO123" s="910">
        <v>0</v>
      </c>
      <c r="CP123" s="910">
        <v>0</v>
      </c>
      <c r="CQ123" s="910">
        <v>0</v>
      </c>
      <c r="CR123" s="910">
        <v>0</v>
      </c>
      <c r="CS123" s="911">
        <v>31589.200000000001</v>
      </c>
      <c r="CT123" s="909">
        <v>203932.32</v>
      </c>
      <c r="CU123" s="910">
        <v>0</v>
      </c>
      <c r="CV123" s="910">
        <v>165088.07</v>
      </c>
      <c r="CW123" s="910">
        <v>19422.13</v>
      </c>
      <c r="CX123" s="910">
        <v>-0.02</v>
      </c>
      <c r="CY123" s="911">
        <v>388442.5</v>
      </c>
      <c r="CZ123" s="909">
        <v>3410759.16</v>
      </c>
      <c r="DA123" s="910">
        <v>559481.69999999995</v>
      </c>
      <c r="DB123" s="910">
        <v>0</v>
      </c>
      <c r="DC123" s="910">
        <v>0</v>
      </c>
      <c r="DD123" s="910">
        <v>0</v>
      </c>
      <c r="DE123" s="911">
        <v>3970240.86</v>
      </c>
      <c r="DF123" s="912"/>
      <c r="DG123" s="913"/>
      <c r="DH123" s="913"/>
      <c r="DI123" s="913"/>
      <c r="DJ123" s="913"/>
      <c r="DK123" s="914"/>
      <c r="DL123" s="909">
        <v>60138.95</v>
      </c>
      <c r="DM123" s="910">
        <v>0</v>
      </c>
      <c r="DN123" s="910">
        <v>357.98</v>
      </c>
      <c r="DO123" s="910">
        <v>11097.08</v>
      </c>
      <c r="DP123" s="910">
        <v>38774.629999999997</v>
      </c>
      <c r="DQ123" s="911">
        <v>110368.64</v>
      </c>
      <c r="DR123" s="912"/>
      <c r="DS123" s="913"/>
      <c r="DT123" s="913"/>
      <c r="DU123" s="913"/>
      <c r="DV123" s="913"/>
      <c r="DW123" s="914"/>
    </row>
    <row r="124" spans="1:127">
      <c r="A124" s="1107" t="s">
        <v>239</v>
      </c>
      <c r="B124" s="904" t="s">
        <v>240</v>
      </c>
      <c r="C124" s="905">
        <f t="shared" si="10"/>
        <v>142977.13999999996</v>
      </c>
      <c r="D124" s="906">
        <f t="shared" si="8"/>
        <v>36842.110000000008</v>
      </c>
      <c r="E124" s="907">
        <f t="shared" si="11"/>
        <v>11895.109999999999</v>
      </c>
      <c r="F124" s="908">
        <f t="shared" si="9"/>
        <v>11424.63</v>
      </c>
      <c r="G124" s="907">
        <f t="shared" si="9"/>
        <v>470.48</v>
      </c>
      <c r="H124" s="912"/>
      <c r="I124" s="913"/>
      <c r="J124" s="913"/>
      <c r="K124" s="913"/>
      <c r="L124" s="913"/>
      <c r="M124" s="914"/>
      <c r="N124" s="909">
        <v>112</v>
      </c>
      <c r="O124" s="910">
        <v>0</v>
      </c>
      <c r="P124" s="910">
        <v>0</v>
      </c>
      <c r="Q124" s="910">
        <v>28</v>
      </c>
      <c r="R124" s="910">
        <v>0</v>
      </c>
      <c r="S124" s="911">
        <v>140</v>
      </c>
      <c r="T124" s="909">
        <v>628.32000000000005</v>
      </c>
      <c r="U124" s="910">
        <v>0</v>
      </c>
      <c r="V124" s="910">
        <v>3.76</v>
      </c>
      <c r="W124" s="910">
        <v>115.96</v>
      </c>
      <c r="X124" s="910">
        <v>470.76</v>
      </c>
      <c r="Y124" s="911">
        <v>1218.8</v>
      </c>
      <c r="Z124" s="915">
        <v>9289.6299999999992</v>
      </c>
      <c r="AA124" s="916">
        <v>0</v>
      </c>
      <c r="AB124" s="916">
        <v>0</v>
      </c>
      <c r="AC124" s="916">
        <v>2322.4299999999998</v>
      </c>
      <c r="AD124" s="916">
        <v>0</v>
      </c>
      <c r="AE124" s="917">
        <v>11612.06</v>
      </c>
      <c r="AF124" s="912"/>
      <c r="AG124" s="913"/>
      <c r="AH124" s="913"/>
      <c r="AI124" s="913"/>
      <c r="AJ124" s="913"/>
      <c r="AK124" s="914"/>
      <c r="AL124" s="912"/>
      <c r="AM124" s="913"/>
      <c r="AN124" s="913"/>
      <c r="AO124" s="913"/>
      <c r="AP124" s="913"/>
      <c r="AQ124" s="914"/>
      <c r="AR124" s="912"/>
      <c r="AS124" s="913"/>
      <c r="AT124" s="913"/>
      <c r="AU124" s="913"/>
      <c r="AV124" s="913"/>
      <c r="AW124" s="914"/>
      <c r="AX124" s="912"/>
      <c r="AY124" s="913"/>
      <c r="AZ124" s="913"/>
      <c r="BA124" s="913"/>
      <c r="BB124" s="913"/>
      <c r="BC124" s="914"/>
      <c r="BD124" s="912"/>
      <c r="BE124" s="913"/>
      <c r="BF124" s="913"/>
      <c r="BG124" s="913"/>
      <c r="BH124" s="913"/>
      <c r="BI124" s="914"/>
      <c r="BJ124" s="912"/>
      <c r="BK124" s="913"/>
      <c r="BL124" s="913"/>
      <c r="BM124" s="913"/>
      <c r="BN124" s="913"/>
      <c r="BO124" s="914"/>
      <c r="BP124" s="909">
        <v>32592.61</v>
      </c>
      <c r="BQ124" s="910">
        <v>1362.9</v>
      </c>
      <c r="BR124" s="910">
        <v>27487.81</v>
      </c>
      <c r="BS124" s="910">
        <v>3233.85</v>
      </c>
      <c r="BT124" s="910">
        <v>-0.17</v>
      </c>
      <c r="BU124" s="911">
        <v>64677</v>
      </c>
      <c r="BV124" s="909">
        <v>13269.93</v>
      </c>
      <c r="BW124" s="910">
        <v>0</v>
      </c>
      <c r="BX124" s="910">
        <v>9140.19</v>
      </c>
      <c r="BY124" s="910">
        <v>4110.75</v>
      </c>
      <c r="BZ124" s="910">
        <v>-0.08</v>
      </c>
      <c r="CA124" s="911">
        <v>26520.79</v>
      </c>
      <c r="CB124" s="912"/>
      <c r="CC124" s="913"/>
      <c r="CD124" s="913"/>
      <c r="CE124" s="913"/>
      <c r="CF124" s="913"/>
      <c r="CG124" s="914"/>
      <c r="CH124" s="912"/>
      <c r="CI124" s="913"/>
      <c r="CJ124" s="913"/>
      <c r="CK124" s="913"/>
      <c r="CL124" s="913"/>
      <c r="CM124" s="914"/>
      <c r="CN124" s="909">
        <v>56849.599999999999</v>
      </c>
      <c r="CO124" s="910">
        <v>0</v>
      </c>
      <c r="CP124" s="910">
        <v>0</v>
      </c>
      <c r="CQ124" s="910">
        <v>0</v>
      </c>
      <c r="CR124" s="910">
        <v>0</v>
      </c>
      <c r="CS124" s="911">
        <v>56849.599999999999</v>
      </c>
      <c r="CT124" s="912"/>
      <c r="CU124" s="913"/>
      <c r="CV124" s="913"/>
      <c r="CW124" s="913"/>
      <c r="CX124" s="913"/>
      <c r="CY124" s="914"/>
      <c r="CZ124" s="909">
        <v>16968.3</v>
      </c>
      <c r="DA124" s="910">
        <v>3317.3</v>
      </c>
      <c r="DB124" s="910">
        <v>0</v>
      </c>
      <c r="DC124" s="910">
        <v>0</v>
      </c>
      <c r="DD124" s="910">
        <v>0</v>
      </c>
      <c r="DE124" s="911">
        <v>20285.599999999999</v>
      </c>
      <c r="DF124" s="909">
        <v>232.78</v>
      </c>
      <c r="DG124" s="910">
        <v>0</v>
      </c>
      <c r="DH124" s="910">
        <v>160.62</v>
      </c>
      <c r="DI124" s="910">
        <v>72.16</v>
      </c>
      <c r="DJ124" s="910">
        <v>-0.01</v>
      </c>
      <c r="DK124" s="911">
        <v>465.55</v>
      </c>
      <c r="DL124" s="909">
        <v>8353.77</v>
      </c>
      <c r="DM124" s="910">
        <v>0</v>
      </c>
      <c r="DN124" s="910">
        <v>49.73</v>
      </c>
      <c r="DO124" s="910">
        <v>1541.48</v>
      </c>
      <c r="DP124" s="910">
        <v>-0.02</v>
      </c>
      <c r="DQ124" s="911">
        <v>9944.9599999999991</v>
      </c>
      <c r="DR124" s="912"/>
      <c r="DS124" s="913"/>
      <c r="DT124" s="913"/>
      <c r="DU124" s="913"/>
      <c r="DV124" s="913"/>
      <c r="DW124" s="914"/>
    </row>
    <row r="125" spans="1:127">
      <c r="A125" s="1107" t="s">
        <v>241</v>
      </c>
      <c r="B125" s="904" t="s">
        <v>242</v>
      </c>
      <c r="C125" s="905">
        <f t="shared" si="10"/>
        <v>416893.97000000003</v>
      </c>
      <c r="D125" s="906">
        <f t="shared" si="8"/>
        <v>172895.30000000002</v>
      </c>
      <c r="E125" s="907">
        <f t="shared" si="11"/>
        <v>70385.899999999994</v>
      </c>
      <c r="F125" s="908">
        <f t="shared" si="9"/>
        <v>38112.579999999994</v>
      </c>
      <c r="G125" s="907">
        <f t="shared" si="9"/>
        <v>32273.319999999996</v>
      </c>
      <c r="H125" s="912"/>
      <c r="I125" s="913"/>
      <c r="J125" s="913"/>
      <c r="K125" s="913"/>
      <c r="L125" s="913"/>
      <c r="M125" s="914"/>
      <c r="N125" s="909">
        <v>1123.18</v>
      </c>
      <c r="O125" s="910">
        <v>0</v>
      </c>
      <c r="P125" s="910">
        <v>0</v>
      </c>
      <c r="Q125" s="910">
        <v>280.8</v>
      </c>
      <c r="R125" s="910">
        <v>5593.68</v>
      </c>
      <c r="S125" s="911">
        <v>6997.66</v>
      </c>
      <c r="T125" s="909">
        <v>2898.72</v>
      </c>
      <c r="U125" s="910">
        <v>0</v>
      </c>
      <c r="V125" s="910">
        <v>17.260000000000002</v>
      </c>
      <c r="W125" s="910">
        <v>534.9</v>
      </c>
      <c r="X125" s="910">
        <v>-0.02</v>
      </c>
      <c r="Y125" s="911">
        <v>3450.86</v>
      </c>
      <c r="Z125" s="915">
        <v>7702.17</v>
      </c>
      <c r="AA125" s="916">
        <v>0</v>
      </c>
      <c r="AB125" s="916">
        <v>0</v>
      </c>
      <c r="AC125" s="916">
        <v>1925.54</v>
      </c>
      <c r="AD125" s="916">
        <v>0</v>
      </c>
      <c r="AE125" s="917">
        <v>9627.7099999999991</v>
      </c>
      <c r="AF125" s="912"/>
      <c r="AG125" s="913"/>
      <c r="AH125" s="913"/>
      <c r="AI125" s="913"/>
      <c r="AJ125" s="913"/>
      <c r="AK125" s="914"/>
      <c r="AL125" s="909">
        <v>3336.38</v>
      </c>
      <c r="AM125" s="910">
        <v>0</v>
      </c>
      <c r="AN125" s="910">
        <v>834.1</v>
      </c>
      <c r="AO125" s="910">
        <v>0</v>
      </c>
      <c r="AP125" s="910">
        <v>0</v>
      </c>
      <c r="AQ125" s="911">
        <v>4170.4799999999996</v>
      </c>
      <c r="AR125" s="909">
        <v>7922.23</v>
      </c>
      <c r="AS125" s="910">
        <v>0</v>
      </c>
      <c r="AT125" s="910">
        <v>1980.53</v>
      </c>
      <c r="AU125" s="910">
        <v>0</v>
      </c>
      <c r="AV125" s="910">
        <v>0</v>
      </c>
      <c r="AW125" s="911">
        <v>9902.76</v>
      </c>
      <c r="AX125" s="912"/>
      <c r="AY125" s="913"/>
      <c r="AZ125" s="913"/>
      <c r="BA125" s="913"/>
      <c r="BB125" s="913"/>
      <c r="BC125" s="914"/>
      <c r="BD125" s="909">
        <v>254.83</v>
      </c>
      <c r="BE125" s="910">
        <v>0</v>
      </c>
      <c r="BF125" s="910">
        <v>1240.17</v>
      </c>
      <c r="BG125" s="910">
        <v>0</v>
      </c>
      <c r="BH125" s="910">
        <v>0</v>
      </c>
      <c r="BI125" s="911">
        <v>1495</v>
      </c>
      <c r="BJ125" s="909">
        <v>16428.25</v>
      </c>
      <c r="BK125" s="910">
        <v>0</v>
      </c>
      <c r="BL125" s="910">
        <v>2080.9</v>
      </c>
      <c r="BM125" s="910">
        <v>3395.19</v>
      </c>
      <c r="BN125" s="910">
        <v>-0.02</v>
      </c>
      <c r="BO125" s="911">
        <v>21904.32</v>
      </c>
      <c r="BP125" s="909">
        <v>121339.22</v>
      </c>
      <c r="BQ125" s="910">
        <v>4065.16</v>
      </c>
      <c r="BR125" s="910">
        <v>101517.86</v>
      </c>
      <c r="BS125" s="910">
        <v>11943.28</v>
      </c>
      <c r="BT125" s="910">
        <v>-0.36</v>
      </c>
      <c r="BU125" s="911">
        <v>238865.16</v>
      </c>
      <c r="BV125" s="909">
        <v>45625.06</v>
      </c>
      <c r="BW125" s="910">
        <v>0</v>
      </c>
      <c r="BX125" s="910">
        <v>31458.5</v>
      </c>
      <c r="BY125" s="910">
        <v>14139.65</v>
      </c>
      <c r="BZ125" s="910">
        <v>166.57</v>
      </c>
      <c r="CA125" s="911">
        <v>91389.78</v>
      </c>
      <c r="CB125" s="909">
        <v>0</v>
      </c>
      <c r="CC125" s="910">
        <v>0</v>
      </c>
      <c r="CD125" s="910">
        <v>0</v>
      </c>
      <c r="CE125" s="910">
        <v>0</v>
      </c>
      <c r="CF125" s="910">
        <v>26513.53</v>
      </c>
      <c r="CG125" s="911">
        <v>26513.53</v>
      </c>
      <c r="CH125" s="912"/>
      <c r="CI125" s="913"/>
      <c r="CJ125" s="913"/>
      <c r="CK125" s="913"/>
      <c r="CL125" s="913"/>
      <c r="CM125" s="914"/>
      <c r="CN125" s="909">
        <v>24291.86</v>
      </c>
      <c r="CO125" s="910">
        <v>0</v>
      </c>
      <c r="CP125" s="910">
        <v>0</v>
      </c>
      <c r="CQ125" s="910">
        <v>0</v>
      </c>
      <c r="CR125" s="910">
        <v>0</v>
      </c>
      <c r="CS125" s="911">
        <v>24291.86</v>
      </c>
      <c r="CT125" s="909">
        <v>37621.08</v>
      </c>
      <c r="CU125" s="910">
        <v>100.14</v>
      </c>
      <c r="CV125" s="910">
        <v>30536.21</v>
      </c>
      <c r="CW125" s="910">
        <v>3592.49</v>
      </c>
      <c r="CX125" s="910">
        <v>-0.04</v>
      </c>
      <c r="CY125" s="911">
        <v>71849.88</v>
      </c>
      <c r="CZ125" s="909">
        <v>102922.18</v>
      </c>
      <c r="DA125" s="910">
        <v>31950.61</v>
      </c>
      <c r="DB125" s="910">
        <v>0</v>
      </c>
      <c r="DC125" s="910">
        <v>0</v>
      </c>
      <c r="DD125" s="910">
        <v>0</v>
      </c>
      <c r="DE125" s="911">
        <v>134872.79</v>
      </c>
      <c r="DF125" s="909">
        <v>4640.51</v>
      </c>
      <c r="DG125" s="910">
        <v>0</v>
      </c>
      <c r="DH125" s="910">
        <v>3201.95</v>
      </c>
      <c r="DI125" s="910">
        <v>1438.56</v>
      </c>
      <c r="DJ125" s="910">
        <v>-0.02</v>
      </c>
      <c r="DK125" s="911">
        <v>9281</v>
      </c>
      <c r="DL125" s="909">
        <v>4672.3900000000003</v>
      </c>
      <c r="DM125" s="910">
        <v>0</v>
      </c>
      <c r="DN125" s="910">
        <v>27.82</v>
      </c>
      <c r="DO125" s="910">
        <v>862.17</v>
      </c>
      <c r="DP125" s="910">
        <v>0</v>
      </c>
      <c r="DQ125" s="911">
        <v>5562.38</v>
      </c>
      <c r="DR125" s="912"/>
      <c r="DS125" s="913"/>
      <c r="DT125" s="913"/>
      <c r="DU125" s="913"/>
      <c r="DV125" s="913"/>
      <c r="DW125" s="914"/>
    </row>
    <row r="127" spans="1:127" s="538" customFormat="1">
      <c r="A127" s="538" t="s">
        <v>1026</v>
      </c>
      <c r="B127" s="836"/>
      <c r="C127" s="540"/>
    </row>
    <row r="128" spans="1:127" s="538" customFormat="1"/>
    <row r="129" spans="1:2" s="519" customFormat="1">
      <c r="A129" s="519" t="s">
        <v>250</v>
      </c>
    </row>
    <row r="130" spans="1:2">
      <c r="A130" s="536" t="s">
        <v>251</v>
      </c>
      <c r="B130" s="407" t="s">
        <v>252</v>
      </c>
    </row>
  </sheetData>
  <hyperlinks>
    <hyperlink ref="B130" r:id="rId1"/>
  </hyperlinks>
  <pageMargins left="0.7" right="0.7" top="0.75" bottom="0.75" header="0.3" footer="0.3"/>
  <pageSetup orientation="portrait" r:id="rId2"/>
</worksheet>
</file>

<file path=xl/worksheets/sheet27.xml><?xml version="1.0" encoding="utf-8"?>
<worksheet xmlns="http://schemas.openxmlformats.org/spreadsheetml/2006/main" xmlns:r="http://schemas.openxmlformats.org/officeDocument/2006/relationships">
  <dimension ref="A1:L129"/>
  <sheetViews>
    <sheetView workbookViewId="0">
      <pane ySplit="3" topLeftCell="A4" activePane="bottomLeft" state="frozen"/>
      <selection pane="bottomLeft" activeCell="J43" sqref="J43"/>
    </sheetView>
  </sheetViews>
  <sheetFormatPr defaultRowHeight="12.75"/>
  <cols>
    <col min="1" max="1" width="8" style="654" customWidth="1"/>
    <col min="2" max="2" width="24.5" style="654" customWidth="1"/>
    <col min="3" max="3" width="17.25" style="654" customWidth="1"/>
    <col min="4" max="6" width="13.5" style="654" bestFit="1" customWidth="1"/>
    <col min="7" max="7" width="14.5" style="654" bestFit="1" customWidth="1"/>
    <col min="8" max="8" width="12.375" style="654" bestFit="1" customWidth="1"/>
    <col min="9" max="11" width="13.5" style="654" bestFit="1" customWidth="1"/>
    <col min="12" max="12" width="9.875" style="654" bestFit="1" customWidth="1"/>
    <col min="13" max="16384" width="9" style="654"/>
  </cols>
  <sheetData>
    <row r="1" spans="1:12" ht="15.75">
      <c r="A1" s="944" t="s">
        <v>1098</v>
      </c>
      <c r="B1" s="931"/>
      <c r="C1" s="933"/>
    </row>
    <row r="2" spans="1:12">
      <c r="A2" s="933"/>
      <c r="B2" s="933"/>
      <c r="C2" s="933"/>
      <c r="D2" s="934"/>
      <c r="E2" s="934"/>
      <c r="F2" s="934"/>
      <c r="G2" s="934"/>
      <c r="H2" s="934"/>
      <c r="I2" s="934"/>
      <c r="J2" s="934"/>
      <c r="K2" s="934"/>
    </row>
    <row r="3" spans="1:12" ht="24.75" customHeight="1">
      <c r="A3" s="1105" t="s">
        <v>372</v>
      </c>
      <c r="B3" s="935" t="s">
        <v>373</v>
      </c>
      <c r="C3" s="942" t="s">
        <v>1033</v>
      </c>
      <c r="D3" s="935" t="s">
        <v>393</v>
      </c>
      <c r="E3" s="935" t="s">
        <v>394</v>
      </c>
      <c r="F3" s="936" t="s">
        <v>857</v>
      </c>
      <c r="G3" s="936" t="s">
        <v>858</v>
      </c>
      <c r="H3" s="936" t="s">
        <v>859</v>
      </c>
      <c r="I3" s="936" t="s">
        <v>860</v>
      </c>
      <c r="J3" s="936" t="s">
        <v>557</v>
      </c>
      <c r="K3" s="936" t="s">
        <v>856</v>
      </c>
    </row>
    <row r="4" spans="1:12">
      <c r="A4" s="1106">
        <v>999</v>
      </c>
      <c r="B4" s="941" t="s">
        <v>9</v>
      </c>
      <c r="C4" s="1108">
        <f>F4+I4</f>
        <v>6012301944.250001</v>
      </c>
      <c r="D4" s="1109">
        <f t="shared" ref="D4:K4" si="0">SUM(D5:D124)</f>
        <v>3602035720.4246492</v>
      </c>
      <c r="E4" s="1109">
        <f t="shared" si="0"/>
        <v>2410266223.8253508</v>
      </c>
      <c r="F4" s="1109">
        <f t="shared" si="0"/>
        <v>228548762.05999991</v>
      </c>
      <c r="G4" s="1109">
        <f t="shared" si="0"/>
        <v>148556695.33900002</v>
      </c>
      <c r="H4" s="1109">
        <f t="shared" si="0"/>
        <v>79992066.720999986</v>
      </c>
      <c r="I4" s="1109">
        <f t="shared" si="0"/>
        <v>5783753182.1900015</v>
      </c>
      <c r="J4" s="1109">
        <f t="shared" si="0"/>
        <v>3453479025.0856495</v>
      </c>
      <c r="K4" s="1109">
        <f t="shared" si="0"/>
        <v>2330274157.1043506</v>
      </c>
    </row>
    <row r="5" spans="1:12">
      <c r="A5" s="1107" t="s">
        <v>10</v>
      </c>
      <c r="B5" s="937" t="s">
        <v>11</v>
      </c>
      <c r="C5" s="943">
        <f t="shared" ref="C5:C68" si="1">F5+I5</f>
        <v>42085565.969999999</v>
      </c>
      <c r="D5" s="932">
        <f t="shared" ref="D5:E36" si="2">+G5+J5</f>
        <v>25220849.999455996</v>
      </c>
      <c r="E5" s="932">
        <f t="shared" si="2"/>
        <v>16864715.970543999</v>
      </c>
      <c r="F5" s="938">
        <v>1730785.61</v>
      </c>
      <c r="G5" s="938">
        <v>1125010.6465</v>
      </c>
      <c r="H5" s="938">
        <v>605774.96349999995</v>
      </c>
      <c r="I5" s="939">
        <v>40354780.359999999</v>
      </c>
      <c r="J5" s="940">
        <v>24095839.352955997</v>
      </c>
      <c r="K5" s="940">
        <v>16258941.007043999</v>
      </c>
      <c r="L5" s="844"/>
    </row>
    <row r="6" spans="1:12">
      <c r="A6" s="1107" t="s">
        <v>12</v>
      </c>
      <c r="B6" s="937" t="s">
        <v>13</v>
      </c>
      <c r="C6" s="943">
        <f t="shared" si="1"/>
        <v>46336742.109999999</v>
      </c>
      <c r="D6" s="932">
        <f t="shared" si="2"/>
        <v>27797650.335430998</v>
      </c>
      <c r="E6" s="932">
        <f t="shared" si="2"/>
        <v>18539091.774568997</v>
      </c>
      <c r="F6" s="938">
        <v>2457119.5</v>
      </c>
      <c r="G6" s="938">
        <v>1597127.675</v>
      </c>
      <c r="H6" s="938">
        <v>859991.82499999995</v>
      </c>
      <c r="I6" s="939">
        <v>43879622.609999999</v>
      </c>
      <c r="J6" s="940">
        <v>26200522.660430998</v>
      </c>
      <c r="K6" s="940">
        <v>17679099.949568998</v>
      </c>
    </row>
    <row r="7" spans="1:12">
      <c r="A7" s="1107" t="s">
        <v>16</v>
      </c>
      <c r="B7" s="937" t="s">
        <v>364</v>
      </c>
      <c r="C7" s="943">
        <f t="shared" si="1"/>
        <v>23796944.449999999</v>
      </c>
      <c r="D7" s="932">
        <f t="shared" si="2"/>
        <v>14244875.46524</v>
      </c>
      <c r="E7" s="932">
        <f t="shared" si="2"/>
        <v>9552068.9847599994</v>
      </c>
      <c r="F7" s="938">
        <v>675235.05</v>
      </c>
      <c r="G7" s="938">
        <v>438902.78249999997</v>
      </c>
      <c r="H7" s="938">
        <v>236332.26749999999</v>
      </c>
      <c r="I7" s="939">
        <v>23121709.399999999</v>
      </c>
      <c r="J7" s="940">
        <v>13805972.682739999</v>
      </c>
      <c r="K7" s="940">
        <v>9315736.7172599994</v>
      </c>
    </row>
    <row r="8" spans="1:12">
      <c r="A8" s="1107" t="s">
        <v>18</v>
      </c>
      <c r="B8" s="937" t="s">
        <v>19</v>
      </c>
      <c r="C8" s="943">
        <f t="shared" si="1"/>
        <v>12932169.609999999</v>
      </c>
      <c r="D8" s="932">
        <f t="shared" si="2"/>
        <v>7744981.0897609992</v>
      </c>
      <c r="E8" s="932">
        <f t="shared" si="2"/>
        <v>5187188.5202389993</v>
      </c>
      <c r="F8" s="938">
        <v>438234.7</v>
      </c>
      <c r="G8" s="938">
        <v>284852.55499999999</v>
      </c>
      <c r="H8" s="938">
        <v>153382.14499999999</v>
      </c>
      <c r="I8" s="939">
        <v>12493934.91</v>
      </c>
      <c r="J8" s="940">
        <v>7460128.5347609995</v>
      </c>
      <c r="K8" s="940">
        <v>5033806.3752389997</v>
      </c>
    </row>
    <row r="9" spans="1:12">
      <c r="A9" s="1107" t="s">
        <v>20</v>
      </c>
      <c r="B9" s="937" t="s">
        <v>21</v>
      </c>
      <c r="C9" s="943">
        <f t="shared" si="1"/>
        <v>34203716.780000001</v>
      </c>
      <c r="D9" s="932">
        <f t="shared" si="2"/>
        <v>20495240.357416999</v>
      </c>
      <c r="E9" s="932">
        <f t="shared" si="2"/>
        <v>13708476.422583001</v>
      </c>
      <c r="F9" s="938">
        <v>1364859.51</v>
      </c>
      <c r="G9" s="938">
        <v>887158.68149999995</v>
      </c>
      <c r="H9" s="938">
        <v>477700.8285</v>
      </c>
      <c r="I9" s="939">
        <v>32838857.27</v>
      </c>
      <c r="J9" s="940">
        <v>19608081.675917</v>
      </c>
      <c r="K9" s="940">
        <v>13230775.594083</v>
      </c>
    </row>
    <row r="10" spans="1:12">
      <c r="A10" s="1107" t="s">
        <v>22</v>
      </c>
      <c r="B10" s="937" t="s">
        <v>23</v>
      </c>
      <c r="C10" s="943">
        <f t="shared" si="1"/>
        <v>18144010.989999998</v>
      </c>
      <c r="D10" s="932">
        <f t="shared" si="2"/>
        <v>10874177.78362</v>
      </c>
      <c r="E10" s="932">
        <f t="shared" si="2"/>
        <v>7269833.2063799994</v>
      </c>
      <c r="F10" s="938">
        <v>763493.79</v>
      </c>
      <c r="G10" s="938">
        <v>496270.96350000001</v>
      </c>
      <c r="H10" s="938">
        <v>267222.82650000002</v>
      </c>
      <c r="I10" s="939">
        <v>17380517.199999999</v>
      </c>
      <c r="J10" s="940">
        <v>10377906.820119999</v>
      </c>
      <c r="K10" s="940">
        <v>7002610.379879999</v>
      </c>
    </row>
    <row r="11" spans="1:12">
      <c r="A11" s="1107" t="s">
        <v>24</v>
      </c>
      <c r="B11" s="937" t="s">
        <v>25</v>
      </c>
      <c r="C11" s="943">
        <f t="shared" si="1"/>
        <v>75300677.109999999</v>
      </c>
      <c r="D11" s="932">
        <f t="shared" si="2"/>
        <v>45182038.343404993</v>
      </c>
      <c r="E11" s="932">
        <f t="shared" si="2"/>
        <v>30118638.766594999</v>
      </c>
      <c r="F11" s="938">
        <v>4158866.56</v>
      </c>
      <c r="G11" s="938">
        <v>2703263.264</v>
      </c>
      <c r="H11" s="938">
        <v>1455603.2960000001</v>
      </c>
      <c r="I11" s="939">
        <v>71141810.549999997</v>
      </c>
      <c r="J11" s="940">
        <v>42478775.079404995</v>
      </c>
      <c r="K11" s="940">
        <v>28663035.470594998</v>
      </c>
    </row>
    <row r="12" spans="1:12">
      <c r="A12" s="1107" t="s">
        <v>26</v>
      </c>
      <c r="B12" s="937" t="s">
        <v>1114</v>
      </c>
      <c r="C12" s="943">
        <f t="shared" si="1"/>
        <v>96314983.379999995</v>
      </c>
      <c r="D12" s="932">
        <f t="shared" si="2"/>
        <v>57704191.142623991</v>
      </c>
      <c r="E12" s="932">
        <f t="shared" si="2"/>
        <v>38610792.237375997</v>
      </c>
      <c r="F12" s="938">
        <v>3677023.94</v>
      </c>
      <c r="G12" s="938">
        <v>2390065.5610000002</v>
      </c>
      <c r="H12" s="938">
        <v>1286958.379</v>
      </c>
      <c r="I12" s="939">
        <v>92637959.439999998</v>
      </c>
      <c r="J12" s="940">
        <v>55314125.581623994</v>
      </c>
      <c r="K12" s="940">
        <v>37323833.858375996</v>
      </c>
    </row>
    <row r="13" spans="1:12">
      <c r="A13" s="1107" t="s">
        <v>27</v>
      </c>
      <c r="B13" s="937" t="s">
        <v>28</v>
      </c>
      <c r="C13" s="943">
        <f t="shared" si="1"/>
        <v>3274399.46</v>
      </c>
      <c r="D13" s="932">
        <f t="shared" si="2"/>
        <v>1963727.7085579999</v>
      </c>
      <c r="E13" s="932">
        <f t="shared" si="2"/>
        <v>1310671.7514419998</v>
      </c>
      <c r="F13" s="938">
        <v>162264.48000000001</v>
      </c>
      <c r="G13" s="938">
        <v>105471.912</v>
      </c>
      <c r="H13" s="938">
        <v>56792.567999999999</v>
      </c>
      <c r="I13" s="939">
        <v>3112134.98</v>
      </c>
      <c r="J13" s="940">
        <v>1858255.7965579999</v>
      </c>
      <c r="K13" s="940">
        <v>1253879.1834419998</v>
      </c>
    </row>
    <row r="14" spans="1:12">
      <c r="A14" s="1107" t="s">
        <v>29</v>
      </c>
      <c r="B14" s="937" t="s">
        <v>386</v>
      </c>
      <c r="C14" s="943">
        <f t="shared" si="1"/>
        <v>51269353.789999999</v>
      </c>
      <c r="D14" s="932">
        <f t="shared" si="2"/>
        <v>30715420.887130998</v>
      </c>
      <c r="E14" s="932">
        <f t="shared" si="2"/>
        <v>20553932.902868997</v>
      </c>
      <c r="F14" s="938">
        <v>1937424.18</v>
      </c>
      <c r="G14" s="938">
        <v>1259325.7169999999</v>
      </c>
      <c r="H14" s="938">
        <v>678098.46299999999</v>
      </c>
      <c r="I14" s="939">
        <v>49331929.609999999</v>
      </c>
      <c r="J14" s="940">
        <v>29456095.170130998</v>
      </c>
      <c r="K14" s="940">
        <v>19875834.439868998</v>
      </c>
    </row>
    <row r="15" spans="1:12">
      <c r="A15" s="1107" t="s">
        <v>31</v>
      </c>
      <c r="B15" s="937" t="s">
        <v>32</v>
      </c>
      <c r="C15" s="943">
        <f t="shared" si="1"/>
        <v>4801302.16</v>
      </c>
      <c r="D15" s="932">
        <f t="shared" si="2"/>
        <v>2873731.8482859996</v>
      </c>
      <c r="E15" s="932">
        <f t="shared" si="2"/>
        <v>1927570.3117139998</v>
      </c>
      <c r="F15" s="938">
        <v>129949.5</v>
      </c>
      <c r="G15" s="938">
        <v>84467.175000000003</v>
      </c>
      <c r="H15" s="938">
        <v>45482.324999999997</v>
      </c>
      <c r="I15" s="939">
        <v>4671352.66</v>
      </c>
      <c r="J15" s="940">
        <v>2789264.6732859998</v>
      </c>
      <c r="K15" s="940">
        <v>1882087.9867139999</v>
      </c>
    </row>
    <row r="16" spans="1:12">
      <c r="A16" s="1107" t="s">
        <v>33</v>
      </c>
      <c r="B16" s="937" t="s">
        <v>34</v>
      </c>
      <c r="C16" s="943">
        <f t="shared" si="1"/>
        <v>16001522.189999999</v>
      </c>
      <c r="D16" s="932">
        <f t="shared" si="2"/>
        <v>9590796.2465999983</v>
      </c>
      <c r="E16" s="932">
        <f t="shared" si="2"/>
        <v>6410725.9434000002</v>
      </c>
      <c r="F16" s="938">
        <v>685961.19</v>
      </c>
      <c r="G16" s="938">
        <v>445874.77350000001</v>
      </c>
      <c r="H16" s="938">
        <v>240086.41649999999</v>
      </c>
      <c r="I16" s="939">
        <v>15315561</v>
      </c>
      <c r="J16" s="940">
        <v>9144921.4730999991</v>
      </c>
      <c r="K16" s="940">
        <v>6170639.5268999999</v>
      </c>
    </row>
    <row r="17" spans="1:11">
      <c r="A17" s="1107" t="s">
        <v>37</v>
      </c>
      <c r="B17" s="937" t="s">
        <v>38</v>
      </c>
      <c r="C17" s="943">
        <f t="shared" si="1"/>
        <v>24005195.039999999</v>
      </c>
      <c r="D17" s="932">
        <f t="shared" si="2"/>
        <v>14360360.568564</v>
      </c>
      <c r="E17" s="932">
        <f t="shared" si="2"/>
        <v>9644834.4714359995</v>
      </c>
      <c r="F17" s="938">
        <v>507724.2</v>
      </c>
      <c r="G17" s="938">
        <v>330020.73</v>
      </c>
      <c r="H17" s="938">
        <v>177703.47</v>
      </c>
      <c r="I17" s="939">
        <v>23497470.84</v>
      </c>
      <c r="J17" s="940">
        <v>14030339.838563999</v>
      </c>
      <c r="K17" s="940">
        <v>9467131.0014359988</v>
      </c>
    </row>
    <row r="18" spans="1:11">
      <c r="A18" s="1107" t="s">
        <v>39</v>
      </c>
      <c r="B18" s="937" t="s">
        <v>40</v>
      </c>
      <c r="C18" s="943">
        <f t="shared" si="1"/>
        <v>27501450.859999999</v>
      </c>
      <c r="D18" s="932">
        <f t="shared" si="2"/>
        <v>16484349.390878998</v>
      </c>
      <c r="E18" s="932">
        <f t="shared" si="2"/>
        <v>11017101.469120998</v>
      </c>
      <c r="F18" s="938">
        <v>1195332.3700000001</v>
      </c>
      <c r="G18" s="938">
        <v>776966.0405</v>
      </c>
      <c r="H18" s="938">
        <v>418366.32949999999</v>
      </c>
      <c r="I18" s="939">
        <v>26306118.489999998</v>
      </c>
      <c r="J18" s="940">
        <v>15707383.350378998</v>
      </c>
      <c r="K18" s="940">
        <v>10598735.139620999</v>
      </c>
    </row>
    <row r="19" spans="1:11">
      <c r="A19" s="1107" t="s">
        <v>41</v>
      </c>
      <c r="B19" s="937" t="s">
        <v>42</v>
      </c>
      <c r="C19" s="943">
        <f t="shared" si="1"/>
        <v>18072611.919999998</v>
      </c>
      <c r="D19" s="932">
        <f t="shared" si="2"/>
        <v>10842709.566217</v>
      </c>
      <c r="E19" s="932">
        <f t="shared" si="2"/>
        <v>7229902.3537829993</v>
      </c>
      <c r="F19" s="938">
        <v>974536.65</v>
      </c>
      <c r="G19" s="938">
        <v>633448.82250000001</v>
      </c>
      <c r="H19" s="938">
        <v>341087.82750000001</v>
      </c>
      <c r="I19" s="939">
        <v>17098075.27</v>
      </c>
      <c r="J19" s="940">
        <v>10209260.743717</v>
      </c>
      <c r="K19" s="940">
        <v>6888814.5262829997</v>
      </c>
    </row>
    <row r="20" spans="1:11">
      <c r="A20" s="1107" t="s">
        <v>43</v>
      </c>
      <c r="B20" s="937" t="s">
        <v>44</v>
      </c>
      <c r="C20" s="943">
        <f t="shared" si="1"/>
        <v>55408265.670000002</v>
      </c>
      <c r="D20" s="932">
        <f t="shared" si="2"/>
        <v>33193043.925636996</v>
      </c>
      <c r="E20" s="932">
        <f t="shared" si="2"/>
        <v>22215221.744362999</v>
      </c>
      <c r="F20" s="938">
        <v>2056115.2</v>
      </c>
      <c r="G20" s="938">
        <v>1336474.8799999999</v>
      </c>
      <c r="H20" s="938">
        <v>719640.32</v>
      </c>
      <c r="I20" s="939">
        <v>53352150.469999999</v>
      </c>
      <c r="J20" s="940">
        <v>31856569.045636997</v>
      </c>
      <c r="K20" s="940">
        <v>21495581.424362998</v>
      </c>
    </row>
    <row r="21" spans="1:11">
      <c r="A21" s="1107" t="s">
        <v>45</v>
      </c>
      <c r="B21" s="937" t="s">
        <v>46</v>
      </c>
      <c r="C21" s="943">
        <f t="shared" si="1"/>
        <v>24762265.049999997</v>
      </c>
      <c r="D21" s="932">
        <f t="shared" si="2"/>
        <v>14846929.969667997</v>
      </c>
      <c r="E21" s="932">
        <f t="shared" si="2"/>
        <v>9915335.0803319998</v>
      </c>
      <c r="F21" s="938">
        <v>1160330.97</v>
      </c>
      <c r="G21" s="938">
        <v>754215.13049999997</v>
      </c>
      <c r="H21" s="938">
        <v>406115.8395</v>
      </c>
      <c r="I21" s="939">
        <v>23601934.079999998</v>
      </c>
      <c r="J21" s="940">
        <v>14092714.839167997</v>
      </c>
      <c r="K21" s="940">
        <v>9509219.2408319991</v>
      </c>
    </row>
    <row r="22" spans="1:11">
      <c r="A22" s="1107" t="s">
        <v>47</v>
      </c>
      <c r="B22" s="937" t="s">
        <v>48</v>
      </c>
      <c r="C22" s="943">
        <f t="shared" si="1"/>
        <v>31965624.359999999</v>
      </c>
      <c r="D22" s="932">
        <f t="shared" si="2"/>
        <v>19165746.968112998</v>
      </c>
      <c r="E22" s="932">
        <f t="shared" si="2"/>
        <v>12799877.391887</v>
      </c>
      <c r="F22" s="938">
        <v>1494757.33</v>
      </c>
      <c r="G22" s="938">
        <v>971592.26450000005</v>
      </c>
      <c r="H22" s="938">
        <v>523165.06550000003</v>
      </c>
      <c r="I22" s="939">
        <v>30470867.030000001</v>
      </c>
      <c r="J22" s="940">
        <v>18194154.703612998</v>
      </c>
      <c r="K22" s="940">
        <v>12276712.326386999</v>
      </c>
    </row>
    <row r="23" spans="1:11">
      <c r="A23" s="1107" t="s">
        <v>49</v>
      </c>
      <c r="B23" s="937" t="s">
        <v>279</v>
      </c>
      <c r="C23" s="943">
        <f t="shared" si="1"/>
        <v>6439295.0600000005</v>
      </c>
      <c r="D23" s="932">
        <f t="shared" si="2"/>
        <v>3861622.5014449996</v>
      </c>
      <c r="E23" s="932">
        <f t="shared" si="2"/>
        <v>2577672.558555</v>
      </c>
      <c r="F23" s="938">
        <v>316057.11</v>
      </c>
      <c r="G23" s="938">
        <v>205437.12150000001</v>
      </c>
      <c r="H23" s="938">
        <v>110619.98850000001</v>
      </c>
      <c r="I23" s="939">
        <v>6123237.9500000002</v>
      </c>
      <c r="J23" s="940">
        <v>3656185.3799449997</v>
      </c>
      <c r="K23" s="940">
        <v>2467052.570055</v>
      </c>
    </row>
    <row r="24" spans="1:11">
      <c r="A24" s="1107" t="s">
        <v>51</v>
      </c>
      <c r="B24" s="937" t="s">
        <v>52</v>
      </c>
      <c r="C24" s="943">
        <f t="shared" si="1"/>
        <v>17167284.789999999</v>
      </c>
      <c r="D24" s="932">
        <f t="shared" si="2"/>
        <v>10281166.390121998</v>
      </c>
      <c r="E24" s="932">
        <f t="shared" si="2"/>
        <v>6886118.399877999</v>
      </c>
      <c r="F24" s="938">
        <v>578083.97</v>
      </c>
      <c r="G24" s="938">
        <v>375754.58049999998</v>
      </c>
      <c r="H24" s="938">
        <v>202329.38949999999</v>
      </c>
      <c r="I24" s="939">
        <v>16589200.82</v>
      </c>
      <c r="J24" s="940">
        <v>9905411.809621999</v>
      </c>
      <c r="K24" s="940">
        <v>6683789.0103779994</v>
      </c>
    </row>
    <row r="25" spans="1:11">
      <c r="A25" s="1107" t="s">
        <v>57</v>
      </c>
      <c r="B25" s="937" t="s">
        <v>362</v>
      </c>
      <c r="C25" s="943">
        <f t="shared" si="1"/>
        <v>208917730.66000003</v>
      </c>
      <c r="D25" s="932">
        <f t="shared" si="2"/>
        <v>125205767.771661</v>
      </c>
      <c r="E25" s="932">
        <f t="shared" si="2"/>
        <v>83711962.888338998</v>
      </c>
      <c r="F25" s="938">
        <v>8714381.75</v>
      </c>
      <c r="G25" s="938">
        <v>5664348.1375000002</v>
      </c>
      <c r="H25" s="938">
        <v>3050033.6124999998</v>
      </c>
      <c r="I25" s="939">
        <v>200203348.91000003</v>
      </c>
      <c r="J25" s="940">
        <v>119541419.634161</v>
      </c>
      <c r="K25" s="940">
        <v>80661929.275839001</v>
      </c>
    </row>
    <row r="26" spans="1:11">
      <c r="A26" s="1107" t="s">
        <v>59</v>
      </c>
      <c r="B26" s="937" t="s">
        <v>60</v>
      </c>
      <c r="C26" s="943">
        <f t="shared" si="1"/>
        <v>7446617.25</v>
      </c>
      <c r="D26" s="932">
        <f t="shared" si="2"/>
        <v>4457138.9038930004</v>
      </c>
      <c r="E26" s="932">
        <f t="shared" si="2"/>
        <v>2989478.346107</v>
      </c>
      <c r="F26" s="938">
        <v>203473.42</v>
      </c>
      <c r="G26" s="938">
        <v>132257.723</v>
      </c>
      <c r="H26" s="938">
        <v>71215.697</v>
      </c>
      <c r="I26" s="939">
        <v>7243143.8300000001</v>
      </c>
      <c r="J26" s="940">
        <v>4324881.1808930002</v>
      </c>
      <c r="K26" s="940">
        <v>2918262.6491069999</v>
      </c>
    </row>
    <row r="27" spans="1:11">
      <c r="A27" s="1107" t="s">
        <v>61</v>
      </c>
      <c r="B27" s="937" t="s">
        <v>62</v>
      </c>
      <c r="C27" s="943">
        <f t="shared" si="1"/>
        <v>3375394.95</v>
      </c>
      <c r="D27" s="932">
        <f t="shared" si="2"/>
        <v>2023782.5736409998</v>
      </c>
      <c r="E27" s="932">
        <f t="shared" si="2"/>
        <v>1351612.3763589999</v>
      </c>
      <c r="F27" s="938">
        <v>157547.24</v>
      </c>
      <c r="G27" s="938">
        <v>102405.70600000001</v>
      </c>
      <c r="H27" s="938">
        <v>55141.534</v>
      </c>
      <c r="I27" s="939">
        <v>3217847.71</v>
      </c>
      <c r="J27" s="940">
        <v>1921376.8676409998</v>
      </c>
      <c r="K27" s="940">
        <v>1296470.8423589999</v>
      </c>
    </row>
    <row r="28" spans="1:11">
      <c r="A28" s="1107" t="s">
        <v>63</v>
      </c>
      <c r="B28" s="937" t="s">
        <v>64</v>
      </c>
      <c r="C28" s="943">
        <f t="shared" si="1"/>
        <v>38167463.170000002</v>
      </c>
      <c r="D28" s="932">
        <f t="shared" si="2"/>
        <v>22881378.835532002</v>
      </c>
      <c r="E28" s="932">
        <f t="shared" si="2"/>
        <v>15286084.334468</v>
      </c>
      <c r="F28" s="938">
        <v>1731315.25</v>
      </c>
      <c r="G28" s="938">
        <v>1125354.9125000001</v>
      </c>
      <c r="H28" s="938">
        <v>605960.33750000002</v>
      </c>
      <c r="I28" s="939">
        <v>36436147.920000002</v>
      </c>
      <c r="J28" s="940">
        <v>21756023.923032001</v>
      </c>
      <c r="K28" s="940">
        <v>14680123.996967999</v>
      </c>
    </row>
    <row r="29" spans="1:11">
      <c r="A29" s="1107" t="s">
        <v>65</v>
      </c>
      <c r="B29" s="937" t="s">
        <v>66</v>
      </c>
      <c r="C29" s="943">
        <f t="shared" si="1"/>
        <v>13415384.609999999</v>
      </c>
      <c r="D29" s="932">
        <f t="shared" si="2"/>
        <v>8036501.2351499991</v>
      </c>
      <c r="E29" s="932">
        <f t="shared" si="2"/>
        <v>5378883.3748499993</v>
      </c>
      <c r="F29" s="938">
        <v>494803.11</v>
      </c>
      <c r="G29" s="938">
        <v>321622.02149999997</v>
      </c>
      <c r="H29" s="938">
        <v>173181.08850000001</v>
      </c>
      <c r="I29" s="939">
        <v>12920581.5</v>
      </c>
      <c r="J29" s="940">
        <v>7714879.2136499994</v>
      </c>
      <c r="K29" s="940">
        <v>5205702.2863499997</v>
      </c>
    </row>
    <row r="30" spans="1:11">
      <c r="A30" s="1107" t="s">
        <v>69</v>
      </c>
      <c r="B30" s="937" t="s">
        <v>70</v>
      </c>
      <c r="C30" s="943">
        <f t="shared" si="1"/>
        <v>19972280.830000002</v>
      </c>
      <c r="D30" s="932">
        <f t="shared" si="2"/>
        <v>11964478.01321</v>
      </c>
      <c r="E30" s="932">
        <f t="shared" si="2"/>
        <v>8007802.8167900005</v>
      </c>
      <c r="F30" s="938">
        <v>737790.73</v>
      </c>
      <c r="G30" s="938">
        <v>479563.97450000001</v>
      </c>
      <c r="H30" s="938">
        <v>258226.7555</v>
      </c>
      <c r="I30" s="939">
        <v>19234490.100000001</v>
      </c>
      <c r="J30" s="940">
        <v>11484914.03871</v>
      </c>
      <c r="K30" s="940">
        <v>7749576.0612900006</v>
      </c>
    </row>
    <row r="31" spans="1:11">
      <c r="A31" s="1107" t="s">
        <v>71</v>
      </c>
      <c r="B31" s="937" t="s">
        <v>72</v>
      </c>
      <c r="C31" s="943">
        <f t="shared" si="1"/>
        <v>28784129.16</v>
      </c>
      <c r="D31" s="932">
        <f t="shared" si="2"/>
        <v>17223058.899241999</v>
      </c>
      <c r="E31" s="932">
        <f t="shared" si="2"/>
        <v>11561070.260757999</v>
      </c>
      <c r="F31" s="938">
        <v>681576.14</v>
      </c>
      <c r="G31" s="938">
        <v>443024.49099999998</v>
      </c>
      <c r="H31" s="938">
        <v>238551.649</v>
      </c>
      <c r="I31" s="939">
        <v>28102553.02</v>
      </c>
      <c r="J31" s="940">
        <v>16780034.408241998</v>
      </c>
      <c r="K31" s="940">
        <v>11322518.611757999</v>
      </c>
    </row>
    <row r="32" spans="1:11">
      <c r="A32" s="1107" t="s">
        <v>73</v>
      </c>
      <c r="B32" s="937" t="s">
        <v>74</v>
      </c>
      <c r="C32" s="943">
        <f t="shared" si="1"/>
        <v>13128770.15</v>
      </c>
      <c r="D32" s="932">
        <f t="shared" si="2"/>
        <v>7862137.279095999</v>
      </c>
      <c r="E32" s="932">
        <f t="shared" si="2"/>
        <v>5266632.8709039995</v>
      </c>
      <c r="F32" s="938">
        <v>433811.39</v>
      </c>
      <c r="G32" s="938">
        <v>281977.40350000001</v>
      </c>
      <c r="H32" s="938">
        <v>151833.9865</v>
      </c>
      <c r="I32" s="939">
        <v>12694958.76</v>
      </c>
      <c r="J32" s="940">
        <v>7580159.875595999</v>
      </c>
      <c r="K32" s="940">
        <v>5114798.8844039999</v>
      </c>
    </row>
    <row r="33" spans="1:11">
      <c r="A33" s="1107" t="s">
        <v>75</v>
      </c>
      <c r="B33" s="937" t="s">
        <v>369</v>
      </c>
      <c r="C33" s="943">
        <f t="shared" si="1"/>
        <v>424490000.58999997</v>
      </c>
      <c r="D33" s="932">
        <f t="shared" si="2"/>
        <v>254614113.00855798</v>
      </c>
      <c r="E33" s="932">
        <f t="shared" si="2"/>
        <v>169875887.58144197</v>
      </c>
      <c r="F33" s="938">
        <v>21760560.609999999</v>
      </c>
      <c r="G33" s="938">
        <v>14144364.396500001</v>
      </c>
      <c r="H33" s="938">
        <v>7616196.2134999996</v>
      </c>
      <c r="I33" s="939">
        <v>402729439.97999996</v>
      </c>
      <c r="J33" s="940">
        <v>240469748.61205798</v>
      </c>
      <c r="K33" s="940">
        <v>162259691.36794198</v>
      </c>
    </row>
    <row r="34" spans="1:11">
      <c r="A34" s="1107" t="s">
        <v>77</v>
      </c>
      <c r="B34" s="937" t="s">
        <v>78</v>
      </c>
      <c r="C34" s="943">
        <f t="shared" si="1"/>
        <v>32704318.09</v>
      </c>
      <c r="D34" s="932">
        <f t="shared" si="2"/>
        <v>19606696.431724001</v>
      </c>
      <c r="E34" s="932">
        <f t="shared" si="2"/>
        <v>13097621.658276001</v>
      </c>
      <c r="F34" s="938">
        <v>1492402.65</v>
      </c>
      <c r="G34" s="938">
        <v>970061.72250000003</v>
      </c>
      <c r="H34" s="938">
        <v>522340.92749999999</v>
      </c>
      <c r="I34" s="939">
        <v>31211915.440000001</v>
      </c>
      <c r="J34" s="940">
        <v>18636634.709224001</v>
      </c>
      <c r="K34" s="940">
        <v>12575280.730776001</v>
      </c>
    </row>
    <row r="35" spans="1:11">
      <c r="A35" s="1107" t="s">
        <v>79</v>
      </c>
      <c r="B35" s="937" t="s">
        <v>80</v>
      </c>
      <c r="C35" s="943">
        <f t="shared" si="1"/>
        <v>15651036.560000001</v>
      </c>
      <c r="D35" s="932">
        <f t="shared" si="2"/>
        <v>9383198.1974050011</v>
      </c>
      <c r="E35" s="932">
        <f t="shared" si="2"/>
        <v>6267838.3625950003</v>
      </c>
      <c r="F35" s="938">
        <v>717661.01</v>
      </c>
      <c r="G35" s="938">
        <v>466479.65649999998</v>
      </c>
      <c r="H35" s="938">
        <v>251181.3535</v>
      </c>
      <c r="I35" s="939">
        <v>14933375.550000001</v>
      </c>
      <c r="J35" s="940">
        <v>8916718.5409050006</v>
      </c>
      <c r="K35" s="940">
        <v>6016657.0090950001</v>
      </c>
    </row>
    <row r="36" spans="1:11">
      <c r="A36" s="1107" t="s">
        <v>81</v>
      </c>
      <c r="B36" s="937" t="s">
        <v>82</v>
      </c>
      <c r="C36" s="943">
        <f t="shared" si="1"/>
        <v>12427416.050000001</v>
      </c>
      <c r="D36" s="932">
        <f t="shared" si="2"/>
        <v>7452749.1445399998</v>
      </c>
      <c r="E36" s="932">
        <f t="shared" si="2"/>
        <v>4974666.90546</v>
      </c>
      <c r="F36" s="938">
        <v>611323.65</v>
      </c>
      <c r="G36" s="938">
        <v>397360.3725</v>
      </c>
      <c r="H36" s="938">
        <v>213963.2775</v>
      </c>
      <c r="I36" s="939">
        <v>11816092.4</v>
      </c>
      <c r="J36" s="940">
        <v>7055388.7720400002</v>
      </c>
      <c r="K36" s="940">
        <v>4760703.6279600002</v>
      </c>
    </row>
    <row r="37" spans="1:11">
      <c r="A37" s="1107" t="s">
        <v>85</v>
      </c>
      <c r="B37" s="937" t="s">
        <v>387</v>
      </c>
      <c r="C37" s="943">
        <f t="shared" si="1"/>
        <v>50073842.18</v>
      </c>
      <c r="D37" s="932">
        <f t="shared" ref="D37:E68" si="3">+G37+J37</f>
        <v>30006027.495765999</v>
      </c>
      <c r="E37" s="932">
        <f t="shared" si="3"/>
        <v>20067814.684234001</v>
      </c>
      <c r="F37" s="938">
        <v>2021480.72</v>
      </c>
      <c r="G37" s="938">
        <v>1313962.4680000001</v>
      </c>
      <c r="H37" s="938">
        <v>707518.25199999998</v>
      </c>
      <c r="I37" s="939">
        <v>48052361.460000001</v>
      </c>
      <c r="J37" s="940">
        <v>28692065.027766</v>
      </c>
      <c r="K37" s="940">
        <v>19360296.432234</v>
      </c>
    </row>
    <row r="38" spans="1:11">
      <c r="A38" s="1107" t="s">
        <v>87</v>
      </c>
      <c r="B38" s="937" t="s">
        <v>88</v>
      </c>
      <c r="C38" s="943">
        <f t="shared" si="1"/>
        <v>43898148.200000003</v>
      </c>
      <c r="D38" s="932">
        <f t="shared" si="3"/>
        <v>26333533.524457</v>
      </c>
      <c r="E38" s="932">
        <f t="shared" si="3"/>
        <v>17564614.675542999</v>
      </c>
      <c r="F38" s="938">
        <v>2305278.5299999998</v>
      </c>
      <c r="G38" s="938">
        <v>1498431.0445000001</v>
      </c>
      <c r="H38" s="938">
        <v>806847.48549999995</v>
      </c>
      <c r="I38" s="939">
        <v>41592869.670000002</v>
      </c>
      <c r="J38" s="940">
        <v>24835102.479956999</v>
      </c>
      <c r="K38" s="940">
        <v>16757767.190043001</v>
      </c>
    </row>
    <row r="39" spans="1:11">
      <c r="A39" s="1107" t="s">
        <v>93</v>
      </c>
      <c r="B39" s="937" t="s">
        <v>94</v>
      </c>
      <c r="C39" s="943">
        <f t="shared" si="1"/>
        <v>20579479.23</v>
      </c>
      <c r="D39" s="932">
        <f t="shared" si="3"/>
        <v>12320998.744757</v>
      </c>
      <c r="E39" s="932">
        <f t="shared" si="3"/>
        <v>8258480.4852430001</v>
      </c>
      <c r="F39" s="938">
        <v>623661.56000000006</v>
      </c>
      <c r="G39" s="938">
        <v>405380.01400000002</v>
      </c>
      <c r="H39" s="938">
        <v>218281.546</v>
      </c>
      <c r="I39" s="939">
        <v>19955817.670000002</v>
      </c>
      <c r="J39" s="940">
        <v>11915618.730757</v>
      </c>
      <c r="K39" s="940">
        <v>8040198.939243</v>
      </c>
    </row>
    <row r="40" spans="1:11">
      <c r="A40" s="1107" t="s">
        <v>95</v>
      </c>
      <c r="B40" s="937" t="s">
        <v>96</v>
      </c>
      <c r="C40" s="943">
        <f t="shared" si="1"/>
        <v>25784299.09</v>
      </c>
      <c r="D40" s="932">
        <f t="shared" si="3"/>
        <v>15443718.500388999</v>
      </c>
      <c r="E40" s="932">
        <f t="shared" si="3"/>
        <v>10340580.589610999</v>
      </c>
      <c r="F40" s="938">
        <v>905737.5</v>
      </c>
      <c r="G40" s="938">
        <v>588729.375</v>
      </c>
      <c r="H40" s="938">
        <v>317008.125</v>
      </c>
      <c r="I40" s="939">
        <v>24878561.59</v>
      </c>
      <c r="J40" s="940">
        <v>14854989.125388999</v>
      </c>
      <c r="K40" s="940">
        <v>10023572.464610999</v>
      </c>
    </row>
    <row r="41" spans="1:11">
      <c r="A41" s="1107" t="s">
        <v>97</v>
      </c>
      <c r="B41" s="937" t="s">
        <v>98</v>
      </c>
      <c r="C41" s="943">
        <f t="shared" si="1"/>
        <v>9290852.6799999997</v>
      </c>
      <c r="D41" s="932">
        <f t="shared" si="3"/>
        <v>5562854.511216999</v>
      </c>
      <c r="E41" s="932">
        <f t="shared" si="3"/>
        <v>3727998.1687829997</v>
      </c>
      <c r="F41" s="938">
        <v>288967.40999999997</v>
      </c>
      <c r="G41" s="938">
        <v>187828.81649999999</v>
      </c>
      <c r="H41" s="938">
        <v>101138.5935</v>
      </c>
      <c r="I41" s="939">
        <v>9001885.2699999996</v>
      </c>
      <c r="J41" s="940">
        <v>5375025.6947169993</v>
      </c>
      <c r="K41" s="940">
        <v>3626859.5752829998</v>
      </c>
    </row>
    <row r="42" spans="1:11">
      <c r="A42" s="1107" t="s">
        <v>99</v>
      </c>
      <c r="B42" s="937" t="s">
        <v>100</v>
      </c>
      <c r="C42" s="943">
        <f t="shared" si="1"/>
        <v>17639626.149999999</v>
      </c>
      <c r="D42" s="932">
        <f t="shared" si="3"/>
        <v>10577060.754889999</v>
      </c>
      <c r="E42" s="932">
        <f t="shared" si="3"/>
        <v>7062565.395109999</v>
      </c>
      <c r="F42" s="938">
        <v>840075.25</v>
      </c>
      <c r="G42" s="938">
        <v>546048.91249999998</v>
      </c>
      <c r="H42" s="938">
        <v>294026.33750000002</v>
      </c>
      <c r="I42" s="939">
        <v>16799550.899999999</v>
      </c>
      <c r="J42" s="940">
        <v>10031011.842389999</v>
      </c>
      <c r="K42" s="940">
        <v>6768539.0576099986</v>
      </c>
    </row>
    <row r="43" spans="1:11">
      <c r="A43" s="1107" t="s">
        <v>101</v>
      </c>
      <c r="B43" s="937" t="s">
        <v>102</v>
      </c>
      <c r="C43" s="943">
        <f t="shared" si="1"/>
        <v>12446434.92</v>
      </c>
      <c r="D43" s="932">
        <f t="shared" si="3"/>
        <v>7468987.7575209998</v>
      </c>
      <c r="E43" s="932">
        <f t="shared" si="3"/>
        <v>4977447.1624789992</v>
      </c>
      <c r="F43" s="938">
        <v>703619.41</v>
      </c>
      <c r="G43" s="938">
        <v>457352.6165</v>
      </c>
      <c r="H43" s="938">
        <v>246266.7935</v>
      </c>
      <c r="I43" s="939">
        <v>11742815.51</v>
      </c>
      <c r="J43" s="940">
        <v>7011635.1410209993</v>
      </c>
      <c r="K43" s="940">
        <v>4731180.3689789996</v>
      </c>
    </row>
    <row r="44" spans="1:11">
      <c r="A44" s="1107" t="s">
        <v>103</v>
      </c>
      <c r="B44" s="937" t="s">
        <v>104</v>
      </c>
      <c r="C44" s="943">
        <f t="shared" si="1"/>
        <v>27235477.920000002</v>
      </c>
      <c r="D44" s="932">
        <f t="shared" si="3"/>
        <v>16325519.039638998</v>
      </c>
      <c r="E44" s="932">
        <f t="shared" si="3"/>
        <v>10909958.880361</v>
      </c>
      <c r="F44" s="938">
        <v>1194993.83</v>
      </c>
      <c r="G44" s="938">
        <v>776745.98950000003</v>
      </c>
      <c r="H44" s="938">
        <v>418247.84049999999</v>
      </c>
      <c r="I44" s="939">
        <v>26040484.09</v>
      </c>
      <c r="J44" s="940">
        <v>15548773.050138999</v>
      </c>
      <c r="K44" s="940">
        <v>10491711.039860999</v>
      </c>
    </row>
    <row r="45" spans="1:11">
      <c r="A45" s="1107" t="s">
        <v>105</v>
      </c>
      <c r="B45" s="937" t="s">
        <v>388</v>
      </c>
      <c r="C45" s="943">
        <f t="shared" si="1"/>
        <v>48437033.420000002</v>
      </c>
      <c r="D45" s="932">
        <f t="shared" si="3"/>
        <v>28994788.333338</v>
      </c>
      <c r="E45" s="932">
        <f t="shared" si="3"/>
        <v>19442245.086662002</v>
      </c>
      <c r="F45" s="938">
        <v>1380636.64</v>
      </c>
      <c r="G45" s="938">
        <v>897413.81599999999</v>
      </c>
      <c r="H45" s="938">
        <v>483222.82400000002</v>
      </c>
      <c r="I45" s="939">
        <v>47056396.780000001</v>
      </c>
      <c r="J45" s="940">
        <v>28097374.517338</v>
      </c>
      <c r="K45" s="940">
        <v>18959022.262662001</v>
      </c>
    </row>
    <row r="46" spans="1:11">
      <c r="A46" s="1107" t="s">
        <v>109</v>
      </c>
      <c r="B46" s="937" t="s">
        <v>110</v>
      </c>
      <c r="C46" s="943">
        <f t="shared" si="1"/>
        <v>42658294.859999999</v>
      </c>
      <c r="D46" s="932">
        <f t="shared" si="3"/>
        <v>25574164.600989997</v>
      </c>
      <c r="E46" s="932">
        <f t="shared" si="3"/>
        <v>17084130.259009998</v>
      </c>
      <c r="F46" s="938">
        <v>1945117.96</v>
      </c>
      <c r="G46" s="938">
        <v>1264326.6740000001</v>
      </c>
      <c r="H46" s="938">
        <v>680791.28599999996</v>
      </c>
      <c r="I46" s="939">
        <v>40713176.899999999</v>
      </c>
      <c r="J46" s="940">
        <v>24309837.926989999</v>
      </c>
      <c r="K46" s="940">
        <v>16403338.973009998</v>
      </c>
    </row>
    <row r="47" spans="1:11">
      <c r="A47" s="1107" t="s">
        <v>111</v>
      </c>
      <c r="B47" s="937" t="s">
        <v>112</v>
      </c>
      <c r="C47" s="943">
        <f t="shared" si="1"/>
        <v>206251940.29999998</v>
      </c>
      <c r="D47" s="932">
        <f t="shared" si="3"/>
        <v>123640422.58029398</v>
      </c>
      <c r="E47" s="932">
        <f t="shared" si="3"/>
        <v>82611517.719705999</v>
      </c>
      <c r="F47" s="938">
        <v>9213403.1600000001</v>
      </c>
      <c r="G47" s="938">
        <v>5988712.0539999995</v>
      </c>
      <c r="H47" s="938">
        <v>3224691.1060000001</v>
      </c>
      <c r="I47" s="939">
        <v>197038537.13999999</v>
      </c>
      <c r="J47" s="940">
        <v>117651710.52629398</v>
      </c>
      <c r="K47" s="940">
        <v>79386826.613705993</v>
      </c>
    </row>
    <row r="48" spans="1:11">
      <c r="A48" s="1107" t="s">
        <v>113</v>
      </c>
      <c r="B48" s="937" t="s">
        <v>367</v>
      </c>
      <c r="C48" s="943">
        <f t="shared" si="1"/>
        <v>91466702.189999998</v>
      </c>
      <c r="D48" s="932">
        <f t="shared" si="3"/>
        <v>54764613.797281004</v>
      </c>
      <c r="E48" s="932">
        <f t="shared" si="3"/>
        <v>36702088.392718993</v>
      </c>
      <c r="F48" s="938">
        <v>2832626.08</v>
      </c>
      <c r="G48" s="938">
        <v>1841206.952</v>
      </c>
      <c r="H48" s="938">
        <v>991419.12800000003</v>
      </c>
      <c r="I48" s="939">
        <v>88634076.109999999</v>
      </c>
      <c r="J48" s="940">
        <v>52923406.845281005</v>
      </c>
      <c r="K48" s="940">
        <v>35710669.264718994</v>
      </c>
    </row>
    <row r="49" spans="1:11">
      <c r="A49" s="1107" t="s">
        <v>115</v>
      </c>
      <c r="B49" s="937" t="s">
        <v>116</v>
      </c>
      <c r="C49" s="943">
        <f t="shared" si="1"/>
        <v>1505166.93</v>
      </c>
      <c r="D49" s="932">
        <f t="shared" si="3"/>
        <v>902471.01898399997</v>
      </c>
      <c r="E49" s="932">
        <f t="shared" si="3"/>
        <v>602695.91101599997</v>
      </c>
      <c r="F49" s="938">
        <v>70620.89</v>
      </c>
      <c r="G49" s="938">
        <v>45903.578500000003</v>
      </c>
      <c r="H49" s="938">
        <v>24717.3115</v>
      </c>
      <c r="I49" s="939">
        <v>1434546.04</v>
      </c>
      <c r="J49" s="940">
        <v>856567.44048400002</v>
      </c>
      <c r="K49" s="940">
        <v>577978.59951600002</v>
      </c>
    </row>
    <row r="50" spans="1:11">
      <c r="A50" s="1107" t="s">
        <v>119</v>
      </c>
      <c r="B50" s="937" t="s">
        <v>120</v>
      </c>
      <c r="C50" s="943">
        <f t="shared" si="1"/>
        <v>28494134.02</v>
      </c>
      <c r="D50" s="932">
        <f t="shared" si="3"/>
        <v>17052215.016769998</v>
      </c>
      <c r="E50" s="932">
        <f t="shared" si="3"/>
        <v>11441919.003229998</v>
      </c>
      <c r="F50" s="938">
        <v>725285.32</v>
      </c>
      <c r="G50" s="938">
        <v>471435.45799999998</v>
      </c>
      <c r="H50" s="938">
        <v>253849.86199999999</v>
      </c>
      <c r="I50" s="939">
        <v>27768848.699999999</v>
      </c>
      <c r="J50" s="940">
        <v>16580779.558769999</v>
      </c>
      <c r="K50" s="940">
        <v>11188069.141229998</v>
      </c>
    </row>
    <row r="51" spans="1:11">
      <c r="A51" s="1107" t="s">
        <v>121</v>
      </c>
      <c r="B51" s="937" t="s">
        <v>122</v>
      </c>
      <c r="C51" s="943">
        <f t="shared" si="1"/>
        <v>25053492.52</v>
      </c>
      <c r="D51" s="932">
        <f t="shared" si="3"/>
        <v>15023751.64477</v>
      </c>
      <c r="E51" s="932">
        <f t="shared" si="3"/>
        <v>10029740.875229999</v>
      </c>
      <c r="F51" s="938">
        <v>1215713.82</v>
      </c>
      <c r="G51" s="938">
        <v>790213.98300000001</v>
      </c>
      <c r="H51" s="938">
        <v>425499.837</v>
      </c>
      <c r="I51" s="939">
        <v>23837778.699999999</v>
      </c>
      <c r="J51" s="940">
        <v>14233537.661769999</v>
      </c>
      <c r="K51" s="940">
        <v>9604241.0382300001</v>
      </c>
    </row>
    <row r="52" spans="1:11">
      <c r="A52" s="1107" t="s">
        <v>123</v>
      </c>
      <c r="B52" s="937" t="s">
        <v>284</v>
      </c>
      <c r="C52" s="943">
        <f t="shared" si="1"/>
        <v>7269801.21</v>
      </c>
      <c r="D52" s="932">
        <f t="shared" si="3"/>
        <v>4355819.1881919997</v>
      </c>
      <c r="E52" s="932">
        <f t="shared" si="3"/>
        <v>2913982.0218079994</v>
      </c>
      <c r="F52" s="938">
        <v>283948.69</v>
      </c>
      <c r="G52" s="938">
        <v>184566.64850000001</v>
      </c>
      <c r="H52" s="938">
        <v>99382.041500000007</v>
      </c>
      <c r="I52" s="939">
        <v>6985852.5199999996</v>
      </c>
      <c r="J52" s="940">
        <v>4171252.5396919996</v>
      </c>
      <c r="K52" s="940">
        <v>2814599.9803079995</v>
      </c>
    </row>
    <row r="53" spans="1:11">
      <c r="A53" s="1107" t="s">
        <v>125</v>
      </c>
      <c r="B53" s="937" t="s">
        <v>126</v>
      </c>
      <c r="C53" s="943">
        <f t="shared" si="1"/>
        <v>13787162.130000001</v>
      </c>
      <c r="D53" s="932">
        <f t="shared" si="3"/>
        <v>8256266.00538</v>
      </c>
      <c r="E53" s="932">
        <f t="shared" si="3"/>
        <v>5530896.1246199999</v>
      </c>
      <c r="F53" s="938">
        <v>452769.33</v>
      </c>
      <c r="G53" s="938">
        <v>294300.06449999998</v>
      </c>
      <c r="H53" s="938">
        <v>158469.26550000001</v>
      </c>
      <c r="I53" s="939">
        <v>13334392.800000001</v>
      </c>
      <c r="J53" s="940">
        <v>7961965.9408799997</v>
      </c>
      <c r="K53" s="940">
        <v>5372426.8591200002</v>
      </c>
    </row>
    <row r="54" spans="1:11">
      <c r="A54" s="1107" t="s">
        <v>127</v>
      </c>
      <c r="B54" s="937" t="s">
        <v>128</v>
      </c>
      <c r="C54" s="943">
        <f t="shared" si="1"/>
        <v>10307354.549999999</v>
      </c>
      <c r="D54" s="932">
        <f t="shared" si="3"/>
        <v>6176476.7818709994</v>
      </c>
      <c r="E54" s="932">
        <f t="shared" si="3"/>
        <v>4130877.7681289995</v>
      </c>
      <c r="F54" s="938">
        <v>415035.54</v>
      </c>
      <c r="G54" s="938">
        <v>269773.10100000002</v>
      </c>
      <c r="H54" s="938">
        <v>145262.43900000001</v>
      </c>
      <c r="I54" s="939">
        <v>9892319.0099999998</v>
      </c>
      <c r="J54" s="940">
        <v>5906703.6808709996</v>
      </c>
      <c r="K54" s="940">
        <v>3985615.3291289997</v>
      </c>
    </row>
    <row r="55" spans="1:11">
      <c r="A55" s="1107" t="s">
        <v>129</v>
      </c>
      <c r="B55" s="937" t="s">
        <v>130</v>
      </c>
      <c r="C55" s="943">
        <f t="shared" si="1"/>
        <v>11853758.029999999</v>
      </c>
      <c r="D55" s="932">
        <f t="shared" si="3"/>
        <v>7094722.0601779995</v>
      </c>
      <c r="E55" s="932">
        <f t="shared" si="3"/>
        <v>4759035.9698219998</v>
      </c>
      <c r="F55" s="938">
        <v>318395.84999999998</v>
      </c>
      <c r="G55" s="938">
        <v>206957.30249999999</v>
      </c>
      <c r="H55" s="938">
        <v>111438.5475</v>
      </c>
      <c r="I55" s="939">
        <v>11535362.18</v>
      </c>
      <c r="J55" s="940">
        <v>6887764.7576779993</v>
      </c>
      <c r="K55" s="940">
        <v>4647597.4223219994</v>
      </c>
    </row>
    <row r="56" spans="1:11">
      <c r="A56" s="1107" t="s">
        <v>131</v>
      </c>
      <c r="B56" s="937" t="s">
        <v>132</v>
      </c>
      <c r="C56" s="943">
        <f t="shared" si="1"/>
        <v>36906964.700000003</v>
      </c>
      <c r="D56" s="932">
        <f t="shared" si="3"/>
        <v>22105416.415690999</v>
      </c>
      <c r="E56" s="932">
        <f t="shared" si="3"/>
        <v>14801548.284309</v>
      </c>
      <c r="F56" s="938">
        <v>1290506.49</v>
      </c>
      <c r="G56" s="938">
        <v>838829.21849999996</v>
      </c>
      <c r="H56" s="938">
        <v>451677.27149999997</v>
      </c>
      <c r="I56" s="939">
        <v>35616458.210000001</v>
      </c>
      <c r="J56" s="940">
        <v>21266587.197191</v>
      </c>
      <c r="K56" s="940">
        <v>14349871.012808999</v>
      </c>
    </row>
    <row r="57" spans="1:11">
      <c r="A57" s="1107" t="s">
        <v>133</v>
      </c>
      <c r="B57" s="937" t="s">
        <v>134</v>
      </c>
      <c r="C57" s="943">
        <f t="shared" si="1"/>
        <v>80351515.109999999</v>
      </c>
      <c r="D57" s="932">
        <f t="shared" si="3"/>
        <v>48195415.337624997</v>
      </c>
      <c r="E57" s="932">
        <f t="shared" si="3"/>
        <v>32156099.772374999</v>
      </c>
      <c r="F57" s="938">
        <v>4112016.36</v>
      </c>
      <c r="G57" s="938">
        <v>2672810.6340000001</v>
      </c>
      <c r="H57" s="938">
        <v>1439205.726</v>
      </c>
      <c r="I57" s="939">
        <v>76239498.75</v>
      </c>
      <c r="J57" s="940">
        <v>45522604.703624994</v>
      </c>
      <c r="K57" s="940">
        <v>30716894.046374999</v>
      </c>
    </row>
    <row r="58" spans="1:11">
      <c r="A58" s="1107" t="s">
        <v>135</v>
      </c>
      <c r="B58" s="937" t="s">
        <v>136</v>
      </c>
      <c r="C58" s="943">
        <f t="shared" si="1"/>
        <v>26391396.66</v>
      </c>
      <c r="D58" s="932">
        <f t="shared" si="3"/>
        <v>15821123.208097</v>
      </c>
      <c r="E58" s="932">
        <f t="shared" si="3"/>
        <v>10570273.451903</v>
      </c>
      <c r="F58" s="938">
        <v>1187528.5900000001</v>
      </c>
      <c r="G58" s="938">
        <v>771893.58349999995</v>
      </c>
      <c r="H58" s="938">
        <v>415635.00650000002</v>
      </c>
      <c r="I58" s="939">
        <v>25203868.07</v>
      </c>
      <c r="J58" s="940">
        <v>15049229.624597</v>
      </c>
      <c r="K58" s="940">
        <v>10154638.445403</v>
      </c>
    </row>
    <row r="59" spans="1:11">
      <c r="A59" s="1107" t="s">
        <v>137</v>
      </c>
      <c r="B59" s="937" t="s">
        <v>138</v>
      </c>
      <c r="C59" s="943">
        <f t="shared" si="1"/>
        <v>16245417.1</v>
      </c>
      <c r="D59" s="932">
        <f t="shared" si="3"/>
        <v>9725280.5005739983</v>
      </c>
      <c r="E59" s="932">
        <f t="shared" si="3"/>
        <v>6520136.5994259994</v>
      </c>
      <c r="F59" s="938">
        <v>475273.16</v>
      </c>
      <c r="G59" s="938">
        <v>308927.554</v>
      </c>
      <c r="H59" s="938">
        <v>166345.606</v>
      </c>
      <c r="I59" s="939">
        <v>15770143.939999999</v>
      </c>
      <c r="J59" s="940">
        <v>9416352.9465739988</v>
      </c>
      <c r="K59" s="940">
        <v>6353790.9934259998</v>
      </c>
    </row>
    <row r="60" spans="1:11">
      <c r="A60" s="1107" t="s">
        <v>141</v>
      </c>
      <c r="B60" s="937" t="s">
        <v>142</v>
      </c>
      <c r="C60" s="943">
        <f t="shared" si="1"/>
        <v>12815201.530000001</v>
      </c>
      <c r="D60" s="932">
        <f t="shared" si="3"/>
        <v>7671280.2630009996</v>
      </c>
      <c r="E60" s="932">
        <f t="shared" si="3"/>
        <v>5143921.2669989998</v>
      </c>
      <c r="F60" s="938">
        <v>365282.22</v>
      </c>
      <c r="G60" s="938">
        <v>237433.443</v>
      </c>
      <c r="H60" s="938">
        <v>127848.777</v>
      </c>
      <c r="I60" s="939">
        <v>12449919.310000001</v>
      </c>
      <c r="J60" s="940">
        <v>7433846.8200009996</v>
      </c>
      <c r="K60" s="940">
        <v>5016072.489999</v>
      </c>
    </row>
    <row r="61" spans="1:11">
      <c r="A61" s="1107" t="s">
        <v>147</v>
      </c>
      <c r="B61" s="937" t="s">
        <v>148</v>
      </c>
      <c r="C61" s="943">
        <f t="shared" si="1"/>
        <v>8621357.5700000003</v>
      </c>
      <c r="D61" s="932">
        <f t="shared" si="3"/>
        <v>5160197.1388400001</v>
      </c>
      <c r="E61" s="932">
        <f t="shared" si="3"/>
        <v>3461160.4311600002</v>
      </c>
      <c r="F61" s="938">
        <v>234112.17</v>
      </c>
      <c r="G61" s="938">
        <v>152172.9105</v>
      </c>
      <c r="H61" s="938">
        <v>81939.2595</v>
      </c>
      <c r="I61" s="939">
        <v>8387245.4000000004</v>
      </c>
      <c r="J61" s="940">
        <v>5008024.2283399999</v>
      </c>
      <c r="K61" s="940">
        <v>3379221.17166</v>
      </c>
    </row>
    <row r="62" spans="1:11">
      <c r="A62" s="1107" t="s">
        <v>149</v>
      </c>
      <c r="B62" s="937" t="s">
        <v>150</v>
      </c>
      <c r="C62" s="943">
        <f t="shared" si="1"/>
        <v>37593419.099999994</v>
      </c>
      <c r="D62" s="932">
        <f t="shared" si="3"/>
        <v>22504890.199979998</v>
      </c>
      <c r="E62" s="932">
        <f t="shared" si="3"/>
        <v>15088528.900019998</v>
      </c>
      <c r="F62" s="938">
        <v>1093755.3</v>
      </c>
      <c r="G62" s="938">
        <v>710940.94499999995</v>
      </c>
      <c r="H62" s="938">
        <v>382814.35499999998</v>
      </c>
      <c r="I62" s="939">
        <v>36499663.799999997</v>
      </c>
      <c r="J62" s="940">
        <v>21793949.254979998</v>
      </c>
      <c r="K62" s="940">
        <v>14705714.545019997</v>
      </c>
    </row>
    <row r="63" spans="1:11">
      <c r="A63" s="1107" t="s">
        <v>151</v>
      </c>
      <c r="B63" s="937" t="s">
        <v>152</v>
      </c>
      <c r="C63" s="943">
        <f t="shared" si="1"/>
        <v>10928920.939999999</v>
      </c>
      <c r="D63" s="932">
        <f t="shared" si="3"/>
        <v>6543364.8274109997</v>
      </c>
      <c r="E63" s="932">
        <f t="shared" si="3"/>
        <v>4385556.1125889998</v>
      </c>
      <c r="F63" s="938">
        <v>334709.53000000003</v>
      </c>
      <c r="G63" s="938">
        <v>217561.19450000001</v>
      </c>
      <c r="H63" s="938">
        <v>117148.3355</v>
      </c>
      <c r="I63" s="939">
        <v>10594211.41</v>
      </c>
      <c r="J63" s="940">
        <v>6325803.6329109995</v>
      </c>
      <c r="K63" s="940">
        <v>4268407.7770889997</v>
      </c>
    </row>
    <row r="64" spans="1:11">
      <c r="A64" s="1107" t="s">
        <v>153</v>
      </c>
      <c r="B64" s="937" t="s">
        <v>154</v>
      </c>
      <c r="C64" s="943">
        <f t="shared" si="1"/>
        <v>53631812.890000001</v>
      </c>
      <c r="D64" s="932">
        <f t="shared" si="3"/>
        <v>32127686.683167998</v>
      </c>
      <c r="E64" s="932">
        <f t="shared" si="3"/>
        <v>21504126.206831999</v>
      </c>
      <c r="F64" s="938">
        <v>1968453.81</v>
      </c>
      <c r="G64" s="938">
        <v>1279494.9765000001</v>
      </c>
      <c r="H64" s="938">
        <v>688958.83349999995</v>
      </c>
      <c r="I64" s="939">
        <v>51663359.079999998</v>
      </c>
      <c r="J64" s="940">
        <v>30848191.706667997</v>
      </c>
      <c r="K64" s="940">
        <v>20815167.373331998</v>
      </c>
    </row>
    <row r="65" spans="1:11">
      <c r="A65" s="1107" t="s">
        <v>155</v>
      </c>
      <c r="B65" s="937" t="s">
        <v>156</v>
      </c>
      <c r="C65" s="943">
        <f t="shared" si="1"/>
        <v>15596429.129999999</v>
      </c>
      <c r="D65" s="932">
        <f t="shared" si="3"/>
        <v>9338704.6520599984</v>
      </c>
      <c r="E65" s="932">
        <f t="shared" si="3"/>
        <v>6257724.4779399997</v>
      </c>
      <c r="F65" s="938">
        <v>492945.53</v>
      </c>
      <c r="G65" s="938">
        <v>320414.59450000001</v>
      </c>
      <c r="H65" s="938">
        <v>172530.93549999999</v>
      </c>
      <c r="I65" s="939">
        <v>15103483.6</v>
      </c>
      <c r="J65" s="940">
        <v>9018290.0575599987</v>
      </c>
      <c r="K65" s="940">
        <v>6085193.54244</v>
      </c>
    </row>
    <row r="66" spans="1:11">
      <c r="A66" s="1107" t="s">
        <v>157</v>
      </c>
      <c r="B66" s="937" t="s">
        <v>158</v>
      </c>
      <c r="C66" s="943">
        <f t="shared" si="1"/>
        <v>7637082.1100000003</v>
      </c>
      <c r="D66" s="932">
        <f t="shared" si="3"/>
        <v>4580678.341391</v>
      </c>
      <c r="E66" s="932">
        <f t="shared" si="3"/>
        <v>3056403.7686089999</v>
      </c>
      <c r="F66" s="938">
        <v>388971.9</v>
      </c>
      <c r="G66" s="938">
        <v>252831.73499999999</v>
      </c>
      <c r="H66" s="938">
        <v>136140.16500000001</v>
      </c>
      <c r="I66" s="939">
        <v>7248110.21</v>
      </c>
      <c r="J66" s="940">
        <v>4327846.6063909996</v>
      </c>
      <c r="K66" s="940">
        <v>2920263.6036089999</v>
      </c>
    </row>
    <row r="67" spans="1:11">
      <c r="A67" s="1107" t="s">
        <v>163</v>
      </c>
      <c r="B67" s="937" t="s">
        <v>164</v>
      </c>
      <c r="C67" s="943">
        <f t="shared" si="1"/>
        <v>22025987.149999999</v>
      </c>
      <c r="D67" s="932">
        <f t="shared" si="3"/>
        <v>13193009.071271999</v>
      </c>
      <c r="E67" s="932">
        <f t="shared" si="3"/>
        <v>8832978.0787279997</v>
      </c>
      <c r="F67" s="938">
        <v>780569.83</v>
      </c>
      <c r="G67" s="938">
        <v>507370.38949999999</v>
      </c>
      <c r="H67" s="938">
        <v>273199.44050000003</v>
      </c>
      <c r="I67" s="939">
        <v>21245417.32</v>
      </c>
      <c r="J67" s="940">
        <v>12685638.681771999</v>
      </c>
      <c r="K67" s="940">
        <v>8559778.6382279992</v>
      </c>
    </row>
    <row r="68" spans="1:11">
      <c r="A68" s="1107" t="s">
        <v>165</v>
      </c>
      <c r="B68" s="937" t="s">
        <v>166</v>
      </c>
      <c r="C68" s="943">
        <f t="shared" si="1"/>
        <v>10203446.02</v>
      </c>
      <c r="D68" s="932">
        <f t="shared" si="3"/>
        <v>6114670.7724699993</v>
      </c>
      <c r="E68" s="932">
        <f t="shared" si="3"/>
        <v>4088775.2475299998</v>
      </c>
      <c r="F68" s="938">
        <v>419530.32</v>
      </c>
      <c r="G68" s="938">
        <v>272694.70799999998</v>
      </c>
      <c r="H68" s="938">
        <v>146835.61199999999</v>
      </c>
      <c r="I68" s="939">
        <v>9783915.6999999993</v>
      </c>
      <c r="J68" s="940">
        <v>5841976.0644699996</v>
      </c>
      <c r="K68" s="940">
        <v>3941939.6355299996</v>
      </c>
    </row>
    <row r="69" spans="1:11">
      <c r="A69" s="1107" t="s">
        <v>169</v>
      </c>
      <c r="B69" s="937" t="s">
        <v>170</v>
      </c>
      <c r="C69" s="943">
        <f t="shared" ref="C69:C124" si="4">F69+I69</f>
        <v>19469743.210000001</v>
      </c>
      <c r="D69" s="932">
        <f t="shared" ref="D69:E100" si="5">+G69+J69</f>
        <v>11645471.317334</v>
      </c>
      <c r="E69" s="932">
        <f t="shared" si="5"/>
        <v>7824271.892665999</v>
      </c>
      <c r="F69" s="938">
        <v>379728.67</v>
      </c>
      <c r="G69" s="938">
        <v>246823.6355</v>
      </c>
      <c r="H69" s="938">
        <v>132905.03450000001</v>
      </c>
      <c r="I69" s="939">
        <v>19090014.539999999</v>
      </c>
      <c r="J69" s="940">
        <v>11398647.681833999</v>
      </c>
      <c r="K69" s="940">
        <v>7691366.8581659989</v>
      </c>
    </row>
    <row r="70" spans="1:11">
      <c r="A70" s="1107" t="s">
        <v>171</v>
      </c>
      <c r="B70" s="937" t="s">
        <v>172</v>
      </c>
      <c r="C70" s="943">
        <f t="shared" si="4"/>
        <v>26758739.580000002</v>
      </c>
      <c r="D70" s="932">
        <f t="shared" si="5"/>
        <v>16072906.404041</v>
      </c>
      <c r="E70" s="932">
        <f t="shared" si="5"/>
        <v>10685833.175959</v>
      </c>
      <c r="F70" s="938">
        <v>1800812.87</v>
      </c>
      <c r="G70" s="938">
        <v>1170528.3655000001</v>
      </c>
      <c r="H70" s="938">
        <v>630284.50450000004</v>
      </c>
      <c r="I70" s="939">
        <v>24957926.710000001</v>
      </c>
      <c r="J70" s="940">
        <v>14902378.038541</v>
      </c>
      <c r="K70" s="940">
        <v>10055548.671459001</v>
      </c>
    </row>
    <row r="71" spans="1:11">
      <c r="A71" s="1107" t="s">
        <v>173</v>
      </c>
      <c r="B71" s="937" t="s">
        <v>174</v>
      </c>
      <c r="C71" s="943">
        <f t="shared" si="4"/>
        <v>22070346.960000001</v>
      </c>
      <c r="D71" s="932">
        <f t="shared" si="5"/>
        <v>13234121.571533</v>
      </c>
      <c r="E71" s="932">
        <f t="shared" si="5"/>
        <v>8836225.3884670008</v>
      </c>
      <c r="F71" s="938">
        <v>1057039.73</v>
      </c>
      <c r="G71" s="938">
        <v>687075.82449999999</v>
      </c>
      <c r="H71" s="938">
        <v>369963.90549999999</v>
      </c>
      <c r="I71" s="939">
        <v>21013307.23</v>
      </c>
      <c r="J71" s="940">
        <v>12547045.747033</v>
      </c>
      <c r="K71" s="940">
        <v>8466261.4829670005</v>
      </c>
    </row>
    <row r="72" spans="1:11">
      <c r="A72" s="1107" t="s">
        <v>175</v>
      </c>
      <c r="B72" s="937" t="s">
        <v>176</v>
      </c>
      <c r="C72" s="943">
        <f t="shared" si="4"/>
        <v>22249953.579999998</v>
      </c>
      <c r="D72" s="932">
        <f t="shared" si="5"/>
        <v>13340842.634336999</v>
      </c>
      <c r="E72" s="932">
        <f t="shared" si="5"/>
        <v>8909110.9456629977</v>
      </c>
      <c r="F72" s="938">
        <v>1047171.11</v>
      </c>
      <c r="G72" s="938">
        <v>680661.22149999999</v>
      </c>
      <c r="H72" s="938">
        <v>366509.8885</v>
      </c>
      <c r="I72" s="939">
        <v>21202782.469999999</v>
      </c>
      <c r="J72" s="940">
        <v>12660181.412836999</v>
      </c>
      <c r="K72" s="940">
        <v>8542601.0571629982</v>
      </c>
    </row>
    <row r="73" spans="1:11">
      <c r="A73" s="1107" t="s">
        <v>179</v>
      </c>
      <c r="B73" s="937" t="s">
        <v>180</v>
      </c>
      <c r="C73" s="943">
        <f t="shared" si="4"/>
        <v>64263107.75</v>
      </c>
      <c r="D73" s="932">
        <f t="shared" si="5"/>
        <v>38487209.812814996</v>
      </c>
      <c r="E73" s="932">
        <f t="shared" si="5"/>
        <v>25775897.937184997</v>
      </c>
      <c r="F73" s="938">
        <v>2187300.1</v>
      </c>
      <c r="G73" s="938">
        <v>1421745.0649999999</v>
      </c>
      <c r="H73" s="938">
        <v>765555.03500000003</v>
      </c>
      <c r="I73" s="939">
        <v>62075807.649999999</v>
      </c>
      <c r="J73" s="940">
        <v>37065464.747814998</v>
      </c>
      <c r="K73" s="940">
        <v>25010342.902184997</v>
      </c>
    </row>
    <row r="74" spans="1:11">
      <c r="A74" s="1107" t="s">
        <v>183</v>
      </c>
      <c r="B74" s="937" t="s">
        <v>184</v>
      </c>
      <c r="C74" s="943">
        <f t="shared" si="4"/>
        <v>10287500.99</v>
      </c>
      <c r="D74" s="932">
        <f t="shared" si="5"/>
        <v>6167145.1443940001</v>
      </c>
      <c r="E74" s="932">
        <f t="shared" si="5"/>
        <v>4120355.8456060002</v>
      </c>
      <c r="F74" s="938">
        <v>462727.85</v>
      </c>
      <c r="G74" s="938">
        <v>300773.10249999998</v>
      </c>
      <c r="H74" s="938">
        <v>161954.7475</v>
      </c>
      <c r="I74" s="939">
        <v>9824773.1400000006</v>
      </c>
      <c r="J74" s="940">
        <v>5866372.041894</v>
      </c>
      <c r="K74" s="940">
        <v>3958401.0981060001</v>
      </c>
    </row>
    <row r="75" spans="1:11">
      <c r="A75" s="1107" t="s">
        <v>185</v>
      </c>
      <c r="B75" s="937" t="s">
        <v>186</v>
      </c>
      <c r="C75" s="943">
        <f t="shared" si="4"/>
        <v>24629991.719999999</v>
      </c>
      <c r="D75" s="932">
        <f t="shared" si="5"/>
        <v>14737675.013349999</v>
      </c>
      <c r="E75" s="932">
        <f t="shared" si="5"/>
        <v>9892316.7066500001</v>
      </c>
      <c r="F75" s="938">
        <v>588033.22</v>
      </c>
      <c r="G75" s="938">
        <v>382221.59299999999</v>
      </c>
      <c r="H75" s="938">
        <v>205811.62700000001</v>
      </c>
      <c r="I75" s="939">
        <v>24041958.5</v>
      </c>
      <c r="J75" s="940">
        <v>14355453.420349998</v>
      </c>
      <c r="K75" s="940">
        <v>9686505.0796499997</v>
      </c>
    </row>
    <row r="76" spans="1:11">
      <c r="A76" s="1107" t="s">
        <v>187</v>
      </c>
      <c r="B76" s="937" t="s">
        <v>188</v>
      </c>
      <c r="C76" s="943">
        <f t="shared" si="4"/>
        <v>15604520.02</v>
      </c>
      <c r="D76" s="932">
        <f t="shared" si="5"/>
        <v>9341846.7132929992</v>
      </c>
      <c r="E76" s="932">
        <f t="shared" si="5"/>
        <v>6262673.3067069994</v>
      </c>
      <c r="F76" s="938">
        <v>461017.19</v>
      </c>
      <c r="G76" s="938">
        <v>299661.17349999998</v>
      </c>
      <c r="H76" s="938">
        <v>161356.0165</v>
      </c>
      <c r="I76" s="939">
        <v>15143502.83</v>
      </c>
      <c r="J76" s="940">
        <v>9042185.5397929996</v>
      </c>
      <c r="K76" s="940">
        <v>6101317.2902069995</v>
      </c>
    </row>
    <row r="77" spans="1:11">
      <c r="A77" s="1107" t="s">
        <v>189</v>
      </c>
      <c r="B77" s="937" t="s">
        <v>190</v>
      </c>
      <c r="C77" s="943">
        <f t="shared" si="4"/>
        <v>188685841.19999999</v>
      </c>
      <c r="D77" s="932">
        <f t="shared" si="5"/>
        <v>113335463.979399</v>
      </c>
      <c r="E77" s="932">
        <f t="shared" si="5"/>
        <v>75350377.220601007</v>
      </c>
      <c r="F77" s="938">
        <v>12687111.51</v>
      </c>
      <c r="G77" s="938">
        <v>8246622.4814999998</v>
      </c>
      <c r="H77" s="938">
        <v>4440489.0285</v>
      </c>
      <c r="I77" s="939">
        <v>175998729.69</v>
      </c>
      <c r="J77" s="940">
        <v>105088841.497899</v>
      </c>
      <c r="K77" s="940">
        <v>70909888.192101002</v>
      </c>
    </row>
    <row r="78" spans="1:11">
      <c r="A78" s="1107" t="s">
        <v>191</v>
      </c>
      <c r="B78" s="937" t="s">
        <v>192</v>
      </c>
      <c r="C78" s="943">
        <f t="shared" si="4"/>
        <v>38143206.990000002</v>
      </c>
      <c r="D78" s="932">
        <f t="shared" si="5"/>
        <v>22842604.407796998</v>
      </c>
      <c r="E78" s="932">
        <f t="shared" si="5"/>
        <v>15300602.582202999</v>
      </c>
      <c r="F78" s="938">
        <v>1272126.92</v>
      </c>
      <c r="G78" s="938">
        <v>826882.49800000002</v>
      </c>
      <c r="H78" s="938">
        <v>445244.42200000002</v>
      </c>
      <c r="I78" s="939">
        <v>36871080.07</v>
      </c>
      <c r="J78" s="940">
        <v>22015721.909796998</v>
      </c>
      <c r="K78" s="940">
        <v>14855358.160202999</v>
      </c>
    </row>
    <row r="79" spans="1:11">
      <c r="A79" s="1107" t="s">
        <v>195</v>
      </c>
      <c r="B79" s="937" t="s">
        <v>196</v>
      </c>
      <c r="C79" s="943">
        <f t="shared" si="4"/>
        <v>3851131.7</v>
      </c>
      <c r="D79" s="932">
        <f t="shared" si="5"/>
        <v>2311216.3961119996</v>
      </c>
      <c r="E79" s="932">
        <f t="shared" si="5"/>
        <v>1539915.3038879998</v>
      </c>
      <c r="F79" s="938">
        <v>221278.98</v>
      </c>
      <c r="G79" s="938">
        <v>143831.337</v>
      </c>
      <c r="H79" s="938">
        <v>77447.642999999996</v>
      </c>
      <c r="I79" s="939">
        <v>3629852.72</v>
      </c>
      <c r="J79" s="940">
        <v>2167385.0591119998</v>
      </c>
      <c r="K79" s="940">
        <v>1462467.6608879999</v>
      </c>
    </row>
    <row r="80" spans="1:11">
      <c r="A80" s="1107" t="s">
        <v>199</v>
      </c>
      <c r="B80" s="937" t="s">
        <v>200</v>
      </c>
      <c r="C80" s="943">
        <f t="shared" si="4"/>
        <v>9652339.9800000004</v>
      </c>
      <c r="D80" s="932">
        <f t="shared" si="5"/>
        <v>5780788.4227</v>
      </c>
      <c r="E80" s="932">
        <f t="shared" si="5"/>
        <v>3871551.5573</v>
      </c>
      <c r="F80" s="938">
        <v>328472.98</v>
      </c>
      <c r="G80" s="938">
        <v>213507.43700000001</v>
      </c>
      <c r="H80" s="938">
        <v>114965.54300000001</v>
      </c>
      <c r="I80" s="939">
        <v>9323867</v>
      </c>
      <c r="J80" s="940">
        <v>5567280.9857000001</v>
      </c>
      <c r="K80" s="940">
        <v>3756586.0142999999</v>
      </c>
    </row>
    <row r="81" spans="1:11">
      <c r="A81" s="1107" t="s">
        <v>203</v>
      </c>
      <c r="B81" s="937" t="s">
        <v>204</v>
      </c>
      <c r="C81" s="943">
        <f t="shared" si="4"/>
        <v>76545086.309999987</v>
      </c>
      <c r="D81" s="932">
        <f t="shared" si="5"/>
        <v>45852291.297688998</v>
      </c>
      <c r="E81" s="932">
        <f t="shared" si="5"/>
        <v>30692795.012310997</v>
      </c>
      <c r="F81" s="938">
        <v>2782991.72</v>
      </c>
      <c r="G81" s="938">
        <v>1808944.618</v>
      </c>
      <c r="H81" s="938">
        <v>974047.10199999996</v>
      </c>
      <c r="I81" s="939">
        <v>73762094.589999989</v>
      </c>
      <c r="J81" s="940">
        <v>44043346.679688998</v>
      </c>
      <c r="K81" s="940">
        <v>29718747.910310999</v>
      </c>
    </row>
    <row r="82" spans="1:11" ht="25.5">
      <c r="A82" s="1107" t="s">
        <v>205</v>
      </c>
      <c r="B82" s="937" t="s">
        <v>206</v>
      </c>
      <c r="C82" s="943">
        <f t="shared" si="4"/>
        <v>31905414.539999999</v>
      </c>
      <c r="D82" s="932">
        <f t="shared" si="5"/>
        <v>19127822.556910995</v>
      </c>
      <c r="E82" s="932">
        <f t="shared" si="5"/>
        <v>12777591.983088998</v>
      </c>
      <c r="F82" s="938">
        <v>1457458.13</v>
      </c>
      <c r="G82" s="938">
        <v>947347.78449999995</v>
      </c>
      <c r="H82" s="938">
        <v>510110.3455</v>
      </c>
      <c r="I82" s="939">
        <v>30447956.41</v>
      </c>
      <c r="J82" s="940">
        <v>18180474.772410996</v>
      </c>
      <c r="K82" s="940">
        <v>12267481.637588998</v>
      </c>
    </row>
    <row r="83" spans="1:11">
      <c r="A83" s="1107" t="s">
        <v>207</v>
      </c>
      <c r="B83" s="937" t="s">
        <v>208</v>
      </c>
      <c r="C83" s="943">
        <f t="shared" si="4"/>
        <v>79079328.590000004</v>
      </c>
      <c r="D83" s="932">
        <f t="shared" si="5"/>
        <v>47402405.13202399</v>
      </c>
      <c r="E83" s="932">
        <f t="shared" si="5"/>
        <v>31676923.457975999</v>
      </c>
      <c r="F83" s="938">
        <v>3480870.15</v>
      </c>
      <c r="G83" s="938">
        <v>2262565.5975000001</v>
      </c>
      <c r="H83" s="938">
        <v>1218304.5525</v>
      </c>
      <c r="I83" s="939">
        <v>75598458.439999998</v>
      </c>
      <c r="J83" s="940">
        <v>45139839.534523994</v>
      </c>
      <c r="K83" s="940">
        <v>30458618.905476</v>
      </c>
    </row>
    <row r="84" spans="1:11">
      <c r="A84" s="1107" t="s">
        <v>209</v>
      </c>
      <c r="B84" s="937" t="s">
        <v>210</v>
      </c>
      <c r="C84" s="943">
        <f t="shared" si="4"/>
        <v>33370545.84</v>
      </c>
      <c r="D84" s="932">
        <f t="shared" si="5"/>
        <v>20007171.356116999</v>
      </c>
      <c r="E84" s="932">
        <f t="shared" si="5"/>
        <v>13363374.483882999</v>
      </c>
      <c r="F84" s="938">
        <v>1542881.57</v>
      </c>
      <c r="G84" s="938">
        <v>1002873.0205</v>
      </c>
      <c r="H84" s="938">
        <v>540008.54949999996</v>
      </c>
      <c r="I84" s="939">
        <v>31827664.27</v>
      </c>
      <c r="J84" s="940">
        <v>19004298.335616998</v>
      </c>
      <c r="K84" s="940">
        <v>12823365.934382999</v>
      </c>
    </row>
    <row r="85" spans="1:11">
      <c r="A85" s="1107" t="s">
        <v>211</v>
      </c>
      <c r="B85" s="937" t="s">
        <v>212</v>
      </c>
      <c r="C85" s="943">
        <f t="shared" si="4"/>
        <v>28068992.300000001</v>
      </c>
      <c r="D85" s="932">
        <f t="shared" si="5"/>
        <v>16803693.557872001</v>
      </c>
      <c r="E85" s="932">
        <f t="shared" si="5"/>
        <v>11265298.742128</v>
      </c>
      <c r="F85" s="938">
        <v>826053.98</v>
      </c>
      <c r="G85" s="938">
        <v>536935.08700000006</v>
      </c>
      <c r="H85" s="938">
        <v>289118.89299999998</v>
      </c>
      <c r="I85" s="939">
        <v>27242938.32</v>
      </c>
      <c r="J85" s="940">
        <v>16266758.470872</v>
      </c>
      <c r="K85" s="940">
        <v>10976179.849128</v>
      </c>
    </row>
    <row r="86" spans="1:11">
      <c r="A86" s="1107" t="s">
        <v>213</v>
      </c>
      <c r="B86" s="937" t="s">
        <v>214</v>
      </c>
      <c r="C86" s="943">
        <f t="shared" si="4"/>
        <v>32168587.129999999</v>
      </c>
      <c r="D86" s="932">
        <f t="shared" si="5"/>
        <v>19289240.267917998</v>
      </c>
      <c r="E86" s="932">
        <f t="shared" si="5"/>
        <v>12879346.862081999</v>
      </c>
      <c r="F86" s="938">
        <v>1538315.55</v>
      </c>
      <c r="G86" s="938">
        <v>999905.10750000004</v>
      </c>
      <c r="H86" s="938">
        <v>538410.4425</v>
      </c>
      <c r="I86" s="939">
        <v>30630271.579999998</v>
      </c>
      <c r="J86" s="940">
        <v>18289335.160417996</v>
      </c>
      <c r="K86" s="940">
        <v>12340936.419581998</v>
      </c>
    </row>
    <row r="87" spans="1:11">
      <c r="A87" s="1107" t="s">
        <v>215</v>
      </c>
      <c r="B87" s="937" t="s">
        <v>216</v>
      </c>
      <c r="C87" s="943">
        <f t="shared" si="4"/>
        <v>36436831.120000005</v>
      </c>
      <c r="D87" s="932">
        <f t="shared" si="5"/>
        <v>21836339.187057</v>
      </c>
      <c r="E87" s="932">
        <f t="shared" si="5"/>
        <v>14600491.932943001</v>
      </c>
      <c r="F87" s="938">
        <v>1510535.45</v>
      </c>
      <c r="G87" s="938">
        <v>981848.04249999998</v>
      </c>
      <c r="H87" s="938">
        <v>528687.40749999997</v>
      </c>
      <c r="I87" s="939">
        <v>34926295.670000002</v>
      </c>
      <c r="J87" s="940">
        <v>20854491.144556999</v>
      </c>
      <c r="K87" s="940">
        <v>14071804.525443001</v>
      </c>
    </row>
    <row r="88" spans="1:11">
      <c r="A88" s="1107" t="s">
        <v>217</v>
      </c>
      <c r="B88" s="937" t="s">
        <v>218</v>
      </c>
      <c r="C88" s="943">
        <f t="shared" si="4"/>
        <v>19683216.369999997</v>
      </c>
      <c r="D88" s="932">
        <f t="shared" si="5"/>
        <v>11789773.584833998</v>
      </c>
      <c r="E88" s="932">
        <f t="shared" si="5"/>
        <v>7893442.7851659991</v>
      </c>
      <c r="F88" s="938">
        <v>698016.83</v>
      </c>
      <c r="G88" s="938">
        <v>453710.93949999998</v>
      </c>
      <c r="H88" s="938">
        <v>244305.89050000001</v>
      </c>
      <c r="I88" s="939">
        <v>18985199.539999999</v>
      </c>
      <c r="J88" s="940">
        <v>11336062.645333998</v>
      </c>
      <c r="K88" s="940">
        <v>7649136.8946659993</v>
      </c>
    </row>
    <row r="89" spans="1:11">
      <c r="A89" s="1107" t="s">
        <v>219</v>
      </c>
      <c r="B89" s="937" t="s">
        <v>220</v>
      </c>
      <c r="C89" s="943">
        <f t="shared" si="4"/>
        <v>71653433.86999999</v>
      </c>
      <c r="D89" s="932">
        <f t="shared" si="5"/>
        <v>42922788.825560994</v>
      </c>
      <c r="E89" s="932">
        <f t="shared" si="5"/>
        <v>28730645.044438995</v>
      </c>
      <c r="F89" s="938">
        <v>2618590.96</v>
      </c>
      <c r="G89" s="938">
        <v>1702084.1240000001</v>
      </c>
      <c r="H89" s="938">
        <v>916506.83600000001</v>
      </c>
      <c r="I89" s="939">
        <v>69034842.909999996</v>
      </c>
      <c r="J89" s="940">
        <v>41220704.701560996</v>
      </c>
      <c r="K89" s="940">
        <v>27814138.208438996</v>
      </c>
    </row>
    <row r="90" spans="1:11">
      <c r="A90" s="1107" t="s">
        <v>221</v>
      </c>
      <c r="B90" s="937" t="s">
        <v>222</v>
      </c>
      <c r="C90" s="943">
        <f t="shared" si="4"/>
        <v>54560491.219999999</v>
      </c>
      <c r="D90" s="932">
        <f t="shared" si="5"/>
        <v>32716975.372727998</v>
      </c>
      <c r="E90" s="932">
        <f t="shared" si="5"/>
        <v>21843515.847271997</v>
      </c>
      <c r="F90" s="938">
        <v>2625823.54</v>
      </c>
      <c r="G90" s="938">
        <v>1706785.301</v>
      </c>
      <c r="H90" s="938">
        <v>919038.23899999994</v>
      </c>
      <c r="I90" s="939">
        <v>51934667.68</v>
      </c>
      <c r="J90" s="940">
        <v>31010190.071727999</v>
      </c>
      <c r="K90" s="940">
        <v>20924477.608271997</v>
      </c>
    </row>
    <row r="91" spans="1:11">
      <c r="A91" s="1107" t="s">
        <v>225</v>
      </c>
      <c r="B91" s="937" t="s">
        <v>226</v>
      </c>
      <c r="C91" s="943">
        <f t="shared" si="4"/>
        <v>6919888.6399999997</v>
      </c>
      <c r="D91" s="932">
        <f t="shared" si="5"/>
        <v>4145839.4873619992</v>
      </c>
      <c r="E91" s="932">
        <f t="shared" si="5"/>
        <v>2774049.152638</v>
      </c>
      <c r="F91" s="938">
        <v>264158.42</v>
      </c>
      <c r="G91" s="938">
        <v>171702.973</v>
      </c>
      <c r="H91" s="938">
        <v>92455.447</v>
      </c>
      <c r="I91" s="939">
        <v>6655730.2199999997</v>
      </c>
      <c r="J91" s="940">
        <v>3974136.5143619995</v>
      </c>
      <c r="K91" s="940">
        <v>2681593.7056379998</v>
      </c>
    </row>
    <row r="92" spans="1:11">
      <c r="A92" s="1107" t="s">
        <v>227</v>
      </c>
      <c r="B92" s="937" t="s">
        <v>228</v>
      </c>
      <c r="C92" s="943">
        <f t="shared" si="4"/>
        <v>16875995.73</v>
      </c>
      <c r="D92" s="932">
        <f t="shared" si="5"/>
        <v>10098128.490139998</v>
      </c>
      <c r="E92" s="932">
        <f t="shared" si="5"/>
        <v>6777867.2398599992</v>
      </c>
      <c r="F92" s="938">
        <v>405887.33</v>
      </c>
      <c r="G92" s="938">
        <v>263826.76449999999</v>
      </c>
      <c r="H92" s="938">
        <v>142060.5655</v>
      </c>
      <c r="I92" s="939">
        <v>16470108.4</v>
      </c>
      <c r="J92" s="940">
        <v>9834301.7256399989</v>
      </c>
      <c r="K92" s="940">
        <v>6635806.6743599996</v>
      </c>
    </row>
    <row r="93" spans="1:11">
      <c r="A93" s="1107" t="s">
        <v>229</v>
      </c>
      <c r="B93" s="937" t="s">
        <v>230</v>
      </c>
      <c r="C93" s="943">
        <f t="shared" si="4"/>
        <v>46078313.369999997</v>
      </c>
      <c r="D93" s="932">
        <f t="shared" si="5"/>
        <v>27620679.920327999</v>
      </c>
      <c r="E93" s="932">
        <f t="shared" si="5"/>
        <v>18457633.449671999</v>
      </c>
      <c r="F93" s="938">
        <v>2028714.69</v>
      </c>
      <c r="G93" s="938">
        <v>1318664.5485</v>
      </c>
      <c r="H93" s="938">
        <v>710050.14150000003</v>
      </c>
      <c r="I93" s="939">
        <v>44049598.68</v>
      </c>
      <c r="J93" s="940">
        <v>26302015.371827997</v>
      </c>
      <c r="K93" s="940">
        <v>17747583.308171999</v>
      </c>
    </row>
    <row r="94" spans="1:11">
      <c r="A94" s="1107" t="s">
        <v>233</v>
      </c>
      <c r="B94" s="937" t="s">
        <v>234</v>
      </c>
      <c r="C94" s="943">
        <f t="shared" si="4"/>
        <v>29298633.699999999</v>
      </c>
      <c r="D94" s="932">
        <f t="shared" si="5"/>
        <v>17577970.279872999</v>
      </c>
      <c r="E94" s="932">
        <f t="shared" si="5"/>
        <v>11720663.420127001</v>
      </c>
      <c r="F94" s="938">
        <v>1583291.07</v>
      </c>
      <c r="G94" s="938">
        <v>1029139.1955</v>
      </c>
      <c r="H94" s="938">
        <v>554151.87450000003</v>
      </c>
      <c r="I94" s="939">
        <v>27715342.629999999</v>
      </c>
      <c r="J94" s="940">
        <v>16548831.084372999</v>
      </c>
      <c r="K94" s="940">
        <v>11166511.545627</v>
      </c>
    </row>
    <row r="95" spans="1:11">
      <c r="A95" s="1107" t="s">
        <v>235</v>
      </c>
      <c r="B95" s="937" t="s">
        <v>236</v>
      </c>
      <c r="C95" s="943">
        <f t="shared" si="4"/>
        <v>45806227.609999999</v>
      </c>
      <c r="D95" s="932">
        <f t="shared" si="5"/>
        <v>27474545.649249997</v>
      </c>
      <c r="E95" s="932">
        <f t="shared" si="5"/>
        <v>18331681.960749999</v>
      </c>
      <c r="F95" s="938">
        <v>2337375.11</v>
      </c>
      <c r="G95" s="938">
        <v>1519293.8215000001</v>
      </c>
      <c r="H95" s="938">
        <v>818081.28850000002</v>
      </c>
      <c r="I95" s="939">
        <v>43468852.5</v>
      </c>
      <c r="J95" s="940">
        <v>25955251.827749997</v>
      </c>
      <c r="K95" s="940">
        <v>17513600.672249999</v>
      </c>
    </row>
    <row r="96" spans="1:11">
      <c r="A96" s="1107" t="s">
        <v>237</v>
      </c>
      <c r="B96" s="937" t="s">
        <v>238</v>
      </c>
      <c r="C96" s="943">
        <f t="shared" si="4"/>
        <v>18810053.129999999</v>
      </c>
      <c r="D96" s="932">
        <f t="shared" si="5"/>
        <v>11262085.043297999</v>
      </c>
      <c r="E96" s="932">
        <f t="shared" si="5"/>
        <v>7547968.0867019994</v>
      </c>
      <c r="F96" s="938">
        <v>578493.75</v>
      </c>
      <c r="G96" s="938">
        <v>376020.9375</v>
      </c>
      <c r="H96" s="938">
        <v>202472.8125</v>
      </c>
      <c r="I96" s="939">
        <v>18231559.379999999</v>
      </c>
      <c r="J96" s="940">
        <v>10886064.105797999</v>
      </c>
      <c r="K96" s="940">
        <v>7345495.2742019994</v>
      </c>
    </row>
    <row r="97" spans="1:11">
      <c r="A97" s="1107" t="s">
        <v>243</v>
      </c>
      <c r="B97" s="937" t="s">
        <v>244</v>
      </c>
      <c r="C97" s="943">
        <f t="shared" si="4"/>
        <v>56607209.670000002</v>
      </c>
      <c r="D97" s="932">
        <f t="shared" si="5"/>
        <v>33879417.436815999</v>
      </c>
      <c r="E97" s="932">
        <f t="shared" si="5"/>
        <v>22727792.233183999</v>
      </c>
      <c r="F97" s="938">
        <v>1498157.71</v>
      </c>
      <c r="G97" s="938">
        <v>973802.51150000002</v>
      </c>
      <c r="H97" s="938">
        <v>524355.19850000006</v>
      </c>
      <c r="I97" s="939">
        <v>55109051.960000001</v>
      </c>
      <c r="J97" s="940">
        <v>32905614.925315998</v>
      </c>
      <c r="K97" s="940">
        <v>22203437.034683999</v>
      </c>
    </row>
    <row r="98" spans="1:11">
      <c r="A98" s="1107" t="s">
        <v>245</v>
      </c>
      <c r="B98" s="937" t="s">
        <v>246</v>
      </c>
      <c r="C98" s="943">
        <f t="shared" si="4"/>
        <v>29678788.549999997</v>
      </c>
      <c r="D98" s="932">
        <f t="shared" si="5"/>
        <v>17783956.628114998</v>
      </c>
      <c r="E98" s="932">
        <f t="shared" si="5"/>
        <v>11894831.921884999</v>
      </c>
      <c r="F98" s="938">
        <v>1186237.8999999999</v>
      </c>
      <c r="G98" s="938">
        <v>771054.63500000001</v>
      </c>
      <c r="H98" s="938">
        <v>415183.26500000001</v>
      </c>
      <c r="I98" s="939">
        <v>28492550.649999999</v>
      </c>
      <c r="J98" s="940">
        <v>17012901.993114997</v>
      </c>
      <c r="K98" s="940">
        <v>11479648.656884998</v>
      </c>
    </row>
    <row r="99" spans="1:11">
      <c r="A99" s="1107" t="s">
        <v>247</v>
      </c>
      <c r="B99" s="937" t="s">
        <v>389</v>
      </c>
      <c r="C99" s="943">
        <f t="shared" si="4"/>
        <v>23486461.490000002</v>
      </c>
      <c r="D99" s="932">
        <f t="shared" si="5"/>
        <v>14070642.474469999</v>
      </c>
      <c r="E99" s="932">
        <f t="shared" si="5"/>
        <v>9415819.0155299995</v>
      </c>
      <c r="F99" s="938">
        <v>886130.79</v>
      </c>
      <c r="G99" s="938">
        <v>575985.0135</v>
      </c>
      <c r="H99" s="938">
        <v>310145.77649999998</v>
      </c>
      <c r="I99" s="939">
        <v>22600330.700000003</v>
      </c>
      <c r="J99" s="940">
        <v>13494657.460969999</v>
      </c>
      <c r="K99" s="940">
        <v>9105673.2390299998</v>
      </c>
    </row>
    <row r="100" spans="1:11">
      <c r="A100" s="1107" t="s">
        <v>14</v>
      </c>
      <c r="B100" s="937" t="s">
        <v>15</v>
      </c>
      <c r="C100" s="943">
        <f t="shared" si="4"/>
        <v>71364964.040000007</v>
      </c>
      <c r="D100" s="932">
        <f t="shared" si="5"/>
        <v>42792307.323802002</v>
      </c>
      <c r="E100" s="932">
        <f t="shared" si="5"/>
        <v>28572656.716198001</v>
      </c>
      <c r="F100" s="938">
        <v>3408077.42</v>
      </c>
      <c r="G100" s="938">
        <v>2215250.3229999999</v>
      </c>
      <c r="H100" s="938">
        <v>1192827.0970000001</v>
      </c>
      <c r="I100" s="939">
        <v>67956886.620000005</v>
      </c>
      <c r="J100" s="940">
        <v>40577057.000802003</v>
      </c>
      <c r="K100" s="940">
        <v>27379829.619198002</v>
      </c>
    </row>
    <row r="101" spans="1:11">
      <c r="A101" s="1107" t="s">
        <v>35</v>
      </c>
      <c r="B101" s="937" t="s">
        <v>36</v>
      </c>
      <c r="C101" s="943">
        <f t="shared" si="4"/>
        <v>22805982.039999999</v>
      </c>
      <c r="D101" s="932">
        <f t="shared" ref="D101:E124" si="6">+G101+J101</f>
        <v>13652977.305922</v>
      </c>
      <c r="E101" s="932">
        <f t="shared" si="6"/>
        <v>9153004.7340779994</v>
      </c>
      <c r="F101" s="938">
        <v>671558.22</v>
      </c>
      <c r="G101" s="938">
        <v>436512.84299999999</v>
      </c>
      <c r="H101" s="938">
        <v>235045.37700000001</v>
      </c>
      <c r="I101" s="939">
        <v>22134423.82</v>
      </c>
      <c r="J101" s="940">
        <v>13216464.462921999</v>
      </c>
      <c r="K101" s="940">
        <v>8917959.357077999</v>
      </c>
    </row>
    <row r="102" spans="1:11">
      <c r="A102" s="1107" t="s">
        <v>53</v>
      </c>
      <c r="B102" s="937" t="s">
        <v>54</v>
      </c>
      <c r="C102" s="943">
        <f t="shared" si="4"/>
        <v>47786742.040000007</v>
      </c>
      <c r="D102" s="932">
        <f t="shared" si="6"/>
        <v>28605023.42447</v>
      </c>
      <c r="E102" s="932">
        <f t="shared" si="6"/>
        <v>19181718.615529999</v>
      </c>
      <c r="F102" s="938">
        <v>1352736.34</v>
      </c>
      <c r="G102" s="938">
        <v>879278.62100000004</v>
      </c>
      <c r="H102" s="938">
        <v>473457.71899999998</v>
      </c>
      <c r="I102" s="939">
        <v>46434005.700000003</v>
      </c>
      <c r="J102" s="940">
        <v>27725744.803470001</v>
      </c>
      <c r="K102" s="940">
        <v>18708260.896529999</v>
      </c>
    </row>
    <row r="103" spans="1:11">
      <c r="A103" s="1107" t="s">
        <v>55</v>
      </c>
      <c r="B103" s="937" t="s">
        <v>56</v>
      </c>
      <c r="C103" s="943">
        <f t="shared" si="4"/>
        <v>140580380.94999999</v>
      </c>
      <c r="D103" s="932">
        <f t="shared" si="6"/>
        <v>84197219.437657982</v>
      </c>
      <c r="E103" s="932">
        <f t="shared" si="6"/>
        <v>56383161.512341991</v>
      </c>
      <c r="F103" s="938">
        <v>4852059.97</v>
      </c>
      <c r="G103" s="938">
        <v>3153838.9805000001</v>
      </c>
      <c r="H103" s="938">
        <v>1698220.9894999999</v>
      </c>
      <c r="I103" s="939">
        <v>135728320.97999999</v>
      </c>
      <c r="J103" s="940">
        <v>81043380.457157984</v>
      </c>
      <c r="K103" s="940">
        <v>54684940.52284199</v>
      </c>
    </row>
    <row r="104" spans="1:11">
      <c r="A104" s="1107" t="s">
        <v>67</v>
      </c>
      <c r="B104" s="937" t="s">
        <v>68</v>
      </c>
      <c r="C104" s="943">
        <f t="shared" si="4"/>
        <v>84736526.170000002</v>
      </c>
      <c r="D104" s="932">
        <f t="shared" si="6"/>
        <v>50674740.356284</v>
      </c>
      <c r="E104" s="932">
        <f t="shared" si="6"/>
        <v>34061785.813716002</v>
      </c>
      <c r="F104" s="938">
        <v>1485077.13</v>
      </c>
      <c r="G104" s="938">
        <v>965300.13450000004</v>
      </c>
      <c r="H104" s="938">
        <v>519776.99550000002</v>
      </c>
      <c r="I104" s="939">
        <v>83251449.040000007</v>
      </c>
      <c r="J104" s="940">
        <v>49709440.221784003</v>
      </c>
      <c r="K104" s="940">
        <v>33542008.818216</v>
      </c>
    </row>
    <row r="105" spans="1:11">
      <c r="A105" s="1107" t="s">
        <v>83</v>
      </c>
      <c r="B105" s="937" t="s">
        <v>390</v>
      </c>
      <c r="C105" s="943">
        <f t="shared" si="4"/>
        <v>19028268.580000002</v>
      </c>
      <c r="D105" s="932">
        <f t="shared" si="6"/>
        <v>11392593.528620999</v>
      </c>
      <c r="E105" s="932">
        <f t="shared" si="6"/>
        <v>7635675.0513790008</v>
      </c>
      <c r="F105" s="938">
        <v>582502.06999999995</v>
      </c>
      <c r="G105" s="938">
        <v>378626.3455</v>
      </c>
      <c r="H105" s="938">
        <v>203875.72450000001</v>
      </c>
      <c r="I105" s="939">
        <v>18445766.510000002</v>
      </c>
      <c r="J105" s="940">
        <v>11013967.183120999</v>
      </c>
      <c r="K105" s="940">
        <v>7431799.3268790003</v>
      </c>
    </row>
    <row r="106" spans="1:11">
      <c r="A106" s="1107" t="s">
        <v>89</v>
      </c>
      <c r="B106" s="937" t="s">
        <v>90</v>
      </c>
      <c r="C106" s="943">
        <f t="shared" si="4"/>
        <v>25624271.52</v>
      </c>
      <c r="D106" s="932">
        <f t="shared" si="6"/>
        <v>15350268.592749</v>
      </c>
      <c r="E106" s="932">
        <f t="shared" si="6"/>
        <v>10274002.927251</v>
      </c>
      <c r="F106" s="938">
        <v>945483.33</v>
      </c>
      <c r="G106" s="938">
        <v>614564.16449999996</v>
      </c>
      <c r="H106" s="938">
        <v>330919.1655</v>
      </c>
      <c r="I106" s="939">
        <v>24678788.190000001</v>
      </c>
      <c r="J106" s="940">
        <v>14735704.428249</v>
      </c>
      <c r="K106" s="940">
        <v>9943083.7617509998</v>
      </c>
    </row>
    <row r="107" spans="1:11">
      <c r="A107" s="1107" t="s">
        <v>91</v>
      </c>
      <c r="B107" s="937" t="s">
        <v>92</v>
      </c>
      <c r="C107" s="943">
        <f t="shared" si="4"/>
        <v>12340825.540000001</v>
      </c>
      <c r="D107" s="932">
        <f t="shared" si="6"/>
        <v>7386946.2622149996</v>
      </c>
      <c r="E107" s="932">
        <f t="shared" si="6"/>
        <v>4953879.2777849995</v>
      </c>
      <c r="F107" s="938">
        <v>344788.89</v>
      </c>
      <c r="G107" s="938">
        <v>224112.77849999999</v>
      </c>
      <c r="H107" s="938">
        <v>120676.1115</v>
      </c>
      <c r="I107" s="939">
        <v>11996036.65</v>
      </c>
      <c r="J107" s="940">
        <v>7162833.4837149996</v>
      </c>
      <c r="K107" s="940">
        <v>4833203.1662849998</v>
      </c>
    </row>
    <row r="108" spans="1:11">
      <c r="A108" s="1107" t="s">
        <v>107</v>
      </c>
      <c r="B108" s="937" t="s">
        <v>108</v>
      </c>
      <c r="C108" s="943">
        <f t="shared" si="4"/>
        <v>137381544.16</v>
      </c>
      <c r="D108" s="932">
        <f t="shared" si="6"/>
        <v>82297573.661752</v>
      </c>
      <c r="E108" s="932">
        <f t="shared" si="6"/>
        <v>55083970.498248003</v>
      </c>
      <c r="F108" s="938">
        <v>5048273.04</v>
      </c>
      <c r="G108" s="938">
        <v>3281377.4759999998</v>
      </c>
      <c r="H108" s="938">
        <v>1766895.564</v>
      </c>
      <c r="I108" s="939">
        <v>132333271.12</v>
      </c>
      <c r="J108" s="940">
        <v>79016196.185752004</v>
      </c>
      <c r="K108" s="940">
        <v>53317074.934248</v>
      </c>
    </row>
    <row r="109" spans="1:11">
      <c r="A109" s="1107" t="s">
        <v>117</v>
      </c>
      <c r="B109" s="937" t="s">
        <v>118</v>
      </c>
      <c r="C109" s="943">
        <f t="shared" si="4"/>
        <v>36392632.270000003</v>
      </c>
      <c r="D109" s="932">
        <f t="shared" si="6"/>
        <v>21797874.156664003</v>
      </c>
      <c r="E109" s="932">
        <f t="shared" si="6"/>
        <v>14594758.113336001</v>
      </c>
      <c r="F109" s="938">
        <v>1282295.43</v>
      </c>
      <c r="G109" s="938">
        <v>833492.02949999995</v>
      </c>
      <c r="H109" s="938">
        <v>448803.40049999999</v>
      </c>
      <c r="I109" s="939">
        <v>35110336.840000004</v>
      </c>
      <c r="J109" s="940">
        <v>20964382.127164003</v>
      </c>
      <c r="K109" s="940">
        <v>14145954.712836001</v>
      </c>
    </row>
    <row r="110" spans="1:11">
      <c r="A110" s="1107" t="s">
        <v>139</v>
      </c>
      <c r="B110" s="937" t="s">
        <v>140</v>
      </c>
      <c r="C110" s="943">
        <f t="shared" si="4"/>
        <v>95493129.420000002</v>
      </c>
      <c r="D110" s="932">
        <f t="shared" si="6"/>
        <v>57163265.557933003</v>
      </c>
      <c r="E110" s="932">
        <f t="shared" si="6"/>
        <v>38329863.862066999</v>
      </c>
      <c r="F110" s="938">
        <v>2728128.19</v>
      </c>
      <c r="G110" s="938">
        <v>1773283.3234999999</v>
      </c>
      <c r="H110" s="938">
        <v>954844.8665</v>
      </c>
      <c r="I110" s="939">
        <v>92765001.230000004</v>
      </c>
      <c r="J110" s="940">
        <v>55389982.234433003</v>
      </c>
      <c r="K110" s="940">
        <v>37375018.995567001</v>
      </c>
    </row>
    <row r="111" spans="1:11">
      <c r="A111" s="1107" t="s">
        <v>143</v>
      </c>
      <c r="B111" s="937" t="s">
        <v>144</v>
      </c>
      <c r="C111" s="943">
        <f t="shared" si="4"/>
        <v>25321643.600000001</v>
      </c>
      <c r="D111" s="932">
        <f t="shared" si="6"/>
        <v>15224212.336328</v>
      </c>
      <c r="E111" s="932">
        <f t="shared" si="6"/>
        <v>10097431.263671998</v>
      </c>
      <c r="F111" s="938">
        <v>1978429.92</v>
      </c>
      <c r="G111" s="938">
        <v>1285979.4480000001</v>
      </c>
      <c r="H111" s="938">
        <v>692450.47199999995</v>
      </c>
      <c r="I111" s="939">
        <v>23343213.68</v>
      </c>
      <c r="J111" s="940">
        <v>13938232.888327999</v>
      </c>
      <c r="K111" s="940">
        <v>9404980.7916719988</v>
      </c>
    </row>
    <row r="112" spans="1:11">
      <c r="A112" s="1107" t="s">
        <v>145</v>
      </c>
      <c r="B112" s="937" t="s">
        <v>146</v>
      </c>
      <c r="C112" s="943">
        <f t="shared" si="4"/>
        <v>8193533.4699999997</v>
      </c>
      <c r="D112" s="932">
        <f t="shared" si="6"/>
        <v>4925698.3701209994</v>
      </c>
      <c r="E112" s="932">
        <f t="shared" si="6"/>
        <v>3267835.0998789994</v>
      </c>
      <c r="F112" s="938">
        <v>630236.96</v>
      </c>
      <c r="G112" s="938">
        <v>409654.02399999998</v>
      </c>
      <c r="H112" s="938">
        <v>220582.93599999999</v>
      </c>
      <c r="I112" s="939">
        <v>7563296.5099999998</v>
      </c>
      <c r="J112" s="940">
        <v>4516044.3461209992</v>
      </c>
      <c r="K112" s="940">
        <v>3047252.1638789997</v>
      </c>
    </row>
    <row r="113" spans="1:11">
      <c r="A113" s="1107" t="s">
        <v>159</v>
      </c>
      <c r="B113" s="937" t="s">
        <v>160</v>
      </c>
      <c r="C113" s="943">
        <f t="shared" si="4"/>
        <v>189364656.59999999</v>
      </c>
      <c r="D113" s="932">
        <f t="shared" si="6"/>
        <v>113421993.11759399</v>
      </c>
      <c r="E113" s="932">
        <f t="shared" si="6"/>
        <v>75942663.48240599</v>
      </c>
      <c r="F113" s="938">
        <v>6660806.46</v>
      </c>
      <c r="G113" s="938">
        <v>4329524.199</v>
      </c>
      <c r="H113" s="938">
        <v>2331282.2609999999</v>
      </c>
      <c r="I113" s="939">
        <v>182703850.13999999</v>
      </c>
      <c r="J113" s="940">
        <v>109092468.91859399</v>
      </c>
      <c r="K113" s="940">
        <v>73611381.221405998</v>
      </c>
    </row>
    <row r="114" spans="1:11">
      <c r="A114" s="1107" t="s">
        <v>161</v>
      </c>
      <c r="B114" s="937" t="s">
        <v>162</v>
      </c>
      <c r="C114" s="943">
        <f t="shared" si="4"/>
        <v>279073969.03999996</v>
      </c>
      <c r="D114" s="932">
        <f t="shared" si="6"/>
        <v>167003370.47836396</v>
      </c>
      <c r="E114" s="932">
        <f t="shared" si="6"/>
        <v>112070598.56163597</v>
      </c>
      <c r="F114" s="938">
        <v>6962260.2000000002</v>
      </c>
      <c r="G114" s="938">
        <v>4525469.13</v>
      </c>
      <c r="H114" s="938">
        <v>2436791.0699999998</v>
      </c>
      <c r="I114" s="939">
        <v>272111708.83999997</v>
      </c>
      <c r="J114" s="940">
        <v>162477901.34836397</v>
      </c>
      <c r="K114" s="940">
        <v>109633807.49163598</v>
      </c>
    </row>
    <row r="115" spans="1:11">
      <c r="A115" s="1107" t="s">
        <v>167</v>
      </c>
      <c r="B115" s="937" t="s">
        <v>168</v>
      </c>
      <c r="C115" s="943">
        <f t="shared" si="4"/>
        <v>6846346.8799999999</v>
      </c>
      <c r="D115" s="932">
        <f t="shared" si="6"/>
        <v>4098889.6570529998</v>
      </c>
      <c r="E115" s="932">
        <f t="shared" si="6"/>
        <v>2747457.2229469996</v>
      </c>
      <c r="F115" s="938">
        <v>206728.45</v>
      </c>
      <c r="G115" s="938">
        <v>134373.49249999999</v>
      </c>
      <c r="H115" s="938">
        <v>72354.957500000004</v>
      </c>
      <c r="I115" s="939">
        <v>6639618.4299999997</v>
      </c>
      <c r="J115" s="940">
        <v>3964516.1645529997</v>
      </c>
      <c r="K115" s="940">
        <v>2675102.2654469996</v>
      </c>
    </row>
    <row r="116" spans="1:11">
      <c r="A116" s="1107" t="s">
        <v>177</v>
      </c>
      <c r="B116" s="937" t="s">
        <v>178</v>
      </c>
      <c r="C116" s="943">
        <f t="shared" si="4"/>
        <v>80809464.030000001</v>
      </c>
      <c r="D116" s="932">
        <f t="shared" si="6"/>
        <v>48321109.050053991</v>
      </c>
      <c r="E116" s="932">
        <f t="shared" si="6"/>
        <v>32488354.979945995</v>
      </c>
      <c r="F116" s="938">
        <v>1319056.29</v>
      </c>
      <c r="G116" s="938">
        <v>857386.58849999995</v>
      </c>
      <c r="H116" s="938">
        <v>461669.70150000002</v>
      </c>
      <c r="I116" s="939">
        <v>79490407.739999995</v>
      </c>
      <c r="J116" s="940">
        <v>47463722.461553991</v>
      </c>
      <c r="K116" s="940">
        <v>32026685.278445996</v>
      </c>
    </row>
    <row r="117" spans="1:11">
      <c r="A117" s="1107" t="s">
        <v>181</v>
      </c>
      <c r="B117" s="937" t="s">
        <v>182</v>
      </c>
      <c r="C117" s="943">
        <f t="shared" si="4"/>
        <v>143762145.59</v>
      </c>
      <c r="D117" s="932">
        <f t="shared" si="6"/>
        <v>86027019.600546986</v>
      </c>
      <c r="E117" s="932">
        <f t="shared" si="6"/>
        <v>57735125.989452988</v>
      </c>
      <c r="F117" s="938">
        <v>3528213.02</v>
      </c>
      <c r="G117" s="938">
        <v>2293338.463</v>
      </c>
      <c r="H117" s="938">
        <v>1234874.557</v>
      </c>
      <c r="I117" s="939">
        <v>140233932.56999999</v>
      </c>
      <c r="J117" s="940">
        <v>83733681.137546986</v>
      </c>
      <c r="K117" s="940">
        <v>56500251.432452992</v>
      </c>
    </row>
    <row r="118" spans="1:11">
      <c r="A118" s="1107" t="s">
        <v>193</v>
      </c>
      <c r="B118" s="937" t="s">
        <v>194</v>
      </c>
      <c r="C118" s="943">
        <f t="shared" si="4"/>
        <v>11948248.65</v>
      </c>
      <c r="D118" s="932">
        <f t="shared" si="6"/>
        <v>7154588.2862849999</v>
      </c>
      <c r="E118" s="932">
        <f t="shared" si="6"/>
        <v>4793660.3637150005</v>
      </c>
      <c r="F118" s="938">
        <v>383535.3</v>
      </c>
      <c r="G118" s="938">
        <v>249297.94500000001</v>
      </c>
      <c r="H118" s="938">
        <v>134237.35500000001</v>
      </c>
      <c r="I118" s="939">
        <v>11564713.35</v>
      </c>
      <c r="J118" s="940">
        <v>6905290.3412849996</v>
      </c>
      <c r="K118" s="940">
        <v>4659423.008715</v>
      </c>
    </row>
    <row r="119" spans="1:11">
      <c r="A119" s="1107" t="s">
        <v>197</v>
      </c>
      <c r="B119" s="937" t="s">
        <v>391</v>
      </c>
      <c r="C119" s="943">
        <f t="shared" si="4"/>
        <v>382677120.30000001</v>
      </c>
      <c r="D119" s="932">
        <f t="shared" si="6"/>
        <v>228933635.49720198</v>
      </c>
      <c r="E119" s="932">
        <f t="shared" si="6"/>
        <v>153743484.802798</v>
      </c>
      <c r="F119" s="938">
        <v>8263269.6799999997</v>
      </c>
      <c r="G119" s="938">
        <v>5371125.2920000004</v>
      </c>
      <c r="H119" s="938">
        <v>2892144.3879999998</v>
      </c>
      <c r="I119" s="939">
        <v>374413850.62</v>
      </c>
      <c r="J119" s="940">
        <v>223562510.20520198</v>
      </c>
      <c r="K119" s="940">
        <v>150851340.41479799</v>
      </c>
    </row>
    <row r="120" spans="1:11">
      <c r="A120" s="1107" t="s">
        <v>201</v>
      </c>
      <c r="B120" s="937" t="s">
        <v>392</v>
      </c>
      <c r="C120" s="943">
        <f t="shared" si="4"/>
        <v>166682138.84999999</v>
      </c>
      <c r="D120" s="932">
        <f t="shared" si="6"/>
        <v>99771696.228834987</v>
      </c>
      <c r="E120" s="932">
        <f t="shared" si="6"/>
        <v>66910442.621164992</v>
      </c>
      <c r="F120" s="938">
        <v>4646335</v>
      </c>
      <c r="G120" s="938">
        <v>3020117.75</v>
      </c>
      <c r="H120" s="938">
        <v>1626217.25</v>
      </c>
      <c r="I120" s="939">
        <v>162035803.84999999</v>
      </c>
      <c r="J120" s="940">
        <v>96751578.478834987</v>
      </c>
      <c r="K120" s="940">
        <v>65284225.371164992</v>
      </c>
    </row>
    <row r="121" spans="1:11">
      <c r="A121" s="1107" t="s">
        <v>223</v>
      </c>
      <c r="B121" s="937" t="s">
        <v>224</v>
      </c>
      <c r="C121" s="943">
        <f t="shared" si="4"/>
        <v>90788053.659999996</v>
      </c>
      <c r="D121" s="932">
        <f t="shared" si="6"/>
        <v>54332462.466634996</v>
      </c>
      <c r="E121" s="932">
        <f t="shared" si="6"/>
        <v>36455591.193365</v>
      </c>
      <c r="F121" s="938">
        <v>2323546.81</v>
      </c>
      <c r="G121" s="938">
        <v>1510305.4265000001</v>
      </c>
      <c r="H121" s="938">
        <v>813241.3835</v>
      </c>
      <c r="I121" s="939">
        <v>88464506.849999994</v>
      </c>
      <c r="J121" s="940">
        <v>52822157.040134996</v>
      </c>
      <c r="K121" s="940">
        <v>35642349.809864998</v>
      </c>
    </row>
    <row r="122" spans="1:11">
      <c r="A122" s="1107" t="s">
        <v>231</v>
      </c>
      <c r="B122" s="937" t="s">
        <v>232</v>
      </c>
      <c r="C122" s="943">
        <f t="shared" si="4"/>
        <v>234682305.97</v>
      </c>
      <c r="D122" s="932">
        <f t="shared" si="6"/>
        <v>140665982.92998299</v>
      </c>
      <c r="E122" s="932">
        <f t="shared" si="6"/>
        <v>94016323.040016994</v>
      </c>
      <c r="F122" s="938">
        <v>10154594.24</v>
      </c>
      <c r="G122" s="938">
        <v>6600486.2560000001</v>
      </c>
      <c r="H122" s="938">
        <v>3554107.9840000002</v>
      </c>
      <c r="I122" s="939">
        <v>224527711.72999999</v>
      </c>
      <c r="J122" s="940">
        <v>134065496.67398299</v>
      </c>
      <c r="K122" s="940">
        <v>90462215.056016997</v>
      </c>
    </row>
    <row r="123" spans="1:11">
      <c r="A123" s="1107" t="s">
        <v>239</v>
      </c>
      <c r="B123" s="937" t="s">
        <v>240</v>
      </c>
      <c r="C123" s="943">
        <f t="shared" si="4"/>
        <v>6067771.9899999993</v>
      </c>
      <c r="D123" s="932">
        <f t="shared" si="6"/>
        <v>3633606.1941349995</v>
      </c>
      <c r="E123" s="932">
        <f t="shared" si="6"/>
        <v>2434165.7958649998</v>
      </c>
      <c r="F123" s="938">
        <v>199235.14</v>
      </c>
      <c r="G123" s="938">
        <v>129502.841</v>
      </c>
      <c r="H123" s="938">
        <v>69732.298999999999</v>
      </c>
      <c r="I123" s="939">
        <v>5868536.8499999996</v>
      </c>
      <c r="J123" s="940">
        <v>3504103.3531349995</v>
      </c>
      <c r="K123" s="940">
        <v>2364433.4968649996</v>
      </c>
    </row>
    <row r="124" spans="1:11">
      <c r="A124" s="1107" t="s">
        <v>241</v>
      </c>
      <c r="B124" s="937" t="s">
        <v>242</v>
      </c>
      <c r="C124" s="943">
        <f t="shared" si="4"/>
        <v>28603482.670000002</v>
      </c>
      <c r="D124" s="932">
        <f t="shared" si="6"/>
        <v>17140868.687885001</v>
      </c>
      <c r="E124" s="932">
        <f t="shared" si="6"/>
        <v>11462613.982115</v>
      </c>
      <c r="F124" s="938">
        <v>1166903.32</v>
      </c>
      <c r="G124" s="938">
        <v>758487.15800000005</v>
      </c>
      <c r="H124" s="938">
        <v>408416.16200000001</v>
      </c>
      <c r="I124" s="939">
        <v>27436579.350000001</v>
      </c>
      <c r="J124" s="940">
        <v>16382381.529885</v>
      </c>
      <c r="K124" s="940">
        <v>11054197.820115</v>
      </c>
    </row>
    <row r="126" spans="1:11" s="538" customFormat="1">
      <c r="A126" s="538" t="s">
        <v>1026</v>
      </c>
      <c r="B126" s="836"/>
      <c r="C126" s="540"/>
    </row>
    <row r="127" spans="1:11" s="538" customFormat="1"/>
    <row r="128" spans="1:11" s="519" customFormat="1">
      <c r="A128" s="519" t="s">
        <v>250</v>
      </c>
    </row>
    <row r="129" spans="1:2">
      <c r="A129" s="536" t="s">
        <v>251</v>
      </c>
      <c r="B129" s="407" t="s">
        <v>252</v>
      </c>
    </row>
  </sheetData>
  <hyperlinks>
    <hyperlink ref="B129" r:id="rId1"/>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F129"/>
  <sheetViews>
    <sheetView workbookViewId="0">
      <pane ySplit="4" topLeftCell="A8" activePane="bottomLeft" state="frozen"/>
      <selection pane="bottomLeft" activeCell="B12" sqref="B12"/>
    </sheetView>
  </sheetViews>
  <sheetFormatPr defaultRowHeight="12.75"/>
  <cols>
    <col min="1" max="1" width="9.125" style="654" customWidth="1"/>
    <col min="2" max="2" width="28.75" style="654" bestFit="1" customWidth="1"/>
    <col min="3" max="3" width="13.5" style="654" bestFit="1" customWidth="1"/>
    <col min="4" max="4" width="14.125" style="654" customWidth="1"/>
    <col min="5" max="5" width="12.25" style="654" bestFit="1" customWidth="1"/>
    <col min="6" max="6" width="13" style="654" bestFit="1" customWidth="1"/>
    <col min="7" max="16384" width="9" style="654"/>
  </cols>
  <sheetData>
    <row r="1" spans="1:6" ht="15.75">
      <c r="A1" s="108" t="s">
        <v>1099</v>
      </c>
    </row>
    <row r="3" spans="1:6" ht="25.5">
      <c r="A3" s="1112" t="s">
        <v>372</v>
      </c>
      <c r="B3" s="945" t="s">
        <v>373</v>
      </c>
      <c r="C3" s="945" t="s">
        <v>558</v>
      </c>
      <c r="D3" s="945" t="s">
        <v>559</v>
      </c>
      <c r="E3" s="945" t="s">
        <v>560</v>
      </c>
      <c r="F3" s="945" t="s">
        <v>561</v>
      </c>
    </row>
    <row r="4" spans="1:6">
      <c r="A4" s="1110">
        <v>999</v>
      </c>
      <c r="B4" s="1009" t="s">
        <v>9</v>
      </c>
      <c r="C4" s="1010">
        <f>SUM(C5:C124)</f>
        <v>1305973239</v>
      </c>
      <c r="D4" s="1010">
        <f>SUM(D5:D124)</f>
        <v>1305973239</v>
      </c>
      <c r="E4" s="1010">
        <f>SUM(E5:E124)</f>
        <v>0</v>
      </c>
      <c r="F4" s="1010">
        <f>SUM(F5:F124)</f>
        <v>0</v>
      </c>
    </row>
    <row r="5" spans="1:6">
      <c r="A5" s="1111" t="s">
        <v>10</v>
      </c>
      <c r="B5" s="946" t="s">
        <v>11</v>
      </c>
      <c r="C5" s="844">
        <v>9140037</v>
      </c>
      <c r="D5" s="844">
        <v>9140037</v>
      </c>
      <c r="E5" s="949">
        <v>0</v>
      </c>
      <c r="F5" s="949">
        <v>0</v>
      </c>
    </row>
    <row r="6" spans="1:6">
      <c r="A6" s="1111" t="s">
        <v>12</v>
      </c>
      <c r="B6" s="946" t="s">
        <v>13</v>
      </c>
      <c r="C6" s="844">
        <v>9694937</v>
      </c>
      <c r="D6" s="844">
        <v>9694937</v>
      </c>
      <c r="E6" s="949">
        <v>0</v>
      </c>
      <c r="F6" s="949">
        <v>0</v>
      </c>
    </row>
    <row r="7" spans="1:6">
      <c r="A7" s="1111" t="s">
        <v>16</v>
      </c>
      <c r="B7" s="946" t="s">
        <v>364</v>
      </c>
      <c r="C7" s="844">
        <v>4585593</v>
      </c>
      <c r="D7" s="844">
        <v>4585593</v>
      </c>
      <c r="E7" s="949">
        <v>0</v>
      </c>
      <c r="F7" s="949">
        <v>0</v>
      </c>
    </row>
    <row r="8" spans="1:6">
      <c r="A8" s="1111" t="s">
        <v>18</v>
      </c>
      <c r="B8" s="946" t="s">
        <v>19</v>
      </c>
      <c r="C8" s="844">
        <v>3111539</v>
      </c>
      <c r="D8" s="844">
        <v>3111539</v>
      </c>
      <c r="E8" s="949">
        <v>0</v>
      </c>
      <c r="F8" s="949">
        <v>0</v>
      </c>
    </row>
    <row r="9" spans="1:6">
      <c r="A9" s="1111" t="s">
        <v>20</v>
      </c>
      <c r="B9" s="946" t="s">
        <v>21</v>
      </c>
      <c r="C9" s="844">
        <v>5659927</v>
      </c>
      <c r="D9" s="844">
        <v>5659927</v>
      </c>
      <c r="E9" s="949">
        <v>0</v>
      </c>
      <c r="F9" s="949">
        <v>0</v>
      </c>
    </row>
    <row r="10" spans="1:6">
      <c r="A10" s="1111" t="s">
        <v>22</v>
      </c>
      <c r="B10" s="946" t="s">
        <v>23</v>
      </c>
      <c r="C10" s="844">
        <v>3546142</v>
      </c>
      <c r="D10" s="844">
        <v>3546142</v>
      </c>
      <c r="E10" s="949">
        <v>0</v>
      </c>
      <c r="F10" s="949">
        <v>0</v>
      </c>
    </row>
    <row r="11" spans="1:6">
      <c r="A11" s="1111" t="s">
        <v>24</v>
      </c>
      <c r="B11" s="946" t="s">
        <v>25</v>
      </c>
      <c r="C11" s="844">
        <v>9783679</v>
      </c>
      <c r="D11" s="844">
        <v>9783679</v>
      </c>
      <c r="E11" s="949">
        <v>0</v>
      </c>
      <c r="F11" s="949">
        <v>0</v>
      </c>
    </row>
    <row r="12" spans="1:6">
      <c r="A12" s="1111" t="s">
        <v>26</v>
      </c>
      <c r="B12" s="946" t="s">
        <v>1114</v>
      </c>
      <c r="C12" s="844">
        <v>21213377</v>
      </c>
      <c r="D12" s="844">
        <v>21213377</v>
      </c>
      <c r="E12" s="949">
        <v>0</v>
      </c>
      <c r="F12" s="949">
        <v>0</v>
      </c>
    </row>
    <row r="13" spans="1:6">
      <c r="A13" s="1111" t="s">
        <v>27</v>
      </c>
      <c r="B13" s="946" t="s">
        <v>28</v>
      </c>
      <c r="C13" s="844">
        <v>459656</v>
      </c>
      <c r="D13" s="844">
        <v>459656</v>
      </c>
      <c r="E13" s="949">
        <v>0</v>
      </c>
      <c r="F13" s="949">
        <v>0</v>
      </c>
    </row>
    <row r="14" spans="1:6">
      <c r="A14" s="1111" t="s">
        <v>29</v>
      </c>
      <c r="B14" s="946" t="s">
        <v>386</v>
      </c>
      <c r="C14" s="844">
        <v>9748490</v>
      </c>
      <c r="D14" s="844">
        <v>9748490</v>
      </c>
      <c r="E14" s="949">
        <v>0</v>
      </c>
      <c r="F14" s="949">
        <v>0</v>
      </c>
    </row>
    <row r="15" spans="1:6">
      <c r="A15" s="1111" t="s">
        <v>31</v>
      </c>
      <c r="B15" s="946" t="s">
        <v>32</v>
      </c>
      <c r="C15" s="844">
        <v>810086</v>
      </c>
      <c r="D15" s="844">
        <v>810086</v>
      </c>
      <c r="E15" s="949">
        <v>0</v>
      </c>
      <c r="F15" s="949">
        <v>0</v>
      </c>
    </row>
    <row r="16" spans="1:6">
      <c r="A16" s="1111" t="s">
        <v>33</v>
      </c>
      <c r="B16" s="946" t="s">
        <v>34</v>
      </c>
      <c r="C16" s="844">
        <v>2178523</v>
      </c>
      <c r="D16" s="844">
        <v>2178523</v>
      </c>
      <c r="E16" s="949">
        <v>0</v>
      </c>
      <c r="F16" s="949">
        <v>0</v>
      </c>
    </row>
    <row r="17" spans="1:6">
      <c r="A17" s="1111" t="s">
        <v>37</v>
      </c>
      <c r="B17" s="946" t="s">
        <v>38</v>
      </c>
      <c r="C17" s="844">
        <v>5530809</v>
      </c>
      <c r="D17" s="844">
        <v>5530809</v>
      </c>
      <c r="E17" s="949">
        <v>0</v>
      </c>
      <c r="F17" s="949">
        <v>0</v>
      </c>
    </row>
    <row r="18" spans="1:6">
      <c r="A18" s="1111" t="s">
        <v>39</v>
      </c>
      <c r="B18" s="946" t="s">
        <v>40</v>
      </c>
      <c r="C18" s="844">
        <v>6421002</v>
      </c>
      <c r="D18" s="844">
        <v>6421002</v>
      </c>
      <c r="E18" s="949">
        <v>0</v>
      </c>
      <c r="F18" s="949">
        <v>0</v>
      </c>
    </row>
    <row r="19" spans="1:6">
      <c r="A19" s="1111" t="s">
        <v>41</v>
      </c>
      <c r="B19" s="946" t="s">
        <v>42</v>
      </c>
      <c r="C19" s="844">
        <v>5042078</v>
      </c>
      <c r="D19" s="844">
        <v>5042078</v>
      </c>
      <c r="E19" s="949">
        <v>0</v>
      </c>
      <c r="F19" s="949">
        <v>0</v>
      </c>
    </row>
    <row r="20" spans="1:6">
      <c r="A20" s="1111" t="s">
        <v>43</v>
      </c>
      <c r="B20" s="946" t="s">
        <v>44</v>
      </c>
      <c r="C20" s="844">
        <v>10955243</v>
      </c>
      <c r="D20" s="844">
        <v>10955243</v>
      </c>
      <c r="E20" s="949">
        <v>0</v>
      </c>
      <c r="F20" s="949">
        <v>0</v>
      </c>
    </row>
    <row r="21" spans="1:6">
      <c r="A21" s="1111" t="s">
        <v>45</v>
      </c>
      <c r="B21" s="946" t="s">
        <v>46</v>
      </c>
      <c r="C21" s="844">
        <v>7535354</v>
      </c>
      <c r="D21" s="844">
        <v>7535354</v>
      </c>
      <c r="E21" s="949">
        <v>0</v>
      </c>
      <c r="F21" s="949">
        <v>0</v>
      </c>
    </row>
    <row r="22" spans="1:6">
      <c r="A22" s="1111" t="s">
        <v>47</v>
      </c>
      <c r="B22" s="946" t="s">
        <v>48</v>
      </c>
      <c r="C22" s="844">
        <v>7522353</v>
      </c>
      <c r="D22" s="844">
        <v>7522353</v>
      </c>
      <c r="E22" s="949">
        <v>0</v>
      </c>
      <c r="F22" s="949">
        <v>0</v>
      </c>
    </row>
    <row r="23" spans="1:6">
      <c r="A23" s="1111" t="s">
        <v>49</v>
      </c>
      <c r="B23" s="946" t="s">
        <v>279</v>
      </c>
      <c r="C23" s="844">
        <v>1547263</v>
      </c>
      <c r="D23" s="844">
        <v>1547263</v>
      </c>
      <c r="E23" s="949">
        <v>0</v>
      </c>
      <c r="F23" s="949">
        <v>0</v>
      </c>
    </row>
    <row r="24" spans="1:6">
      <c r="A24" s="1111" t="s">
        <v>51</v>
      </c>
      <c r="B24" s="946" t="s">
        <v>52</v>
      </c>
      <c r="C24" s="844">
        <v>3233393</v>
      </c>
      <c r="D24" s="844">
        <v>3233393</v>
      </c>
      <c r="E24" s="949">
        <v>0</v>
      </c>
      <c r="F24" s="949">
        <v>0</v>
      </c>
    </row>
    <row r="25" spans="1:6">
      <c r="A25" s="1111" t="s">
        <v>57</v>
      </c>
      <c r="B25" s="946" t="s">
        <v>362</v>
      </c>
      <c r="C25" s="844">
        <v>46842811</v>
      </c>
      <c r="D25" s="844">
        <v>46842811</v>
      </c>
      <c r="E25" s="949">
        <v>0</v>
      </c>
      <c r="F25" s="949">
        <v>0</v>
      </c>
    </row>
    <row r="26" spans="1:6">
      <c r="A26" s="1111" t="s">
        <v>59</v>
      </c>
      <c r="B26" s="946" t="s">
        <v>60</v>
      </c>
      <c r="C26" s="844">
        <v>1156966</v>
      </c>
      <c r="D26" s="844">
        <v>1156966</v>
      </c>
      <c r="E26" s="949">
        <v>0</v>
      </c>
      <c r="F26" s="949">
        <v>0</v>
      </c>
    </row>
    <row r="27" spans="1:6">
      <c r="A27" s="1111" t="s">
        <v>61</v>
      </c>
      <c r="B27" s="946" t="s">
        <v>62</v>
      </c>
      <c r="C27" s="844">
        <v>712986</v>
      </c>
      <c r="D27" s="844">
        <v>712986</v>
      </c>
      <c r="E27" s="949">
        <v>0</v>
      </c>
      <c r="F27" s="949">
        <v>0</v>
      </c>
    </row>
    <row r="28" spans="1:6">
      <c r="A28" s="1111" t="s">
        <v>63</v>
      </c>
      <c r="B28" s="946" t="s">
        <v>64</v>
      </c>
      <c r="C28" s="844">
        <v>8423034</v>
      </c>
      <c r="D28" s="844">
        <v>8423034</v>
      </c>
      <c r="E28" s="949">
        <v>0</v>
      </c>
      <c r="F28" s="949">
        <v>0</v>
      </c>
    </row>
    <row r="29" spans="1:6">
      <c r="A29" s="1111" t="s">
        <v>65</v>
      </c>
      <c r="B29" s="946" t="s">
        <v>66</v>
      </c>
      <c r="C29" s="844">
        <v>3007771</v>
      </c>
      <c r="D29" s="844">
        <v>3007771</v>
      </c>
      <c r="E29" s="949">
        <v>0</v>
      </c>
      <c r="F29" s="949">
        <v>0</v>
      </c>
    </row>
    <row r="30" spans="1:6">
      <c r="A30" s="1111" t="s">
        <v>69</v>
      </c>
      <c r="B30" s="946" t="s">
        <v>70</v>
      </c>
      <c r="C30" s="844">
        <v>4486336</v>
      </c>
      <c r="D30" s="844">
        <v>4486336</v>
      </c>
      <c r="E30" s="949">
        <v>0</v>
      </c>
      <c r="F30" s="949">
        <v>0</v>
      </c>
    </row>
    <row r="31" spans="1:6">
      <c r="A31" s="1111" t="s">
        <v>71</v>
      </c>
      <c r="B31" s="946" t="s">
        <v>72</v>
      </c>
      <c r="C31" s="844">
        <v>7020956</v>
      </c>
      <c r="D31" s="844">
        <v>7020956</v>
      </c>
      <c r="E31" s="949">
        <v>0</v>
      </c>
      <c r="F31" s="949">
        <v>0</v>
      </c>
    </row>
    <row r="32" spans="1:6">
      <c r="A32" s="1111" t="s">
        <v>73</v>
      </c>
      <c r="B32" s="946" t="s">
        <v>74</v>
      </c>
      <c r="C32" s="844">
        <v>3778859</v>
      </c>
      <c r="D32" s="844">
        <v>3778859</v>
      </c>
      <c r="E32" s="949">
        <v>0</v>
      </c>
      <c r="F32" s="949">
        <v>0</v>
      </c>
    </row>
    <row r="33" spans="1:6">
      <c r="A33" s="1111" t="s">
        <v>75</v>
      </c>
      <c r="B33" s="946" t="s">
        <v>369</v>
      </c>
      <c r="C33" s="844">
        <v>61545486</v>
      </c>
      <c r="D33" s="844">
        <v>61545486</v>
      </c>
      <c r="E33" s="949">
        <v>0</v>
      </c>
      <c r="F33" s="949">
        <v>0</v>
      </c>
    </row>
    <row r="34" spans="1:6">
      <c r="A34" s="1111" t="s">
        <v>77</v>
      </c>
      <c r="B34" s="946" t="s">
        <v>78</v>
      </c>
      <c r="C34" s="844">
        <v>6428285</v>
      </c>
      <c r="D34" s="844">
        <v>6428285</v>
      </c>
      <c r="E34" s="949">
        <v>0</v>
      </c>
      <c r="F34" s="949">
        <v>0</v>
      </c>
    </row>
    <row r="35" spans="1:6">
      <c r="A35" s="1111" t="s">
        <v>79</v>
      </c>
      <c r="B35" s="946" t="s">
        <v>80</v>
      </c>
      <c r="C35" s="844">
        <v>3039830</v>
      </c>
      <c r="D35" s="844">
        <v>3039830</v>
      </c>
      <c r="E35" s="949">
        <v>0</v>
      </c>
      <c r="F35" s="949">
        <v>0</v>
      </c>
    </row>
    <row r="36" spans="1:6">
      <c r="A36" s="1111" t="s">
        <v>81</v>
      </c>
      <c r="B36" s="946" t="s">
        <v>82</v>
      </c>
      <c r="C36" s="844">
        <v>2433804</v>
      </c>
      <c r="D36" s="844">
        <v>2433804</v>
      </c>
      <c r="E36" s="949">
        <v>0</v>
      </c>
      <c r="F36" s="949">
        <v>0</v>
      </c>
    </row>
    <row r="37" spans="1:6">
      <c r="A37" s="1111" t="s">
        <v>85</v>
      </c>
      <c r="B37" s="946" t="s">
        <v>387</v>
      </c>
      <c r="C37" s="844">
        <v>12433099</v>
      </c>
      <c r="D37" s="844">
        <v>12433099</v>
      </c>
      <c r="E37" s="949">
        <v>0</v>
      </c>
      <c r="F37" s="949">
        <v>0</v>
      </c>
    </row>
    <row r="38" spans="1:6">
      <c r="A38" s="1111" t="s">
        <v>87</v>
      </c>
      <c r="B38" s="946" t="s">
        <v>88</v>
      </c>
      <c r="C38" s="844">
        <v>10522480</v>
      </c>
      <c r="D38" s="844">
        <v>10522480</v>
      </c>
      <c r="E38" s="949">
        <v>0</v>
      </c>
      <c r="F38" s="949">
        <v>0</v>
      </c>
    </row>
    <row r="39" spans="1:6">
      <c r="A39" s="1111" t="s">
        <v>93</v>
      </c>
      <c r="B39" s="946" t="s">
        <v>94</v>
      </c>
      <c r="C39" s="844">
        <v>3417205</v>
      </c>
      <c r="D39" s="844">
        <v>3417205</v>
      </c>
      <c r="E39" s="949">
        <v>0</v>
      </c>
      <c r="F39" s="949">
        <v>0</v>
      </c>
    </row>
    <row r="40" spans="1:6">
      <c r="A40" s="1111" t="s">
        <v>95</v>
      </c>
      <c r="B40" s="946" t="s">
        <v>96</v>
      </c>
      <c r="C40" s="844">
        <v>6654290</v>
      </c>
      <c r="D40" s="844">
        <v>6654290</v>
      </c>
      <c r="E40" s="949">
        <v>0</v>
      </c>
      <c r="F40" s="949">
        <v>0</v>
      </c>
    </row>
    <row r="41" spans="1:6">
      <c r="A41" s="1111" t="s">
        <v>97</v>
      </c>
      <c r="B41" s="946" t="s">
        <v>98</v>
      </c>
      <c r="C41" s="844">
        <v>1980094</v>
      </c>
      <c r="D41" s="844">
        <v>1980094</v>
      </c>
      <c r="E41" s="949">
        <v>0</v>
      </c>
      <c r="F41" s="949">
        <v>0</v>
      </c>
    </row>
    <row r="42" spans="1:6">
      <c r="A42" s="1111" t="s">
        <v>99</v>
      </c>
      <c r="B42" s="946" t="s">
        <v>100</v>
      </c>
      <c r="C42" s="844">
        <v>4008554</v>
      </c>
      <c r="D42" s="844">
        <v>4008554</v>
      </c>
      <c r="E42" s="949">
        <v>0</v>
      </c>
      <c r="F42" s="949">
        <v>0</v>
      </c>
    </row>
    <row r="43" spans="1:6">
      <c r="A43" s="1111" t="s">
        <v>101</v>
      </c>
      <c r="B43" s="946" t="s">
        <v>102</v>
      </c>
      <c r="C43" s="844">
        <v>3042792</v>
      </c>
      <c r="D43" s="844">
        <v>3042792</v>
      </c>
      <c r="E43" s="949">
        <v>0</v>
      </c>
      <c r="F43" s="949">
        <v>0</v>
      </c>
    </row>
    <row r="44" spans="1:6">
      <c r="A44" s="1111" t="s">
        <v>103</v>
      </c>
      <c r="B44" s="946" t="s">
        <v>104</v>
      </c>
      <c r="C44" s="844">
        <v>5692996</v>
      </c>
      <c r="D44" s="844">
        <v>5692996</v>
      </c>
      <c r="E44" s="949">
        <v>0</v>
      </c>
      <c r="F44" s="949">
        <v>0</v>
      </c>
    </row>
    <row r="45" spans="1:6">
      <c r="A45" s="1111" t="s">
        <v>105</v>
      </c>
      <c r="B45" s="946" t="s">
        <v>388</v>
      </c>
      <c r="C45" s="844">
        <v>9988602</v>
      </c>
      <c r="D45" s="844">
        <v>9988602</v>
      </c>
      <c r="E45" s="949">
        <v>0</v>
      </c>
      <c r="F45" s="949">
        <v>0</v>
      </c>
    </row>
    <row r="46" spans="1:6">
      <c r="A46" s="1111" t="s">
        <v>109</v>
      </c>
      <c r="B46" s="946" t="s">
        <v>110</v>
      </c>
      <c r="C46" s="844">
        <v>8623259</v>
      </c>
      <c r="D46" s="844">
        <v>8623259</v>
      </c>
      <c r="E46" s="949">
        <v>0</v>
      </c>
      <c r="F46" s="949">
        <v>0</v>
      </c>
    </row>
    <row r="47" spans="1:6">
      <c r="A47" s="1111" t="s">
        <v>111</v>
      </c>
      <c r="B47" s="946" t="s">
        <v>112</v>
      </c>
      <c r="C47" s="844">
        <v>49762771</v>
      </c>
      <c r="D47" s="844">
        <v>49762771</v>
      </c>
      <c r="E47" s="949">
        <v>0</v>
      </c>
      <c r="F47" s="949">
        <v>0</v>
      </c>
    </row>
    <row r="48" spans="1:6">
      <c r="A48" s="1111" t="s">
        <v>113</v>
      </c>
      <c r="B48" s="946" t="s">
        <v>367</v>
      </c>
      <c r="C48" s="844">
        <v>24141976</v>
      </c>
      <c r="D48" s="844">
        <v>24141976</v>
      </c>
      <c r="E48" s="949">
        <v>0</v>
      </c>
      <c r="F48" s="949">
        <v>0</v>
      </c>
    </row>
    <row r="49" spans="1:6">
      <c r="A49" s="1111" t="s">
        <v>115</v>
      </c>
      <c r="B49" s="946" t="s">
        <v>116</v>
      </c>
      <c r="C49" s="844">
        <v>244776</v>
      </c>
      <c r="D49" s="844">
        <v>244776</v>
      </c>
      <c r="E49" s="949">
        <v>0</v>
      </c>
      <c r="F49" s="949">
        <v>0</v>
      </c>
    </row>
    <row r="50" spans="1:6">
      <c r="A50" s="1111" t="s">
        <v>119</v>
      </c>
      <c r="B50" s="946" t="s">
        <v>120</v>
      </c>
      <c r="C50" s="844">
        <v>6053192</v>
      </c>
      <c r="D50" s="844">
        <v>6053192</v>
      </c>
      <c r="E50" s="949">
        <v>0</v>
      </c>
      <c r="F50" s="949">
        <v>0</v>
      </c>
    </row>
    <row r="51" spans="1:6">
      <c r="A51" s="1111" t="s">
        <v>121</v>
      </c>
      <c r="B51" s="946" t="s">
        <v>122</v>
      </c>
      <c r="C51" s="844">
        <v>6450292</v>
      </c>
      <c r="D51" s="844">
        <v>6450292</v>
      </c>
      <c r="E51" s="949">
        <v>0</v>
      </c>
      <c r="F51" s="949">
        <v>0</v>
      </c>
    </row>
    <row r="52" spans="1:6">
      <c r="A52" s="1111" t="s">
        <v>123</v>
      </c>
      <c r="B52" s="946" t="s">
        <v>284</v>
      </c>
      <c r="C52" s="844">
        <v>1596934</v>
      </c>
      <c r="D52" s="844">
        <v>1596934</v>
      </c>
      <c r="E52" s="949">
        <v>0</v>
      </c>
      <c r="F52" s="949">
        <v>0</v>
      </c>
    </row>
    <row r="53" spans="1:6">
      <c r="A53" s="1111" t="s">
        <v>125</v>
      </c>
      <c r="B53" s="946" t="s">
        <v>126</v>
      </c>
      <c r="C53" s="844">
        <v>4189387</v>
      </c>
      <c r="D53" s="844">
        <v>4189387</v>
      </c>
      <c r="E53" s="949">
        <v>0</v>
      </c>
      <c r="F53" s="949">
        <v>0</v>
      </c>
    </row>
    <row r="54" spans="1:6">
      <c r="A54" s="1111" t="s">
        <v>127</v>
      </c>
      <c r="B54" s="946" t="s">
        <v>128</v>
      </c>
      <c r="C54" s="844">
        <v>2869232</v>
      </c>
      <c r="D54" s="844">
        <v>2869232</v>
      </c>
      <c r="E54" s="949">
        <v>0</v>
      </c>
      <c r="F54" s="949">
        <v>0</v>
      </c>
    </row>
    <row r="55" spans="1:6">
      <c r="A55" s="1111" t="s">
        <v>129</v>
      </c>
      <c r="B55" s="946" t="s">
        <v>130</v>
      </c>
      <c r="C55" s="844">
        <v>2397160</v>
      </c>
      <c r="D55" s="844">
        <v>2397160</v>
      </c>
      <c r="E55" s="949">
        <v>0</v>
      </c>
      <c r="F55" s="949">
        <v>0</v>
      </c>
    </row>
    <row r="56" spans="1:6">
      <c r="A56" s="1111" t="s">
        <v>131</v>
      </c>
      <c r="B56" s="946" t="s">
        <v>132</v>
      </c>
      <c r="C56" s="844">
        <v>8700217</v>
      </c>
      <c r="D56" s="844">
        <v>8700217</v>
      </c>
      <c r="E56" s="949">
        <v>0</v>
      </c>
      <c r="F56" s="949">
        <v>0</v>
      </c>
    </row>
    <row r="57" spans="1:6">
      <c r="A57" s="1111" t="s">
        <v>133</v>
      </c>
      <c r="B57" s="946" t="s">
        <v>134</v>
      </c>
      <c r="C57" s="844">
        <v>12450607</v>
      </c>
      <c r="D57" s="844">
        <v>12450607</v>
      </c>
      <c r="E57" s="949">
        <v>0</v>
      </c>
      <c r="F57" s="949">
        <v>0</v>
      </c>
    </row>
    <row r="58" spans="1:6">
      <c r="A58" s="1111" t="s">
        <v>135</v>
      </c>
      <c r="B58" s="946" t="s">
        <v>136</v>
      </c>
      <c r="C58" s="844">
        <v>6382705</v>
      </c>
      <c r="D58" s="844">
        <v>6382705</v>
      </c>
      <c r="E58" s="949">
        <v>0</v>
      </c>
      <c r="F58" s="949">
        <v>0</v>
      </c>
    </row>
    <row r="59" spans="1:6">
      <c r="A59" s="1111" t="s">
        <v>137</v>
      </c>
      <c r="B59" s="946" t="s">
        <v>138</v>
      </c>
      <c r="C59" s="844">
        <v>3414315</v>
      </c>
      <c r="D59" s="844">
        <v>3414315</v>
      </c>
      <c r="E59" s="949">
        <v>0</v>
      </c>
      <c r="F59" s="949">
        <v>0</v>
      </c>
    </row>
    <row r="60" spans="1:6">
      <c r="A60" s="1111" t="s">
        <v>141</v>
      </c>
      <c r="B60" s="946" t="s">
        <v>142</v>
      </c>
      <c r="C60" s="844">
        <v>2165944</v>
      </c>
      <c r="D60" s="844">
        <v>2165944</v>
      </c>
      <c r="E60" s="949">
        <v>0</v>
      </c>
      <c r="F60" s="949">
        <v>0</v>
      </c>
    </row>
    <row r="61" spans="1:6">
      <c r="A61" s="1111" t="s">
        <v>147</v>
      </c>
      <c r="B61" s="946" t="s">
        <v>148</v>
      </c>
      <c r="C61" s="844">
        <v>1331180</v>
      </c>
      <c r="D61" s="844">
        <v>1331180</v>
      </c>
      <c r="E61" s="949">
        <v>0</v>
      </c>
      <c r="F61" s="949">
        <v>0</v>
      </c>
    </row>
    <row r="62" spans="1:6">
      <c r="A62" s="1111" t="s">
        <v>149</v>
      </c>
      <c r="B62" s="946" t="s">
        <v>150</v>
      </c>
      <c r="C62" s="844">
        <v>6991555</v>
      </c>
      <c r="D62" s="844">
        <v>6991555</v>
      </c>
      <c r="E62" s="949">
        <v>0</v>
      </c>
      <c r="F62" s="949">
        <v>0</v>
      </c>
    </row>
    <row r="63" spans="1:6">
      <c r="A63" s="1111" t="s">
        <v>151</v>
      </c>
      <c r="B63" s="946" t="s">
        <v>152</v>
      </c>
      <c r="C63" s="844">
        <v>2151199</v>
      </c>
      <c r="D63" s="844">
        <v>2151199</v>
      </c>
      <c r="E63" s="949">
        <v>0</v>
      </c>
      <c r="F63" s="949">
        <v>0</v>
      </c>
    </row>
    <row r="64" spans="1:6">
      <c r="A64" s="1111" t="s">
        <v>153</v>
      </c>
      <c r="B64" s="946" t="s">
        <v>154</v>
      </c>
      <c r="C64" s="844">
        <v>11500940</v>
      </c>
      <c r="D64" s="844">
        <v>11500940</v>
      </c>
      <c r="E64" s="949">
        <v>0</v>
      </c>
      <c r="F64" s="949">
        <v>0</v>
      </c>
    </row>
    <row r="65" spans="1:6">
      <c r="A65" s="1111" t="s">
        <v>155</v>
      </c>
      <c r="B65" s="946" t="s">
        <v>156</v>
      </c>
      <c r="C65" s="844">
        <v>3098436</v>
      </c>
      <c r="D65" s="844">
        <v>3098436</v>
      </c>
      <c r="E65" s="949">
        <v>0</v>
      </c>
      <c r="F65" s="949">
        <v>0</v>
      </c>
    </row>
    <row r="66" spans="1:6">
      <c r="A66" s="1111" t="s">
        <v>157</v>
      </c>
      <c r="B66" s="946" t="s">
        <v>158</v>
      </c>
      <c r="C66" s="844">
        <v>1665877</v>
      </c>
      <c r="D66" s="844">
        <v>1665877</v>
      </c>
      <c r="E66" s="949">
        <v>0</v>
      </c>
      <c r="F66" s="949">
        <v>0</v>
      </c>
    </row>
    <row r="67" spans="1:6">
      <c r="A67" s="1111" t="s">
        <v>163</v>
      </c>
      <c r="B67" s="946" t="s">
        <v>164</v>
      </c>
      <c r="C67" s="844">
        <v>4056802</v>
      </c>
      <c r="D67" s="844">
        <v>4056802</v>
      </c>
      <c r="E67" s="949">
        <v>0</v>
      </c>
      <c r="F67" s="949">
        <v>0</v>
      </c>
    </row>
    <row r="68" spans="1:6">
      <c r="A68" s="1111" t="s">
        <v>165</v>
      </c>
      <c r="B68" s="946" t="s">
        <v>166</v>
      </c>
      <c r="C68" s="844">
        <v>2211653</v>
      </c>
      <c r="D68" s="844">
        <v>2211653</v>
      </c>
      <c r="E68" s="949">
        <v>0</v>
      </c>
      <c r="F68" s="949">
        <v>0</v>
      </c>
    </row>
    <row r="69" spans="1:6">
      <c r="A69" s="1111" t="s">
        <v>169</v>
      </c>
      <c r="B69" s="946" t="s">
        <v>170</v>
      </c>
      <c r="C69" s="844">
        <v>5293083</v>
      </c>
      <c r="D69" s="844">
        <v>5293083</v>
      </c>
      <c r="E69" s="949">
        <v>0</v>
      </c>
      <c r="F69" s="949">
        <v>0</v>
      </c>
    </row>
    <row r="70" spans="1:6">
      <c r="A70" s="1111" t="s">
        <v>171</v>
      </c>
      <c r="B70" s="946" t="s">
        <v>172</v>
      </c>
      <c r="C70" s="844">
        <v>4770681</v>
      </c>
      <c r="D70" s="844">
        <v>4770681</v>
      </c>
      <c r="E70" s="949">
        <v>0</v>
      </c>
      <c r="F70" s="949">
        <v>0</v>
      </c>
    </row>
    <row r="71" spans="1:6">
      <c r="A71" s="1111" t="s">
        <v>173</v>
      </c>
      <c r="B71" s="946" t="s">
        <v>174</v>
      </c>
      <c r="C71" s="844">
        <v>5475503</v>
      </c>
      <c r="D71" s="844">
        <v>5475503</v>
      </c>
      <c r="E71" s="949">
        <v>0</v>
      </c>
      <c r="F71" s="949">
        <v>0</v>
      </c>
    </row>
    <row r="72" spans="1:6">
      <c r="A72" s="1111" t="s">
        <v>175</v>
      </c>
      <c r="B72" s="946" t="s">
        <v>176</v>
      </c>
      <c r="C72" s="844">
        <v>5042320</v>
      </c>
      <c r="D72" s="844">
        <v>5042320</v>
      </c>
      <c r="E72" s="949">
        <v>0</v>
      </c>
      <c r="F72" s="949">
        <v>0</v>
      </c>
    </row>
    <row r="73" spans="1:6">
      <c r="A73" s="1111" t="s">
        <v>179</v>
      </c>
      <c r="B73" s="946" t="s">
        <v>180</v>
      </c>
      <c r="C73" s="844">
        <v>14326874</v>
      </c>
      <c r="D73" s="844">
        <v>14326874</v>
      </c>
      <c r="E73" s="949">
        <v>0</v>
      </c>
      <c r="F73" s="949">
        <v>0</v>
      </c>
    </row>
    <row r="74" spans="1:6">
      <c r="A74" s="1111" t="s">
        <v>183</v>
      </c>
      <c r="B74" s="946" t="s">
        <v>184</v>
      </c>
      <c r="C74" s="844">
        <v>2056078</v>
      </c>
      <c r="D74" s="844">
        <v>2056078</v>
      </c>
      <c r="E74" s="949">
        <v>0</v>
      </c>
      <c r="F74" s="949">
        <v>0</v>
      </c>
    </row>
    <row r="75" spans="1:6">
      <c r="A75" s="1111" t="s">
        <v>185</v>
      </c>
      <c r="B75" s="946" t="s">
        <v>186</v>
      </c>
      <c r="C75" s="844">
        <v>5055438</v>
      </c>
      <c r="D75" s="844">
        <v>5055438</v>
      </c>
      <c r="E75" s="949">
        <v>0</v>
      </c>
      <c r="F75" s="949">
        <v>0</v>
      </c>
    </row>
    <row r="76" spans="1:6">
      <c r="A76" s="1111" t="s">
        <v>187</v>
      </c>
      <c r="B76" s="946" t="s">
        <v>188</v>
      </c>
      <c r="C76" s="844">
        <v>3764602</v>
      </c>
      <c r="D76" s="844">
        <v>3764602</v>
      </c>
      <c r="E76" s="949">
        <v>0</v>
      </c>
      <c r="F76" s="949">
        <v>0</v>
      </c>
    </row>
    <row r="77" spans="1:6">
      <c r="A77" s="1111" t="s">
        <v>189</v>
      </c>
      <c r="B77" s="946" t="s">
        <v>190</v>
      </c>
      <c r="C77" s="844">
        <v>40796914</v>
      </c>
      <c r="D77" s="844">
        <v>40796914</v>
      </c>
      <c r="E77" s="949">
        <v>0</v>
      </c>
      <c r="F77" s="949">
        <v>0</v>
      </c>
    </row>
    <row r="78" spans="1:6">
      <c r="A78" s="1111" t="s">
        <v>191</v>
      </c>
      <c r="B78" s="946" t="s">
        <v>192</v>
      </c>
      <c r="C78" s="844">
        <v>9096544</v>
      </c>
      <c r="D78" s="844">
        <v>9096544</v>
      </c>
      <c r="E78" s="949">
        <v>0</v>
      </c>
      <c r="F78" s="949">
        <v>0</v>
      </c>
    </row>
    <row r="79" spans="1:6">
      <c r="A79" s="1111" t="s">
        <v>195</v>
      </c>
      <c r="B79" s="946" t="s">
        <v>196</v>
      </c>
      <c r="C79" s="844">
        <v>709225</v>
      </c>
      <c r="D79" s="844">
        <v>709225</v>
      </c>
      <c r="E79" s="949">
        <v>0</v>
      </c>
      <c r="F79" s="949">
        <v>0</v>
      </c>
    </row>
    <row r="80" spans="1:6">
      <c r="A80" s="1111" t="s">
        <v>199</v>
      </c>
      <c r="B80" s="946" t="s">
        <v>200</v>
      </c>
      <c r="C80" s="844">
        <v>2066792</v>
      </c>
      <c r="D80" s="844">
        <v>2066792</v>
      </c>
      <c r="E80" s="949">
        <v>0</v>
      </c>
      <c r="F80" s="949">
        <v>0</v>
      </c>
    </row>
    <row r="81" spans="1:6">
      <c r="A81" s="1111" t="s">
        <v>203</v>
      </c>
      <c r="B81" s="946" t="s">
        <v>204</v>
      </c>
      <c r="C81" s="844">
        <v>11161549</v>
      </c>
      <c r="D81" s="844">
        <v>11161549</v>
      </c>
      <c r="E81" s="949">
        <v>0</v>
      </c>
      <c r="F81" s="949">
        <v>0</v>
      </c>
    </row>
    <row r="82" spans="1:6">
      <c r="A82" s="1111" t="s">
        <v>205</v>
      </c>
      <c r="B82" s="946" t="s">
        <v>206</v>
      </c>
      <c r="C82" s="844">
        <v>5150199</v>
      </c>
      <c r="D82" s="844">
        <v>5150199</v>
      </c>
      <c r="E82" s="949">
        <v>0</v>
      </c>
      <c r="F82" s="949">
        <v>0</v>
      </c>
    </row>
    <row r="83" spans="1:6">
      <c r="A83" s="1111" t="s">
        <v>207</v>
      </c>
      <c r="B83" s="946" t="s">
        <v>208</v>
      </c>
      <c r="C83" s="844">
        <v>15790047</v>
      </c>
      <c r="D83" s="844">
        <v>15790047</v>
      </c>
      <c r="E83" s="949">
        <v>0</v>
      </c>
      <c r="F83" s="949">
        <v>0</v>
      </c>
    </row>
    <row r="84" spans="1:6">
      <c r="A84" s="1111" t="s">
        <v>209</v>
      </c>
      <c r="B84" s="946" t="s">
        <v>210</v>
      </c>
      <c r="C84" s="844">
        <v>8128876</v>
      </c>
      <c r="D84" s="844">
        <v>8128876</v>
      </c>
      <c r="E84" s="949">
        <v>0</v>
      </c>
      <c r="F84" s="949">
        <v>0</v>
      </c>
    </row>
    <row r="85" spans="1:6">
      <c r="A85" s="1111" t="s">
        <v>211</v>
      </c>
      <c r="B85" s="946" t="s">
        <v>212</v>
      </c>
      <c r="C85" s="844">
        <v>5004993</v>
      </c>
      <c r="D85" s="844">
        <v>5004993</v>
      </c>
      <c r="E85" s="949">
        <v>0</v>
      </c>
      <c r="F85" s="949">
        <v>0</v>
      </c>
    </row>
    <row r="86" spans="1:6">
      <c r="A86" s="1111" t="s">
        <v>213</v>
      </c>
      <c r="B86" s="946" t="s">
        <v>214</v>
      </c>
      <c r="C86" s="844">
        <v>7425069</v>
      </c>
      <c r="D86" s="844">
        <v>7425069</v>
      </c>
      <c r="E86" s="949">
        <v>0</v>
      </c>
      <c r="F86" s="949">
        <v>0</v>
      </c>
    </row>
    <row r="87" spans="1:6">
      <c r="A87" s="1111" t="s">
        <v>215</v>
      </c>
      <c r="B87" s="946" t="s">
        <v>216</v>
      </c>
      <c r="C87" s="844">
        <v>9383903</v>
      </c>
      <c r="D87" s="844">
        <v>9383903</v>
      </c>
      <c r="E87" s="949">
        <v>0</v>
      </c>
      <c r="F87" s="949">
        <v>0</v>
      </c>
    </row>
    <row r="88" spans="1:6">
      <c r="A88" s="1111" t="s">
        <v>217</v>
      </c>
      <c r="B88" s="946" t="s">
        <v>218</v>
      </c>
      <c r="C88" s="844">
        <v>4138883</v>
      </c>
      <c r="D88" s="844">
        <v>4138883</v>
      </c>
      <c r="E88" s="949">
        <v>0</v>
      </c>
      <c r="F88" s="949">
        <v>0</v>
      </c>
    </row>
    <row r="89" spans="1:6">
      <c r="A89" s="1111" t="s">
        <v>219</v>
      </c>
      <c r="B89" s="946" t="s">
        <v>220</v>
      </c>
      <c r="C89" s="844">
        <v>17426706</v>
      </c>
      <c r="D89" s="844">
        <v>17426706</v>
      </c>
      <c r="E89" s="949">
        <v>0</v>
      </c>
      <c r="F89" s="949">
        <v>0</v>
      </c>
    </row>
    <row r="90" spans="1:6">
      <c r="A90" s="1111" t="s">
        <v>221</v>
      </c>
      <c r="B90" s="946" t="s">
        <v>222</v>
      </c>
      <c r="C90" s="844">
        <v>13887614</v>
      </c>
      <c r="D90" s="844">
        <v>13887614</v>
      </c>
      <c r="E90" s="949">
        <v>0</v>
      </c>
      <c r="F90" s="949">
        <v>0</v>
      </c>
    </row>
    <row r="91" spans="1:6">
      <c r="A91" s="1111" t="s">
        <v>225</v>
      </c>
      <c r="B91" s="946" t="s">
        <v>226</v>
      </c>
      <c r="C91" s="844">
        <v>1377443</v>
      </c>
      <c r="D91" s="844">
        <v>1377443</v>
      </c>
      <c r="E91" s="949">
        <v>0</v>
      </c>
      <c r="F91" s="949">
        <v>0</v>
      </c>
    </row>
    <row r="92" spans="1:6">
      <c r="A92" s="1111" t="s">
        <v>227</v>
      </c>
      <c r="B92" s="946" t="s">
        <v>228</v>
      </c>
      <c r="C92" s="844">
        <v>2729081</v>
      </c>
      <c r="D92" s="844">
        <v>2729081</v>
      </c>
      <c r="E92" s="949">
        <v>0</v>
      </c>
      <c r="F92" s="949">
        <v>0</v>
      </c>
    </row>
    <row r="93" spans="1:6">
      <c r="A93" s="1111" t="s">
        <v>229</v>
      </c>
      <c r="B93" s="946" t="s">
        <v>230</v>
      </c>
      <c r="C93" s="844">
        <v>9997049</v>
      </c>
      <c r="D93" s="844">
        <v>9997049</v>
      </c>
      <c r="E93" s="949">
        <v>0</v>
      </c>
      <c r="F93" s="949">
        <v>0</v>
      </c>
    </row>
    <row r="94" spans="1:6">
      <c r="A94" s="1111" t="s">
        <v>233</v>
      </c>
      <c r="B94" s="946" t="s">
        <v>234</v>
      </c>
      <c r="C94" s="844">
        <v>7399749</v>
      </c>
      <c r="D94" s="844">
        <v>7399749</v>
      </c>
      <c r="E94" s="949">
        <v>0</v>
      </c>
      <c r="F94" s="949">
        <v>0</v>
      </c>
    </row>
    <row r="95" spans="1:6">
      <c r="A95" s="1111" t="s">
        <v>235</v>
      </c>
      <c r="B95" s="946" t="s">
        <v>236</v>
      </c>
      <c r="C95" s="844">
        <v>10802212</v>
      </c>
      <c r="D95" s="844">
        <v>10802212</v>
      </c>
      <c r="E95" s="949">
        <v>0</v>
      </c>
      <c r="F95" s="949">
        <v>0</v>
      </c>
    </row>
    <row r="96" spans="1:6">
      <c r="A96" s="1111" t="s">
        <v>237</v>
      </c>
      <c r="B96" s="946" t="s">
        <v>238</v>
      </c>
      <c r="C96" s="844">
        <v>4655657</v>
      </c>
      <c r="D96" s="844">
        <v>4655657</v>
      </c>
      <c r="E96" s="949">
        <v>0</v>
      </c>
      <c r="F96" s="949">
        <v>0</v>
      </c>
    </row>
    <row r="97" spans="1:6">
      <c r="A97" s="1111" t="s">
        <v>243</v>
      </c>
      <c r="B97" s="946" t="s">
        <v>244</v>
      </c>
      <c r="C97" s="844">
        <v>12468664</v>
      </c>
      <c r="D97" s="844">
        <v>12468664</v>
      </c>
      <c r="E97" s="949">
        <v>0</v>
      </c>
      <c r="F97" s="949">
        <v>0</v>
      </c>
    </row>
    <row r="98" spans="1:6">
      <c r="A98" s="1111" t="s">
        <v>245</v>
      </c>
      <c r="B98" s="946" t="s">
        <v>246</v>
      </c>
      <c r="C98" s="844">
        <v>6486579</v>
      </c>
      <c r="D98" s="844">
        <v>6486579</v>
      </c>
      <c r="E98" s="949">
        <v>0</v>
      </c>
      <c r="F98" s="949">
        <v>0</v>
      </c>
    </row>
    <row r="99" spans="1:6">
      <c r="A99" s="1111" t="s">
        <v>247</v>
      </c>
      <c r="B99" s="946" t="s">
        <v>389</v>
      </c>
      <c r="C99" s="844">
        <v>4633040</v>
      </c>
      <c r="D99" s="844">
        <v>4633040</v>
      </c>
      <c r="E99" s="949">
        <v>0</v>
      </c>
      <c r="F99" s="949">
        <v>0</v>
      </c>
    </row>
    <row r="100" spans="1:6">
      <c r="A100" s="1111" t="s">
        <v>14</v>
      </c>
      <c r="B100" s="946" t="s">
        <v>15</v>
      </c>
      <c r="C100" s="844">
        <v>12994776</v>
      </c>
      <c r="D100" s="844">
        <v>12994776</v>
      </c>
      <c r="E100" s="949">
        <v>0</v>
      </c>
      <c r="F100" s="949">
        <v>0</v>
      </c>
    </row>
    <row r="101" spans="1:6">
      <c r="A101" s="1111" t="s">
        <v>35</v>
      </c>
      <c r="B101" s="946" t="s">
        <v>36</v>
      </c>
      <c r="C101" s="844">
        <v>7070481</v>
      </c>
      <c r="D101" s="844">
        <v>7070481</v>
      </c>
      <c r="E101" s="949">
        <v>0</v>
      </c>
      <c r="F101" s="949">
        <v>0</v>
      </c>
    </row>
    <row r="102" spans="1:6">
      <c r="A102" s="1111" t="s">
        <v>53</v>
      </c>
      <c r="B102" s="946" t="s">
        <v>54</v>
      </c>
      <c r="C102" s="844">
        <v>8690258</v>
      </c>
      <c r="D102" s="844">
        <v>8690258</v>
      </c>
      <c r="E102" s="949">
        <v>0</v>
      </c>
      <c r="F102" s="949">
        <v>0</v>
      </c>
    </row>
    <row r="103" spans="1:6">
      <c r="A103" s="1111" t="s">
        <v>55</v>
      </c>
      <c r="B103" s="946" t="s">
        <v>56</v>
      </c>
      <c r="C103" s="844">
        <v>33570892</v>
      </c>
      <c r="D103" s="844">
        <v>33570892</v>
      </c>
      <c r="E103" s="949">
        <v>0</v>
      </c>
      <c r="F103" s="949">
        <v>0</v>
      </c>
    </row>
    <row r="104" spans="1:6">
      <c r="A104" s="1111" t="s">
        <v>67</v>
      </c>
      <c r="B104" s="946" t="s">
        <v>68</v>
      </c>
      <c r="C104" s="844">
        <v>20699561</v>
      </c>
      <c r="D104" s="844">
        <v>20699561</v>
      </c>
      <c r="E104" s="949">
        <v>0</v>
      </c>
      <c r="F104" s="949">
        <v>0</v>
      </c>
    </row>
    <row r="105" spans="1:6">
      <c r="A105" s="1111" t="s">
        <v>83</v>
      </c>
      <c r="B105" s="946" t="s">
        <v>390</v>
      </c>
      <c r="C105" s="844">
        <v>3862330</v>
      </c>
      <c r="D105" s="844">
        <v>3862330</v>
      </c>
      <c r="E105" s="949">
        <v>0</v>
      </c>
      <c r="F105" s="949">
        <v>0</v>
      </c>
    </row>
    <row r="106" spans="1:6">
      <c r="A106" s="1111" t="s">
        <v>89</v>
      </c>
      <c r="B106" s="946" t="s">
        <v>90</v>
      </c>
      <c r="C106" s="844">
        <v>6543368</v>
      </c>
      <c r="D106" s="844">
        <v>6543368</v>
      </c>
      <c r="E106" s="949">
        <v>0</v>
      </c>
      <c r="F106" s="949">
        <v>0</v>
      </c>
    </row>
    <row r="107" spans="1:6">
      <c r="A107" s="1111" t="s">
        <v>91</v>
      </c>
      <c r="B107" s="946" t="s">
        <v>92</v>
      </c>
      <c r="C107" s="844">
        <v>2708744</v>
      </c>
      <c r="D107" s="844">
        <v>2708744</v>
      </c>
      <c r="E107" s="949">
        <v>0</v>
      </c>
      <c r="F107" s="949">
        <v>0</v>
      </c>
    </row>
    <row r="108" spans="1:6">
      <c r="A108" s="1111" t="s">
        <v>107</v>
      </c>
      <c r="B108" s="946" t="s">
        <v>108</v>
      </c>
      <c r="C108" s="844">
        <v>30506815</v>
      </c>
      <c r="D108" s="844">
        <v>30506815</v>
      </c>
      <c r="E108" s="949">
        <v>0</v>
      </c>
      <c r="F108" s="949">
        <v>0</v>
      </c>
    </row>
    <row r="109" spans="1:6">
      <c r="A109" s="1111" t="s">
        <v>117</v>
      </c>
      <c r="B109" s="946" t="s">
        <v>118</v>
      </c>
      <c r="C109" s="844">
        <v>10399953</v>
      </c>
      <c r="D109" s="844">
        <v>10399953</v>
      </c>
      <c r="E109" s="949">
        <v>0</v>
      </c>
      <c r="F109" s="949">
        <v>0</v>
      </c>
    </row>
    <row r="110" spans="1:6">
      <c r="A110" s="1111" t="s">
        <v>139</v>
      </c>
      <c r="B110" s="946" t="s">
        <v>140</v>
      </c>
      <c r="C110" s="844">
        <v>20022762</v>
      </c>
      <c r="D110" s="844">
        <v>20022762</v>
      </c>
      <c r="E110" s="949">
        <v>0</v>
      </c>
      <c r="F110" s="949">
        <v>0</v>
      </c>
    </row>
    <row r="111" spans="1:6">
      <c r="A111" s="1111" t="s">
        <v>143</v>
      </c>
      <c r="B111" s="946" t="s">
        <v>144</v>
      </c>
      <c r="C111" s="844">
        <v>6371086</v>
      </c>
      <c r="D111" s="844">
        <v>6371086</v>
      </c>
      <c r="E111" s="949">
        <v>0</v>
      </c>
      <c r="F111" s="949">
        <v>0</v>
      </c>
    </row>
    <row r="112" spans="1:6">
      <c r="A112" s="1111" t="s">
        <v>145</v>
      </c>
      <c r="B112" s="946" t="s">
        <v>146</v>
      </c>
      <c r="C112" s="844">
        <v>1825153</v>
      </c>
      <c r="D112" s="844">
        <v>1825153</v>
      </c>
      <c r="E112" s="949">
        <v>0</v>
      </c>
      <c r="F112" s="949">
        <v>0</v>
      </c>
    </row>
    <row r="113" spans="1:6">
      <c r="A113" s="1111" t="s">
        <v>159</v>
      </c>
      <c r="B113" s="946" t="s">
        <v>160</v>
      </c>
      <c r="C113" s="844">
        <v>54232572</v>
      </c>
      <c r="D113" s="844">
        <v>54232572</v>
      </c>
      <c r="E113" s="949">
        <v>0</v>
      </c>
      <c r="F113" s="949">
        <v>0</v>
      </c>
    </row>
    <row r="114" spans="1:6">
      <c r="A114" s="1111" t="s">
        <v>161</v>
      </c>
      <c r="B114" s="946" t="s">
        <v>162</v>
      </c>
      <c r="C114" s="844">
        <v>74569786</v>
      </c>
      <c r="D114" s="844">
        <v>74569786</v>
      </c>
      <c r="E114" s="949">
        <v>0</v>
      </c>
      <c r="F114" s="949">
        <v>0</v>
      </c>
    </row>
    <row r="115" spans="1:6">
      <c r="A115" s="1111" t="s">
        <v>167</v>
      </c>
      <c r="B115" s="946" t="s">
        <v>168</v>
      </c>
      <c r="C115" s="844">
        <v>1485780</v>
      </c>
      <c r="D115" s="844">
        <v>1485780</v>
      </c>
      <c r="E115" s="949">
        <v>0</v>
      </c>
      <c r="F115" s="949">
        <v>0</v>
      </c>
    </row>
    <row r="116" spans="1:6">
      <c r="A116" s="1111" t="s">
        <v>177</v>
      </c>
      <c r="B116" s="946" t="s">
        <v>178</v>
      </c>
      <c r="C116" s="844">
        <v>16974997</v>
      </c>
      <c r="D116" s="844">
        <v>16974997</v>
      </c>
      <c r="E116" s="949">
        <v>0</v>
      </c>
      <c r="F116" s="949">
        <v>0</v>
      </c>
    </row>
    <row r="117" spans="1:6">
      <c r="A117" s="1111" t="s">
        <v>181</v>
      </c>
      <c r="B117" s="946" t="s">
        <v>182</v>
      </c>
      <c r="C117" s="844">
        <v>34862286</v>
      </c>
      <c r="D117" s="844">
        <v>34862286</v>
      </c>
      <c r="E117" s="949">
        <v>0</v>
      </c>
      <c r="F117" s="949">
        <v>0</v>
      </c>
    </row>
    <row r="118" spans="1:6">
      <c r="A118" s="1111" t="s">
        <v>193</v>
      </c>
      <c r="B118" s="946" t="s">
        <v>194</v>
      </c>
      <c r="C118" s="844">
        <v>2729974</v>
      </c>
      <c r="D118" s="844">
        <v>2729974</v>
      </c>
      <c r="E118" s="949">
        <v>0</v>
      </c>
      <c r="F118" s="949">
        <v>0</v>
      </c>
    </row>
    <row r="119" spans="1:6">
      <c r="A119" s="1111" t="s">
        <v>197</v>
      </c>
      <c r="B119" s="946" t="s">
        <v>391</v>
      </c>
      <c r="C119" s="844">
        <v>82229355</v>
      </c>
      <c r="D119" s="844">
        <v>82229355</v>
      </c>
      <c r="E119" s="949">
        <v>0</v>
      </c>
      <c r="F119" s="949">
        <v>0</v>
      </c>
    </row>
    <row r="120" spans="1:6">
      <c r="A120" s="1111" t="s">
        <v>201</v>
      </c>
      <c r="B120" s="946" t="s">
        <v>392</v>
      </c>
      <c r="C120" s="844">
        <v>34388070</v>
      </c>
      <c r="D120" s="844">
        <v>34388070</v>
      </c>
      <c r="E120" s="949">
        <v>0</v>
      </c>
      <c r="F120" s="949">
        <v>0</v>
      </c>
    </row>
    <row r="121" spans="1:6">
      <c r="A121" s="1111" t="s">
        <v>223</v>
      </c>
      <c r="B121" s="946" t="s">
        <v>224</v>
      </c>
      <c r="C121" s="844">
        <v>18525063</v>
      </c>
      <c r="D121" s="844">
        <v>18525063</v>
      </c>
      <c r="E121" s="949">
        <v>0</v>
      </c>
      <c r="F121" s="949">
        <v>0</v>
      </c>
    </row>
    <row r="122" spans="1:6">
      <c r="A122" s="1111" t="s">
        <v>231</v>
      </c>
      <c r="B122" s="946" t="s">
        <v>232</v>
      </c>
      <c r="C122" s="844">
        <v>49146411</v>
      </c>
      <c r="D122" s="844">
        <v>49146411</v>
      </c>
      <c r="E122" s="949">
        <v>0</v>
      </c>
      <c r="F122" s="949">
        <v>0</v>
      </c>
    </row>
    <row r="123" spans="1:6">
      <c r="A123" s="1111" t="s">
        <v>239</v>
      </c>
      <c r="B123" s="946" t="s">
        <v>240</v>
      </c>
      <c r="C123" s="844">
        <v>1605925</v>
      </c>
      <c r="D123" s="844">
        <v>1605925</v>
      </c>
      <c r="E123" s="949">
        <v>0</v>
      </c>
      <c r="F123" s="949">
        <v>0</v>
      </c>
    </row>
    <row r="124" spans="1:6">
      <c r="A124" s="1111" t="s">
        <v>241</v>
      </c>
      <c r="B124" s="946" t="s">
        <v>242</v>
      </c>
      <c r="C124" s="844">
        <v>6668348</v>
      </c>
      <c r="D124" s="844">
        <v>6668348</v>
      </c>
      <c r="E124" s="949">
        <v>0</v>
      </c>
      <c r="F124" s="949">
        <v>0</v>
      </c>
    </row>
    <row r="126" spans="1:6" s="538" customFormat="1">
      <c r="A126" s="538" t="s">
        <v>1026</v>
      </c>
      <c r="B126" s="836"/>
      <c r="C126" s="540"/>
    </row>
    <row r="127" spans="1:6" s="538" customFormat="1"/>
    <row r="128" spans="1:6" s="519" customFormat="1">
      <c r="A128" s="519" t="s">
        <v>250</v>
      </c>
    </row>
    <row r="129" spans="1:2">
      <c r="A129" s="536" t="s">
        <v>251</v>
      </c>
      <c r="B129" s="407" t="s">
        <v>252</v>
      </c>
    </row>
  </sheetData>
  <hyperlinks>
    <hyperlink ref="B129" r:id="rId1"/>
  </hyperlinks>
  <pageMargins left="0.7" right="0.7" top="0.75" bottom="0.75" header="0.3" footer="0.3"/>
  <pageSetup orientation="portrait" r:id="rId2"/>
</worksheet>
</file>

<file path=xl/worksheets/sheet29.xml><?xml version="1.0" encoding="utf-8"?>
<worksheet xmlns="http://schemas.openxmlformats.org/spreadsheetml/2006/main" xmlns:r="http://schemas.openxmlformats.org/officeDocument/2006/relationships">
  <dimension ref="A1:AL129"/>
  <sheetViews>
    <sheetView workbookViewId="0">
      <pane ySplit="4" topLeftCell="A92" activePane="bottomLeft" state="frozen"/>
      <selection pane="bottomLeft" activeCell="B12" sqref="B12"/>
    </sheetView>
  </sheetViews>
  <sheetFormatPr defaultRowHeight="12.75"/>
  <cols>
    <col min="1" max="1" width="9" style="654"/>
    <col min="2" max="2" width="33" style="654" customWidth="1"/>
    <col min="3" max="3" width="12.375" style="654" bestFit="1" customWidth="1"/>
    <col min="4" max="4" width="13.375" style="654" bestFit="1" customWidth="1"/>
    <col min="5" max="6" width="11.125" style="654" bestFit="1" customWidth="1"/>
    <col min="7" max="7" width="13.75" style="654" bestFit="1" customWidth="1"/>
    <col min="8" max="8" width="10.25" style="654" bestFit="1" customWidth="1"/>
    <col min="9" max="9" width="9.375" style="654" bestFit="1" customWidth="1"/>
    <col min="10" max="10" width="10.25" style="654" bestFit="1" customWidth="1"/>
    <col min="11" max="11" width="7.875" style="654" bestFit="1" customWidth="1"/>
    <col min="12" max="12" width="7.25" style="654" bestFit="1" customWidth="1"/>
    <col min="13" max="13" width="12.5" style="654" bestFit="1" customWidth="1"/>
    <col min="14" max="14" width="10.25" style="654" bestFit="1" customWidth="1"/>
    <col min="15" max="15" width="9.375" style="654" bestFit="1" customWidth="1"/>
    <col min="16" max="16" width="10.25" style="654" bestFit="1" customWidth="1"/>
    <col min="17" max="17" width="7.875" style="654" bestFit="1" customWidth="1"/>
    <col min="18" max="18" width="8.75" style="654" bestFit="1" customWidth="1"/>
    <col min="19" max="19" width="10.25" style="654" bestFit="1" customWidth="1"/>
    <col min="20" max="20" width="6.625" style="654" bestFit="1" customWidth="1"/>
    <col min="21" max="21" width="7.75" style="654" bestFit="1" customWidth="1"/>
    <col min="22" max="22" width="10.25" style="654" bestFit="1" customWidth="1"/>
    <col min="23" max="24" width="7.875" style="654" bestFit="1" customWidth="1"/>
    <col min="25" max="25" width="10.25" style="654" bestFit="1" customWidth="1"/>
    <col min="26" max="26" width="5.875" style="654" bestFit="1" customWidth="1"/>
    <col min="27" max="27" width="7.75" style="654" bestFit="1" customWidth="1"/>
    <col min="28" max="28" width="7.625" style="654" bestFit="1" customWidth="1"/>
    <col min="29" max="29" width="7.875" style="654" bestFit="1" customWidth="1"/>
    <col min="30" max="30" width="6.125" style="654" bestFit="1" customWidth="1"/>
    <col min="31" max="31" width="7.75" style="654" bestFit="1" customWidth="1"/>
    <col min="32" max="32" width="6.625" style="654" bestFit="1" customWidth="1"/>
    <col min="33" max="33" width="7.625" style="654" bestFit="1" customWidth="1"/>
    <col min="34" max="35" width="11.125" style="654" bestFit="1" customWidth="1"/>
    <col min="36" max="36" width="15.625" style="654" bestFit="1" customWidth="1"/>
    <col min="37" max="37" width="11.125" style="654" bestFit="1" customWidth="1"/>
    <col min="38" max="16384" width="9" style="654"/>
  </cols>
  <sheetData>
    <row r="1" spans="1:38" ht="15.75">
      <c r="A1" s="108" t="s">
        <v>1102</v>
      </c>
      <c r="F1" s="844"/>
      <c r="AL1" s="844"/>
    </row>
    <row r="2" spans="1:38">
      <c r="C2" s="844"/>
      <c r="D2" s="844"/>
      <c r="E2" s="844"/>
      <c r="F2" s="844"/>
      <c r="G2" s="844"/>
    </row>
    <row r="3" spans="1:38" ht="25.5">
      <c r="A3" s="1112" t="s">
        <v>372</v>
      </c>
      <c r="B3" s="1041" t="s">
        <v>373</v>
      </c>
      <c r="C3" s="1042" t="s">
        <v>393</v>
      </c>
      <c r="D3" s="1043" t="s">
        <v>394</v>
      </c>
      <c r="E3" s="1113" t="s">
        <v>594</v>
      </c>
      <c r="F3" s="1043" t="s">
        <v>395</v>
      </c>
      <c r="G3" s="1044" t="s">
        <v>595</v>
      </c>
      <c r="H3" s="1042" t="s">
        <v>564</v>
      </c>
      <c r="I3" s="1043" t="s">
        <v>565</v>
      </c>
      <c r="J3" s="1043" t="s">
        <v>566</v>
      </c>
      <c r="K3" s="1043" t="s">
        <v>567</v>
      </c>
      <c r="L3" s="1043" t="s">
        <v>568</v>
      </c>
      <c r="M3" s="1044" t="s">
        <v>569</v>
      </c>
      <c r="N3" s="1042" t="s">
        <v>570</v>
      </c>
      <c r="O3" s="1043" t="s">
        <v>571</v>
      </c>
      <c r="P3" s="1043" t="s">
        <v>572</v>
      </c>
      <c r="Q3" s="1043" t="s">
        <v>573</v>
      </c>
      <c r="R3" s="1043" t="s">
        <v>574</v>
      </c>
      <c r="S3" s="1044" t="s">
        <v>575</v>
      </c>
      <c r="T3" s="1042" t="s">
        <v>576</v>
      </c>
      <c r="U3" s="1043" t="s">
        <v>577</v>
      </c>
      <c r="V3" s="1043" t="s">
        <v>578</v>
      </c>
      <c r="W3" s="1043" t="s">
        <v>579</v>
      </c>
      <c r="X3" s="1043" t="s">
        <v>580</v>
      </c>
      <c r="Y3" s="1044" t="s">
        <v>581</v>
      </c>
      <c r="Z3" s="1042" t="s">
        <v>582</v>
      </c>
      <c r="AA3" s="1043" t="s">
        <v>583</v>
      </c>
      <c r="AB3" s="1043" t="s">
        <v>584</v>
      </c>
      <c r="AC3" s="1043" t="s">
        <v>585</v>
      </c>
      <c r="AD3" s="1043" t="s">
        <v>586</v>
      </c>
      <c r="AE3" s="1044" t="s">
        <v>587</v>
      </c>
      <c r="AF3" s="1042" t="s">
        <v>588</v>
      </c>
      <c r="AG3" s="1043" t="s">
        <v>589</v>
      </c>
      <c r="AH3" s="1043" t="s">
        <v>590</v>
      </c>
      <c r="AI3" s="1043" t="s">
        <v>591</v>
      </c>
      <c r="AJ3" s="1043" t="s">
        <v>592</v>
      </c>
      <c r="AK3" s="1044" t="s">
        <v>593</v>
      </c>
    </row>
    <row r="4" spans="1:38">
      <c r="A4" s="1110">
        <v>999</v>
      </c>
      <c r="B4" s="1039" t="s">
        <v>9</v>
      </c>
      <c r="C4" s="1045">
        <f t="shared" ref="C4:AK4" si="0">SUM(C5:C124)</f>
        <v>52949523.080000021</v>
      </c>
      <c r="D4" s="1046">
        <f t="shared" si="0"/>
        <v>307800019.79000002</v>
      </c>
      <c r="E4" s="1046">
        <f t="shared" si="0"/>
        <v>115225747.66999997</v>
      </c>
      <c r="F4" s="1046">
        <f t="shared" si="0"/>
        <v>115525926.65999992</v>
      </c>
      <c r="G4" s="1047">
        <f t="shared" si="0"/>
        <v>-300178.99</v>
      </c>
      <c r="H4" s="1045">
        <f t="shared" si="0"/>
        <v>27188371.920000013</v>
      </c>
      <c r="I4" s="1046">
        <f t="shared" si="0"/>
        <v>2201376.3700000006</v>
      </c>
      <c r="J4" s="1046">
        <f t="shared" si="0"/>
        <v>24986990.020000014</v>
      </c>
      <c r="K4" s="1046">
        <f t="shared" si="0"/>
        <v>0</v>
      </c>
      <c r="L4" s="1046">
        <f t="shared" si="0"/>
        <v>39460.559999999983</v>
      </c>
      <c r="M4" s="1047">
        <f t="shared" si="0"/>
        <v>54416198.870000005</v>
      </c>
      <c r="N4" s="1045">
        <f t="shared" si="0"/>
        <v>21763176.420000006</v>
      </c>
      <c r="O4" s="1046">
        <f t="shared" si="0"/>
        <v>1796598.3699999999</v>
      </c>
      <c r="P4" s="1046">
        <f t="shared" si="0"/>
        <v>19966577.219999988</v>
      </c>
      <c r="Q4" s="1046">
        <f t="shared" si="0"/>
        <v>0</v>
      </c>
      <c r="R4" s="1046">
        <f t="shared" si="0"/>
        <v>-322564.72000000003</v>
      </c>
      <c r="S4" s="1047">
        <f t="shared" si="0"/>
        <v>43203787.289999999</v>
      </c>
      <c r="T4" s="1045">
        <f t="shared" si="0"/>
        <v>0</v>
      </c>
      <c r="U4" s="1046">
        <f t="shared" si="0"/>
        <v>0</v>
      </c>
      <c r="V4" s="1046">
        <f t="shared" si="0"/>
        <v>46266839.800000004</v>
      </c>
      <c r="W4" s="1046">
        <f t="shared" si="0"/>
        <v>0</v>
      </c>
      <c r="X4" s="1046">
        <f t="shared" si="0"/>
        <v>-17074.829999999998</v>
      </c>
      <c r="Y4" s="1047">
        <f t="shared" si="0"/>
        <v>46249764.970000014</v>
      </c>
      <c r="Z4" s="1045">
        <f t="shared" si="0"/>
        <v>0</v>
      </c>
      <c r="AA4" s="1046">
        <f t="shared" si="0"/>
        <v>0</v>
      </c>
      <c r="AB4" s="1046">
        <f t="shared" si="0"/>
        <v>0</v>
      </c>
      <c r="AC4" s="1046">
        <f t="shared" si="0"/>
        <v>0</v>
      </c>
      <c r="AD4" s="1046">
        <f t="shared" si="0"/>
        <v>0</v>
      </c>
      <c r="AE4" s="1047">
        <f t="shared" si="0"/>
        <v>0</v>
      </c>
      <c r="AF4" s="1045">
        <f t="shared" si="0"/>
        <v>0</v>
      </c>
      <c r="AG4" s="1046">
        <f t="shared" si="0"/>
        <v>0</v>
      </c>
      <c r="AH4" s="1046">
        <f t="shared" si="0"/>
        <v>216579612.75000003</v>
      </c>
      <c r="AI4" s="1046">
        <f t="shared" si="0"/>
        <v>115525926.65999992</v>
      </c>
      <c r="AJ4" s="1046">
        <f t="shared" si="0"/>
        <v>0</v>
      </c>
      <c r="AK4" s="1047">
        <f t="shared" si="0"/>
        <v>332105539.41000009</v>
      </c>
    </row>
    <row r="5" spans="1:38">
      <c r="A5" s="1111" t="s">
        <v>10</v>
      </c>
      <c r="B5" s="1040" t="s">
        <v>11</v>
      </c>
      <c r="C5" s="1023">
        <f>+H5+I5+N5+O5+T5+U5+Z5+AA5+AF5+AG5</f>
        <v>105391.12</v>
      </c>
      <c r="D5" s="1024">
        <f>+J5+P5+V5+AB5+AH5</f>
        <v>394762.98</v>
      </c>
      <c r="E5" s="1024">
        <f>+F5+G5</f>
        <v>92034</v>
      </c>
      <c r="F5" s="1024">
        <f>+K5+Q5+W5+AC5+AI5</f>
        <v>92033.97</v>
      </c>
      <c r="G5" s="1025">
        <f>+L5+R5+X5+AD5+AJ5</f>
        <v>0.03</v>
      </c>
      <c r="H5" s="1029">
        <v>16359.99</v>
      </c>
      <c r="I5" s="1030">
        <v>1334.27</v>
      </c>
      <c r="J5" s="1030">
        <v>15025.7</v>
      </c>
      <c r="K5" s="1030">
        <v>0</v>
      </c>
      <c r="L5" s="1030">
        <v>0.03</v>
      </c>
      <c r="M5" s="1031">
        <v>32719.99</v>
      </c>
      <c r="N5" s="1029">
        <v>80879</v>
      </c>
      <c r="O5" s="1030">
        <v>6817.86</v>
      </c>
      <c r="P5" s="1030">
        <v>74061.14</v>
      </c>
      <c r="Q5" s="1030">
        <v>0</v>
      </c>
      <c r="R5" s="1030">
        <v>0</v>
      </c>
      <c r="S5" s="1031">
        <v>161758</v>
      </c>
      <c r="T5" s="1029">
        <v>0</v>
      </c>
      <c r="U5" s="1030">
        <v>0</v>
      </c>
      <c r="V5" s="1030">
        <v>7290</v>
      </c>
      <c r="W5" s="1030">
        <v>0</v>
      </c>
      <c r="X5" s="1030">
        <v>0</v>
      </c>
      <c r="Y5" s="1031">
        <v>7290</v>
      </c>
      <c r="Z5" s="1032"/>
      <c r="AA5" s="1033"/>
      <c r="AB5" s="1033"/>
      <c r="AC5" s="1033"/>
      <c r="AD5" s="1033"/>
      <c r="AE5" s="1034"/>
      <c r="AF5" s="1029">
        <v>0</v>
      </c>
      <c r="AG5" s="1030">
        <v>0</v>
      </c>
      <c r="AH5" s="1030">
        <v>298386.14</v>
      </c>
      <c r="AI5" s="1030">
        <v>92033.97</v>
      </c>
      <c r="AJ5" s="1030">
        <v>0</v>
      </c>
      <c r="AK5" s="1031">
        <v>390420.11</v>
      </c>
    </row>
    <row r="6" spans="1:38">
      <c r="A6" s="1111" t="s">
        <v>12</v>
      </c>
      <c r="B6" s="1040" t="s">
        <v>13</v>
      </c>
      <c r="C6" s="1023">
        <f t="shared" ref="C6:C69" si="1">+H6+I6+N6+O6+T6+U6+Z6+AA6+AF6+AG6</f>
        <v>845768.91</v>
      </c>
      <c r="D6" s="1024">
        <f t="shared" ref="D6:D69" si="2">+J6+P6+V6+AB6+AH6</f>
        <v>5132132.3499999996</v>
      </c>
      <c r="E6" s="1024">
        <f t="shared" ref="E6:E69" si="3">+F6+G6</f>
        <v>2850334.7</v>
      </c>
      <c r="F6" s="1024">
        <f t="shared" ref="F6:G69" si="4">+K6+Q6+W6+AC6+AI6</f>
        <v>2862939.46</v>
      </c>
      <c r="G6" s="1025">
        <f t="shared" si="4"/>
        <v>-12604.76</v>
      </c>
      <c r="H6" s="1029">
        <v>345176.2</v>
      </c>
      <c r="I6" s="1030">
        <v>27889.95</v>
      </c>
      <c r="J6" s="1030">
        <v>317286.15999999997</v>
      </c>
      <c r="K6" s="1030">
        <v>0</v>
      </c>
      <c r="L6" s="1030">
        <v>-0.15</v>
      </c>
      <c r="M6" s="1031">
        <v>690352.16</v>
      </c>
      <c r="N6" s="1029">
        <v>435800.1</v>
      </c>
      <c r="O6" s="1030">
        <v>36902.660000000003</v>
      </c>
      <c r="P6" s="1030">
        <v>398897.41</v>
      </c>
      <c r="Q6" s="1030">
        <v>0</v>
      </c>
      <c r="R6" s="1030">
        <v>-12604.61</v>
      </c>
      <c r="S6" s="1031">
        <v>858995.56</v>
      </c>
      <c r="T6" s="1029">
        <v>0</v>
      </c>
      <c r="U6" s="1030">
        <v>0</v>
      </c>
      <c r="V6" s="1030">
        <v>707145.4</v>
      </c>
      <c r="W6" s="1030">
        <v>0</v>
      </c>
      <c r="X6" s="1030">
        <v>0</v>
      </c>
      <c r="Y6" s="1031">
        <v>707145.4</v>
      </c>
      <c r="Z6" s="1032"/>
      <c r="AA6" s="1033"/>
      <c r="AB6" s="1033"/>
      <c r="AC6" s="1033"/>
      <c r="AD6" s="1033"/>
      <c r="AE6" s="1034"/>
      <c r="AF6" s="1029">
        <v>0</v>
      </c>
      <c r="AG6" s="1030">
        <v>0</v>
      </c>
      <c r="AH6" s="1030">
        <v>3708803.38</v>
      </c>
      <c r="AI6" s="1030">
        <v>2862939.46</v>
      </c>
      <c r="AJ6" s="1030">
        <v>0</v>
      </c>
      <c r="AK6" s="1031">
        <v>6571742.8399999999</v>
      </c>
    </row>
    <row r="7" spans="1:38">
      <c r="A7" s="1111" t="s">
        <v>16</v>
      </c>
      <c r="B7" s="1040" t="s">
        <v>364</v>
      </c>
      <c r="C7" s="1023">
        <f t="shared" si="1"/>
        <v>190372.79</v>
      </c>
      <c r="D7" s="1024">
        <f t="shared" si="2"/>
        <v>1722423.4700000002</v>
      </c>
      <c r="E7" s="1024">
        <f t="shared" si="3"/>
        <v>427606.77999999997</v>
      </c>
      <c r="F7" s="1024">
        <f t="shared" si="4"/>
        <v>427606.8</v>
      </c>
      <c r="G7" s="1025">
        <f t="shared" si="4"/>
        <v>-0.02</v>
      </c>
      <c r="H7" s="1029">
        <v>102775.3</v>
      </c>
      <c r="I7" s="1030">
        <v>9177.24</v>
      </c>
      <c r="J7" s="1030">
        <v>93598.02</v>
      </c>
      <c r="K7" s="1030">
        <v>0</v>
      </c>
      <c r="L7" s="1030">
        <v>-0.01</v>
      </c>
      <c r="M7" s="1031">
        <v>205550.55</v>
      </c>
      <c r="N7" s="1029">
        <v>72384.06</v>
      </c>
      <c r="O7" s="1030">
        <v>6036.19</v>
      </c>
      <c r="P7" s="1030">
        <v>66347.83</v>
      </c>
      <c r="Q7" s="1030">
        <v>0</v>
      </c>
      <c r="R7" s="1030">
        <v>-0.01</v>
      </c>
      <c r="S7" s="1031">
        <v>144768.07</v>
      </c>
      <c r="T7" s="1029">
        <v>0</v>
      </c>
      <c r="U7" s="1030">
        <v>0</v>
      </c>
      <c r="V7" s="1030">
        <v>50</v>
      </c>
      <c r="W7" s="1030">
        <v>0</v>
      </c>
      <c r="X7" s="1030">
        <v>0</v>
      </c>
      <c r="Y7" s="1031">
        <v>50</v>
      </c>
      <c r="Z7" s="1032"/>
      <c r="AA7" s="1033"/>
      <c r="AB7" s="1033"/>
      <c r="AC7" s="1033"/>
      <c r="AD7" s="1033"/>
      <c r="AE7" s="1034"/>
      <c r="AF7" s="1029">
        <v>0</v>
      </c>
      <c r="AG7" s="1030">
        <v>0</v>
      </c>
      <c r="AH7" s="1030">
        <v>1562427.62</v>
      </c>
      <c r="AI7" s="1030">
        <v>427606.8</v>
      </c>
      <c r="AJ7" s="1030">
        <v>0</v>
      </c>
      <c r="AK7" s="1031">
        <v>1990034.42</v>
      </c>
    </row>
    <row r="8" spans="1:38">
      <c r="A8" s="1111" t="s">
        <v>18</v>
      </c>
      <c r="B8" s="1040" t="s">
        <v>19</v>
      </c>
      <c r="C8" s="1023">
        <f t="shared" si="1"/>
        <v>16715.79</v>
      </c>
      <c r="D8" s="1024">
        <f t="shared" si="2"/>
        <v>335215.38</v>
      </c>
      <c r="E8" s="1024">
        <f t="shared" si="3"/>
        <v>142533.97</v>
      </c>
      <c r="F8" s="1024">
        <f t="shared" si="4"/>
        <v>142533.98000000001</v>
      </c>
      <c r="G8" s="1025">
        <f t="shared" si="4"/>
        <v>-0.01</v>
      </c>
      <c r="H8" s="1029">
        <v>5758</v>
      </c>
      <c r="I8" s="1030">
        <v>713.99</v>
      </c>
      <c r="J8" s="1030">
        <v>5044.01</v>
      </c>
      <c r="K8" s="1030">
        <v>0</v>
      </c>
      <c r="L8" s="1030">
        <v>-0.01</v>
      </c>
      <c r="M8" s="1031">
        <v>11515.99</v>
      </c>
      <c r="N8" s="1029">
        <v>9450</v>
      </c>
      <c r="O8" s="1030">
        <v>793.8</v>
      </c>
      <c r="P8" s="1030">
        <v>8656.2000000000007</v>
      </c>
      <c r="Q8" s="1030">
        <v>0</v>
      </c>
      <c r="R8" s="1030">
        <v>0</v>
      </c>
      <c r="S8" s="1031">
        <v>18900</v>
      </c>
      <c r="T8" s="1029">
        <v>0</v>
      </c>
      <c r="U8" s="1030">
        <v>0</v>
      </c>
      <c r="V8" s="1030">
        <v>41874.300000000003</v>
      </c>
      <c r="W8" s="1030">
        <v>0</v>
      </c>
      <c r="X8" s="1030">
        <v>0</v>
      </c>
      <c r="Y8" s="1031">
        <v>41874.300000000003</v>
      </c>
      <c r="Z8" s="1032"/>
      <c r="AA8" s="1033"/>
      <c r="AB8" s="1033"/>
      <c r="AC8" s="1033"/>
      <c r="AD8" s="1033"/>
      <c r="AE8" s="1034"/>
      <c r="AF8" s="1029">
        <v>0</v>
      </c>
      <c r="AG8" s="1030">
        <v>0</v>
      </c>
      <c r="AH8" s="1030">
        <v>279640.87</v>
      </c>
      <c r="AI8" s="1030">
        <v>142533.98000000001</v>
      </c>
      <c r="AJ8" s="1030">
        <v>0</v>
      </c>
      <c r="AK8" s="1031">
        <v>422174.85</v>
      </c>
    </row>
    <row r="9" spans="1:38">
      <c r="A9" s="1111" t="s">
        <v>20</v>
      </c>
      <c r="B9" s="1040" t="s">
        <v>21</v>
      </c>
      <c r="C9" s="1023">
        <f t="shared" si="1"/>
        <v>205779.68999999997</v>
      </c>
      <c r="D9" s="1024">
        <f t="shared" si="2"/>
        <v>1237818.1400000001</v>
      </c>
      <c r="E9" s="1024">
        <f t="shared" si="3"/>
        <v>391534.05</v>
      </c>
      <c r="F9" s="1024">
        <f t="shared" si="4"/>
        <v>391534.08000000002</v>
      </c>
      <c r="G9" s="1025">
        <f t="shared" si="4"/>
        <v>-0.03</v>
      </c>
      <c r="H9" s="1029">
        <v>155374.79999999999</v>
      </c>
      <c r="I9" s="1030">
        <v>14791.99</v>
      </c>
      <c r="J9" s="1030">
        <v>140582.75</v>
      </c>
      <c r="K9" s="1030">
        <v>0</v>
      </c>
      <c r="L9" s="1030">
        <v>-0.03</v>
      </c>
      <c r="M9" s="1031">
        <v>310749.51</v>
      </c>
      <c r="N9" s="1029">
        <v>32856.5</v>
      </c>
      <c r="O9" s="1030">
        <v>2756.4</v>
      </c>
      <c r="P9" s="1030">
        <v>30100.1</v>
      </c>
      <c r="Q9" s="1030">
        <v>0</v>
      </c>
      <c r="R9" s="1030">
        <v>0</v>
      </c>
      <c r="S9" s="1031">
        <v>65713</v>
      </c>
      <c r="T9" s="1029">
        <v>0</v>
      </c>
      <c r="U9" s="1030">
        <v>0</v>
      </c>
      <c r="V9" s="1030">
        <v>70902</v>
      </c>
      <c r="W9" s="1030">
        <v>0</v>
      </c>
      <c r="X9" s="1030">
        <v>0</v>
      </c>
      <c r="Y9" s="1031">
        <v>70902</v>
      </c>
      <c r="Z9" s="1032"/>
      <c r="AA9" s="1033"/>
      <c r="AB9" s="1033"/>
      <c r="AC9" s="1033"/>
      <c r="AD9" s="1033"/>
      <c r="AE9" s="1034"/>
      <c r="AF9" s="1029">
        <v>0</v>
      </c>
      <c r="AG9" s="1030">
        <v>0</v>
      </c>
      <c r="AH9" s="1030">
        <v>996233.29</v>
      </c>
      <c r="AI9" s="1030">
        <v>391534.08000000002</v>
      </c>
      <c r="AJ9" s="1030">
        <v>0</v>
      </c>
      <c r="AK9" s="1031">
        <v>1387767.37</v>
      </c>
    </row>
    <row r="10" spans="1:38">
      <c r="A10" s="1111" t="s">
        <v>22</v>
      </c>
      <c r="B10" s="1040" t="s">
        <v>23</v>
      </c>
      <c r="C10" s="1023">
        <f t="shared" si="1"/>
        <v>18890.77</v>
      </c>
      <c r="D10" s="1024">
        <f t="shared" si="2"/>
        <v>664678.16</v>
      </c>
      <c r="E10" s="1024">
        <f t="shared" si="3"/>
        <v>199442.71</v>
      </c>
      <c r="F10" s="1024">
        <f t="shared" si="4"/>
        <v>199442.74</v>
      </c>
      <c r="G10" s="1025">
        <f t="shared" si="4"/>
        <v>-0.03</v>
      </c>
      <c r="H10" s="1029">
        <v>17519.330000000002</v>
      </c>
      <c r="I10" s="1030">
        <v>1371.44</v>
      </c>
      <c r="J10" s="1030">
        <v>16147.87</v>
      </c>
      <c r="K10" s="1030">
        <v>0</v>
      </c>
      <c r="L10" s="1030">
        <v>-0.03</v>
      </c>
      <c r="M10" s="1031">
        <v>35038.61</v>
      </c>
      <c r="N10" s="1032"/>
      <c r="O10" s="1033"/>
      <c r="P10" s="1033"/>
      <c r="Q10" s="1033"/>
      <c r="R10" s="1033"/>
      <c r="S10" s="1034"/>
      <c r="T10" s="1029">
        <v>0</v>
      </c>
      <c r="U10" s="1030">
        <v>0</v>
      </c>
      <c r="V10" s="1030">
        <v>6300</v>
      </c>
      <c r="W10" s="1030">
        <v>0</v>
      </c>
      <c r="X10" s="1030">
        <v>0</v>
      </c>
      <c r="Y10" s="1031">
        <v>6300</v>
      </c>
      <c r="Z10" s="1032"/>
      <c r="AA10" s="1033"/>
      <c r="AB10" s="1033"/>
      <c r="AC10" s="1033"/>
      <c r="AD10" s="1033"/>
      <c r="AE10" s="1034"/>
      <c r="AF10" s="1029">
        <v>0</v>
      </c>
      <c r="AG10" s="1030">
        <v>0</v>
      </c>
      <c r="AH10" s="1030">
        <v>642230.29</v>
      </c>
      <c r="AI10" s="1030">
        <v>199442.74</v>
      </c>
      <c r="AJ10" s="1030">
        <v>0</v>
      </c>
      <c r="AK10" s="1031">
        <v>841673.03</v>
      </c>
    </row>
    <row r="11" spans="1:38">
      <c r="A11" s="1111" t="s">
        <v>24</v>
      </c>
      <c r="B11" s="1040" t="s">
        <v>25</v>
      </c>
      <c r="C11" s="1023">
        <f t="shared" si="1"/>
        <v>705502.2</v>
      </c>
      <c r="D11" s="1024">
        <f t="shared" si="2"/>
        <v>6642357.4900000002</v>
      </c>
      <c r="E11" s="1024">
        <f t="shared" si="3"/>
        <v>4364144.0100000007</v>
      </c>
      <c r="F11" s="1024">
        <f t="shared" si="4"/>
        <v>4355209.82</v>
      </c>
      <c r="G11" s="1025">
        <f t="shared" si="4"/>
        <v>8934.1899999999987</v>
      </c>
      <c r="H11" s="1029">
        <v>377305.98</v>
      </c>
      <c r="I11" s="1030">
        <v>25360.16</v>
      </c>
      <c r="J11" s="1030">
        <v>351945.73</v>
      </c>
      <c r="K11" s="1030">
        <v>0</v>
      </c>
      <c r="L11" s="1030">
        <v>8934.2099999999991</v>
      </c>
      <c r="M11" s="1031">
        <v>763546.08</v>
      </c>
      <c r="N11" s="1029">
        <v>279328.01</v>
      </c>
      <c r="O11" s="1030">
        <v>23508.05</v>
      </c>
      <c r="P11" s="1030">
        <v>255819.96</v>
      </c>
      <c r="Q11" s="1030">
        <v>0</v>
      </c>
      <c r="R11" s="1030">
        <v>-0.02</v>
      </c>
      <c r="S11" s="1031">
        <v>558656</v>
      </c>
      <c r="T11" s="1029">
        <v>0</v>
      </c>
      <c r="U11" s="1030">
        <v>0</v>
      </c>
      <c r="V11" s="1030">
        <v>985788.88</v>
      </c>
      <c r="W11" s="1030">
        <v>0</v>
      </c>
      <c r="X11" s="1030">
        <v>0</v>
      </c>
      <c r="Y11" s="1031">
        <v>985788.88</v>
      </c>
      <c r="Z11" s="1032"/>
      <c r="AA11" s="1033"/>
      <c r="AB11" s="1033"/>
      <c r="AC11" s="1033"/>
      <c r="AD11" s="1033"/>
      <c r="AE11" s="1034"/>
      <c r="AF11" s="1029">
        <v>0</v>
      </c>
      <c r="AG11" s="1030">
        <v>0</v>
      </c>
      <c r="AH11" s="1030">
        <v>5048802.92</v>
      </c>
      <c r="AI11" s="1030">
        <v>4355209.82</v>
      </c>
      <c r="AJ11" s="1030">
        <v>0</v>
      </c>
      <c r="AK11" s="1031">
        <v>9404012.7400000002</v>
      </c>
    </row>
    <row r="12" spans="1:38">
      <c r="A12" s="1111" t="s">
        <v>26</v>
      </c>
      <c r="B12" s="1040" t="s">
        <v>1114</v>
      </c>
      <c r="C12" s="1023">
        <f t="shared" si="1"/>
        <v>1403657.3</v>
      </c>
      <c r="D12" s="1024">
        <f t="shared" si="2"/>
        <v>6715409.4499999993</v>
      </c>
      <c r="E12" s="1024">
        <f t="shared" si="3"/>
        <v>1874182.39</v>
      </c>
      <c r="F12" s="1024">
        <f t="shared" si="4"/>
        <v>1874182.66</v>
      </c>
      <c r="G12" s="1025">
        <f t="shared" si="4"/>
        <v>-0.27</v>
      </c>
      <c r="H12" s="1029">
        <v>620672.11</v>
      </c>
      <c r="I12" s="1030">
        <v>52341</v>
      </c>
      <c r="J12" s="1030">
        <v>568330.89</v>
      </c>
      <c r="K12" s="1030">
        <v>0</v>
      </c>
      <c r="L12" s="1030">
        <v>-0.26</v>
      </c>
      <c r="M12" s="1031">
        <v>1241343.74</v>
      </c>
      <c r="N12" s="1029">
        <v>677147.99</v>
      </c>
      <c r="O12" s="1030">
        <v>53496.2</v>
      </c>
      <c r="P12" s="1030">
        <v>623651.78</v>
      </c>
      <c r="Q12" s="1030">
        <v>0</v>
      </c>
      <c r="R12" s="1030">
        <v>-0.01</v>
      </c>
      <c r="S12" s="1031">
        <v>1354295.96</v>
      </c>
      <c r="T12" s="1029">
        <v>0</v>
      </c>
      <c r="U12" s="1030">
        <v>0</v>
      </c>
      <c r="V12" s="1030">
        <v>1050265.76</v>
      </c>
      <c r="W12" s="1030">
        <v>0</v>
      </c>
      <c r="X12" s="1030">
        <v>0</v>
      </c>
      <c r="Y12" s="1031">
        <v>1050265.76</v>
      </c>
      <c r="Z12" s="1032"/>
      <c r="AA12" s="1033"/>
      <c r="AB12" s="1033"/>
      <c r="AC12" s="1033"/>
      <c r="AD12" s="1033"/>
      <c r="AE12" s="1034"/>
      <c r="AF12" s="1029">
        <v>0</v>
      </c>
      <c r="AG12" s="1030">
        <v>0</v>
      </c>
      <c r="AH12" s="1030">
        <v>4473161.0199999996</v>
      </c>
      <c r="AI12" s="1030">
        <v>1874182.66</v>
      </c>
      <c r="AJ12" s="1030">
        <v>0</v>
      </c>
      <c r="AK12" s="1031">
        <v>6347343.6799999997</v>
      </c>
    </row>
    <row r="13" spans="1:38">
      <c r="A13" s="1111" t="s">
        <v>27</v>
      </c>
      <c r="B13" s="1040" t="s">
        <v>28</v>
      </c>
      <c r="C13" s="1023">
        <f t="shared" si="1"/>
        <v>7746.24</v>
      </c>
      <c r="D13" s="1024">
        <f t="shared" si="2"/>
        <v>79261.459999999992</v>
      </c>
      <c r="E13" s="1024">
        <f t="shared" si="3"/>
        <v>38868.36</v>
      </c>
      <c r="F13" s="1024">
        <f t="shared" si="4"/>
        <v>38868.36</v>
      </c>
      <c r="G13" s="1025">
        <f t="shared" si="4"/>
        <v>0</v>
      </c>
      <c r="H13" s="1032"/>
      <c r="I13" s="1033"/>
      <c r="J13" s="1033"/>
      <c r="K13" s="1033"/>
      <c r="L13" s="1033"/>
      <c r="M13" s="1034"/>
      <c r="N13" s="1029">
        <v>7146</v>
      </c>
      <c r="O13" s="1030">
        <v>600.24</v>
      </c>
      <c r="P13" s="1030">
        <v>6545.76</v>
      </c>
      <c r="Q13" s="1030">
        <v>0</v>
      </c>
      <c r="R13" s="1030">
        <v>0</v>
      </c>
      <c r="S13" s="1031">
        <v>14292</v>
      </c>
      <c r="T13" s="1029">
        <v>0</v>
      </c>
      <c r="U13" s="1030">
        <v>0</v>
      </c>
      <c r="V13" s="1030">
        <v>7851</v>
      </c>
      <c r="W13" s="1030">
        <v>0</v>
      </c>
      <c r="X13" s="1030">
        <v>0</v>
      </c>
      <c r="Y13" s="1031">
        <v>7851</v>
      </c>
      <c r="Z13" s="1032"/>
      <c r="AA13" s="1033"/>
      <c r="AB13" s="1033"/>
      <c r="AC13" s="1033"/>
      <c r="AD13" s="1033"/>
      <c r="AE13" s="1034"/>
      <c r="AF13" s="1029">
        <v>0</v>
      </c>
      <c r="AG13" s="1030">
        <v>0</v>
      </c>
      <c r="AH13" s="1030">
        <v>64864.7</v>
      </c>
      <c r="AI13" s="1030">
        <v>38868.36</v>
      </c>
      <c r="AJ13" s="1030">
        <v>0</v>
      </c>
      <c r="AK13" s="1031">
        <v>103733.06</v>
      </c>
    </row>
    <row r="14" spans="1:38">
      <c r="A14" s="1111" t="s">
        <v>29</v>
      </c>
      <c r="B14" s="1040" t="s">
        <v>386</v>
      </c>
      <c r="C14" s="1023">
        <f t="shared" si="1"/>
        <v>512602.47</v>
      </c>
      <c r="D14" s="1024">
        <f t="shared" si="2"/>
        <v>2694131.1</v>
      </c>
      <c r="E14" s="1024">
        <f t="shared" si="3"/>
        <v>609837.47</v>
      </c>
      <c r="F14" s="1024">
        <f t="shared" si="4"/>
        <v>609837.63</v>
      </c>
      <c r="G14" s="1025">
        <f t="shared" si="4"/>
        <v>-0.16</v>
      </c>
      <c r="H14" s="1029">
        <v>243831.99</v>
      </c>
      <c r="I14" s="1030">
        <v>20656.86</v>
      </c>
      <c r="J14" s="1030">
        <v>223174.97</v>
      </c>
      <c r="K14" s="1030">
        <v>0</v>
      </c>
      <c r="L14" s="1030">
        <v>-0.12</v>
      </c>
      <c r="M14" s="1031">
        <v>487663.7</v>
      </c>
      <c r="N14" s="1029">
        <v>230394.37</v>
      </c>
      <c r="O14" s="1030">
        <v>17719.25</v>
      </c>
      <c r="P14" s="1030">
        <v>212675.05</v>
      </c>
      <c r="Q14" s="1030">
        <v>0</v>
      </c>
      <c r="R14" s="1030">
        <v>-0.04</v>
      </c>
      <c r="S14" s="1031">
        <v>460788.63</v>
      </c>
      <c r="T14" s="1029">
        <v>0</v>
      </c>
      <c r="U14" s="1030">
        <v>0</v>
      </c>
      <c r="V14" s="1030">
        <v>748555.19</v>
      </c>
      <c r="W14" s="1030">
        <v>0</v>
      </c>
      <c r="X14" s="1030">
        <v>0</v>
      </c>
      <c r="Y14" s="1031">
        <v>748555.19</v>
      </c>
      <c r="Z14" s="1032"/>
      <c r="AA14" s="1033"/>
      <c r="AB14" s="1033"/>
      <c r="AC14" s="1033"/>
      <c r="AD14" s="1033"/>
      <c r="AE14" s="1034"/>
      <c r="AF14" s="1029">
        <v>0</v>
      </c>
      <c r="AG14" s="1030">
        <v>0</v>
      </c>
      <c r="AH14" s="1030">
        <v>1509725.8900000001</v>
      </c>
      <c r="AI14" s="1030">
        <v>609837.63</v>
      </c>
      <c r="AJ14" s="1030">
        <v>0</v>
      </c>
      <c r="AK14" s="1031">
        <v>2119563.5200000005</v>
      </c>
    </row>
    <row r="15" spans="1:38">
      <c r="A15" s="1111" t="s">
        <v>31</v>
      </c>
      <c r="B15" s="1040" t="s">
        <v>32</v>
      </c>
      <c r="C15" s="1023">
        <f t="shared" si="1"/>
        <v>179224.15</v>
      </c>
      <c r="D15" s="1024">
        <f t="shared" si="2"/>
        <v>449375.04</v>
      </c>
      <c r="E15" s="1024">
        <f t="shared" si="3"/>
        <v>76762.319999999992</v>
      </c>
      <c r="F15" s="1024">
        <f t="shared" si="4"/>
        <v>76762.48</v>
      </c>
      <c r="G15" s="1025">
        <f t="shared" si="4"/>
        <v>-0.16</v>
      </c>
      <c r="H15" s="1029">
        <v>115500.1</v>
      </c>
      <c r="I15" s="1030">
        <v>7780.08</v>
      </c>
      <c r="J15" s="1030">
        <v>107720</v>
      </c>
      <c r="K15" s="1030">
        <v>0</v>
      </c>
      <c r="L15" s="1030">
        <v>-7.0000000000000007E-2</v>
      </c>
      <c r="M15" s="1031">
        <v>231000.11</v>
      </c>
      <c r="N15" s="1029">
        <v>51775.57</v>
      </c>
      <c r="O15" s="1030">
        <v>4168.3999999999996</v>
      </c>
      <c r="P15" s="1030">
        <v>47607.16</v>
      </c>
      <c r="Q15" s="1030">
        <v>0</v>
      </c>
      <c r="R15" s="1030">
        <v>-0.09</v>
      </c>
      <c r="S15" s="1031">
        <v>103551.03999999999</v>
      </c>
      <c r="T15" s="1029">
        <v>0</v>
      </c>
      <c r="U15" s="1030">
        <v>0</v>
      </c>
      <c r="V15" s="1030">
        <v>13483.84</v>
      </c>
      <c r="W15" s="1030">
        <v>0</v>
      </c>
      <c r="X15" s="1030">
        <v>0</v>
      </c>
      <c r="Y15" s="1031">
        <v>13483.84</v>
      </c>
      <c r="Z15" s="1032"/>
      <c r="AA15" s="1033"/>
      <c r="AB15" s="1033"/>
      <c r="AC15" s="1033"/>
      <c r="AD15" s="1033"/>
      <c r="AE15" s="1034"/>
      <c r="AF15" s="1029">
        <v>0</v>
      </c>
      <c r="AG15" s="1030">
        <v>0</v>
      </c>
      <c r="AH15" s="1030">
        <v>280564.03999999998</v>
      </c>
      <c r="AI15" s="1030">
        <v>76762.48</v>
      </c>
      <c r="AJ15" s="1030">
        <v>0</v>
      </c>
      <c r="AK15" s="1031">
        <v>357326.51999999996</v>
      </c>
    </row>
    <row r="16" spans="1:38">
      <c r="A16" s="1111" t="s">
        <v>33</v>
      </c>
      <c r="B16" s="1040" t="s">
        <v>34</v>
      </c>
      <c r="C16" s="1023">
        <f t="shared" si="1"/>
        <v>54903.44</v>
      </c>
      <c r="D16" s="1024">
        <f t="shared" si="2"/>
        <v>907781.9</v>
      </c>
      <c r="E16" s="1024">
        <f t="shared" si="3"/>
        <v>419403.17</v>
      </c>
      <c r="F16" s="1024">
        <f t="shared" si="4"/>
        <v>419403.19</v>
      </c>
      <c r="G16" s="1025">
        <f t="shared" si="4"/>
        <v>-0.02</v>
      </c>
      <c r="H16" s="1029">
        <v>317.81</v>
      </c>
      <c r="I16" s="1030">
        <v>7.63</v>
      </c>
      <c r="J16" s="1030">
        <v>310.18</v>
      </c>
      <c r="K16" s="1030">
        <v>0</v>
      </c>
      <c r="L16" s="1030">
        <v>-0.01</v>
      </c>
      <c r="M16" s="1031">
        <v>635.61</v>
      </c>
      <c r="N16" s="1029">
        <v>51043.55</v>
      </c>
      <c r="O16" s="1030">
        <v>3534.45</v>
      </c>
      <c r="P16" s="1030">
        <v>47509.1</v>
      </c>
      <c r="Q16" s="1030">
        <v>0</v>
      </c>
      <c r="R16" s="1030">
        <v>-0.01</v>
      </c>
      <c r="S16" s="1031">
        <v>102087.09</v>
      </c>
      <c r="T16" s="1029">
        <v>0</v>
      </c>
      <c r="U16" s="1030">
        <v>0</v>
      </c>
      <c r="V16" s="1030">
        <v>40761</v>
      </c>
      <c r="W16" s="1030">
        <v>0</v>
      </c>
      <c r="X16" s="1030">
        <v>0</v>
      </c>
      <c r="Y16" s="1031">
        <v>40761</v>
      </c>
      <c r="Z16" s="1032"/>
      <c r="AA16" s="1033"/>
      <c r="AB16" s="1033"/>
      <c r="AC16" s="1033"/>
      <c r="AD16" s="1033"/>
      <c r="AE16" s="1034"/>
      <c r="AF16" s="1029">
        <v>0</v>
      </c>
      <c r="AG16" s="1030">
        <v>0</v>
      </c>
      <c r="AH16" s="1030">
        <v>819201.62</v>
      </c>
      <c r="AI16" s="1030">
        <v>419403.19</v>
      </c>
      <c r="AJ16" s="1030">
        <v>0</v>
      </c>
      <c r="AK16" s="1031">
        <v>1238604.81</v>
      </c>
    </row>
    <row r="17" spans="1:37">
      <c r="A17" s="1111" t="s">
        <v>37</v>
      </c>
      <c r="B17" s="1040" t="s">
        <v>38</v>
      </c>
      <c r="C17" s="1023">
        <f t="shared" si="1"/>
        <v>43184.78</v>
      </c>
      <c r="D17" s="1024">
        <f t="shared" si="2"/>
        <v>378188.35</v>
      </c>
      <c r="E17" s="1024">
        <f t="shared" si="3"/>
        <v>111581.52</v>
      </c>
      <c r="F17" s="1024">
        <f t="shared" si="4"/>
        <v>111581.53</v>
      </c>
      <c r="G17" s="1025">
        <f t="shared" si="4"/>
        <v>-0.01</v>
      </c>
      <c r="H17" s="1029">
        <v>18711.04</v>
      </c>
      <c r="I17" s="1030">
        <v>2089.13</v>
      </c>
      <c r="J17" s="1030">
        <v>16621.91</v>
      </c>
      <c r="K17" s="1030">
        <v>0</v>
      </c>
      <c r="L17" s="1030">
        <v>0</v>
      </c>
      <c r="M17" s="1031">
        <v>37422.080000000002</v>
      </c>
      <c r="N17" s="1029">
        <v>21103.439999999999</v>
      </c>
      <c r="O17" s="1030">
        <v>1281.17</v>
      </c>
      <c r="P17" s="1030">
        <v>19822.27</v>
      </c>
      <c r="Q17" s="1030">
        <v>0</v>
      </c>
      <c r="R17" s="1030">
        <v>-0.01</v>
      </c>
      <c r="S17" s="1031">
        <v>42206.87</v>
      </c>
      <c r="T17" s="1032"/>
      <c r="U17" s="1033"/>
      <c r="V17" s="1033"/>
      <c r="W17" s="1033"/>
      <c r="X17" s="1033"/>
      <c r="Y17" s="1034"/>
      <c r="Z17" s="1032"/>
      <c r="AA17" s="1033"/>
      <c r="AB17" s="1033"/>
      <c r="AC17" s="1033"/>
      <c r="AD17" s="1033"/>
      <c r="AE17" s="1034"/>
      <c r="AF17" s="1029">
        <v>0</v>
      </c>
      <c r="AG17" s="1030">
        <v>0</v>
      </c>
      <c r="AH17" s="1030">
        <v>341744.17</v>
      </c>
      <c r="AI17" s="1030">
        <v>111581.53</v>
      </c>
      <c r="AJ17" s="1030">
        <v>0</v>
      </c>
      <c r="AK17" s="1031">
        <v>453325.69999999995</v>
      </c>
    </row>
    <row r="18" spans="1:37">
      <c r="A18" s="1111" t="s">
        <v>39</v>
      </c>
      <c r="B18" s="1040" t="s">
        <v>40</v>
      </c>
      <c r="C18" s="1023">
        <f t="shared" si="1"/>
        <v>538302.42999999993</v>
      </c>
      <c r="D18" s="1024">
        <f t="shared" si="2"/>
        <v>1635920.05</v>
      </c>
      <c r="E18" s="1024">
        <f t="shared" si="3"/>
        <v>499142.05</v>
      </c>
      <c r="F18" s="1024">
        <f t="shared" si="4"/>
        <v>499142.19</v>
      </c>
      <c r="G18" s="1025">
        <f t="shared" si="4"/>
        <v>-0.14000000000000001</v>
      </c>
      <c r="H18" s="1029">
        <v>260099.86</v>
      </c>
      <c r="I18" s="1030">
        <v>23483.55</v>
      </c>
      <c r="J18" s="1030">
        <v>236616.18</v>
      </c>
      <c r="K18" s="1030">
        <v>0</v>
      </c>
      <c r="L18" s="1030">
        <v>-0.13</v>
      </c>
      <c r="M18" s="1031">
        <v>520199.46</v>
      </c>
      <c r="N18" s="1029">
        <v>235246.65</v>
      </c>
      <c r="O18" s="1030">
        <v>19472.37</v>
      </c>
      <c r="P18" s="1030">
        <v>215774.29</v>
      </c>
      <c r="Q18" s="1030">
        <v>0</v>
      </c>
      <c r="R18" s="1030">
        <v>-0.01</v>
      </c>
      <c r="S18" s="1031">
        <v>470493.3</v>
      </c>
      <c r="T18" s="1029">
        <v>0</v>
      </c>
      <c r="U18" s="1030">
        <v>0</v>
      </c>
      <c r="V18" s="1030">
        <v>179005.17</v>
      </c>
      <c r="W18" s="1030">
        <v>0</v>
      </c>
      <c r="X18" s="1030">
        <v>0</v>
      </c>
      <c r="Y18" s="1031">
        <v>179005.17</v>
      </c>
      <c r="Z18" s="1032"/>
      <c r="AA18" s="1033"/>
      <c r="AB18" s="1033"/>
      <c r="AC18" s="1033"/>
      <c r="AD18" s="1033"/>
      <c r="AE18" s="1034"/>
      <c r="AF18" s="1029">
        <v>0</v>
      </c>
      <c r="AG18" s="1030">
        <v>0</v>
      </c>
      <c r="AH18" s="1030">
        <v>1004524.41</v>
      </c>
      <c r="AI18" s="1030">
        <v>499142.19</v>
      </c>
      <c r="AJ18" s="1030">
        <v>0</v>
      </c>
      <c r="AK18" s="1031">
        <v>1503666.6</v>
      </c>
    </row>
    <row r="19" spans="1:37">
      <c r="A19" s="1111" t="s">
        <v>41</v>
      </c>
      <c r="B19" s="1040" t="s">
        <v>42</v>
      </c>
      <c r="C19" s="1023">
        <f t="shared" si="1"/>
        <v>47942.560000000005</v>
      </c>
      <c r="D19" s="1024">
        <f t="shared" si="2"/>
        <v>895685.26</v>
      </c>
      <c r="E19" s="1024">
        <f t="shared" si="3"/>
        <v>167851.64</v>
      </c>
      <c r="F19" s="1024">
        <f t="shared" si="4"/>
        <v>167851.66</v>
      </c>
      <c r="G19" s="1025">
        <f t="shared" si="4"/>
        <v>-0.02</v>
      </c>
      <c r="H19" s="1029">
        <v>11225.86</v>
      </c>
      <c r="I19" s="1030">
        <v>583.03</v>
      </c>
      <c r="J19" s="1030">
        <v>10642.81</v>
      </c>
      <c r="K19" s="1030">
        <v>0</v>
      </c>
      <c r="L19" s="1030">
        <v>-0.02</v>
      </c>
      <c r="M19" s="1031">
        <v>22451.68</v>
      </c>
      <c r="N19" s="1029">
        <v>33535.050000000003</v>
      </c>
      <c r="O19" s="1030">
        <v>2598.62</v>
      </c>
      <c r="P19" s="1030">
        <v>30936.43</v>
      </c>
      <c r="Q19" s="1030">
        <v>0</v>
      </c>
      <c r="R19" s="1030">
        <v>0</v>
      </c>
      <c r="S19" s="1031">
        <v>67070.100000000006</v>
      </c>
      <c r="T19" s="1029">
        <v>0</v>
      </c>
      <c r="U19" s="1030">
        <v>0</v>
      </c>
      <c r="V19" s="1030">
        <v>26277</v>
      </c>
      <c r="W19" s="1030">
        <v>0</v>
      </c>
      <c r="X19" s="1030">
        <v>0</v>
      </c>
      <c r="Y19" s="1031">
        <v>26277</v>
      </c>
      <c r="Z19" s="1032"/>
      <c r="AA19" s="1033"/>
      <c r="AB19" s="1033"/>
      <c r="AC19" s="1033"/>
      <c r="AD19" s="1033"/>
      <c r="AE19" s="1034"/>
      <c r="AF19" s="1029">
        <v>0</v>
      </c>
      <c r="AG19" s="1030">
        <v>0</v>
      </c>
      <c r="AH19" s="1030">
        <v>827829.02</v>
      </c>
      <c r="AI19" s="1030">
        <v>167851.66</v>
      </c>
      <c r="AJ19" s="1030">
        <v>0</v>
      </c>
      <c r="AK19" s="1031">
        <v>995680.68</v>
      </c>
    </row>
    <row r="20" spans="1:37">
      <c r="A20" s="1111" t="s">
        <v>43</v>
      </c>
      <c r="B20" s="1040" t="s">
        <v>44</v>
      </c>
      <c r="C20" s="1023">
        <f t="shared" si="1"/>
        <v>353853.75</v>
      </c>
      <c r="D20" s="1024">
        <f t="shared" si="2"/>
        <v>2503960.25</v>
      </c>
      <c r="E20" s="1024">
        <f t="shared" si="3"/>
        <v>501034.52</v>
      </c>
      <c r="F20" s="1024">
        <f t="shared" si="4"/>
        <v>501034.56</v>
      </c>
      <c r="G20" s="1025">
        <f t="shared" si="4"/>
        <v>-0.04</v>
      </c>
      <c r="H20" s="1029">
        <v>83610.48</v>
      </c>
      <c r="I20" s="1030">
        <v>6353.91</v>
      </c>
      <c r="J20" s="1030">
        <v>77256.539999999994</v>
      </c>
      <c r="K20" s="1030">
        <v>0</v>
      </c>
      <c r="L20" s="1030">
        <v>-0.04</v>
      </c>
      <c r="M20" s="1031">
        <v>167220.89000000001</v>
      </c>
      <c r="N20" s="1029">
        <v>244796.79</v>
      </c>
      <c r="O20" s="1030">
        <v>19092.57</v>
      </c>
      <c r="P20" s="1030">
        <v>225704.21</v>
      </c>
      <c r="Q20" s="1030">
        <v>0</v>
      </c>
      <c r="R20" s="1030">
        <v>0</v>
      </c>
      <c r="S20" s="1031">
        <v>489593.57</v>
      </c>
      <c r="T20" s="1029">
        <v>0</v>
      </c>
      <c r="U20" s="1030">
        <v>0</v>
      </c>
      <c r="V20" s="1030">
        <v>889940.92</v>
      </c>
      <c r="W20" s="1030">
        <v>0</v>
      </c>
      <c r="X20" s="1030">
        <v>0</v>
      </c>
      <c r="Y20" s="1031">
        <v>889940.92</v>
      </c>
      <c r="Z20" s="1032"/>
      <c r="AA20" s="1033"/>
      <c r="AB20" s="1033"/>
      <c r="AC20" s="1033"/>
      <c r="AD20" s="1033"/>
      <c r="AE20" s="1034"/>
      <c r="AF20" s="1029">
        <v>0</v>
      </c>
      <c r="AG20" s="1030">
        <v>0</v>
      </c>
      <c r="AH20" s="1030">
        <v>1311058.58</v>
      </c>
      <c r="AI20" s="1030">
        <v>501034.56</v>
      </c>
      <c r="AJ20" s="1030">
        <v>0</v>
      </c>
      <c r="AK20" s="1031">
        <v>1812093.1400000001</v>
      </c>
    </row>
    <row r="21" spans="1:37">
      <c r="A21" s="1111" t="s">
        <v>45</v>
      </c>
      <c r="B21" s="1040" t="s">
        <v>46</v>
      </c>
      <c r="C21" s="1023">
        <f t="shared" si="1"/>
        <v>121328.63999999998</v>
      </c>
      <c r="D21" s="1024">
        <f t="shared" si="2"/>
        <v>1009825.4099999999</v>
      </c>
      <c r="E21" s="1024">
        <f t="shared" si="3"/>
        <v>455167.31</v>
      </c>
      <c r="F21" s="1024">
        <f t="shared" si="4"/>
        <v>455167.33</v>
      </c>
      <c r="G21" s="1025">
        <f t="shared" si="4"/>
        <v>-0.02</v>
      </c>
      <c r="H21" s="1029">
        <v>78502.45</v>
      </c>
      <c r="I21" s="1030">
        <v>6179.37</v>
      </c>
      <c r="J21" s="1030">
        <v>72323.070000000007</v>
      </c>
      <c r="K21" s="1030">
        <v>0</v>
      </c>
      <c r="L21" s="1030">
        <v>-0.01</v>
      </c>
      <c r="M21" s="1031">
        <v>157004.88</v>
      </c>
      <c r="N21" s="1029">
        <v>34327.230000000003</v>
      </c>
      <c r="O21" s="1030">
        <v>2319.59</v>
      </c>
      <c r="P21" s="1030">
        <v>32007.63</v>
      </c>
      <c r="Q21" s="1030">
        <v>0</v>
      </c>
      <c r="R21" s="1030">
        <v>-0.01</v>
      </c>
      <c r="S21" s="1031">
        <v>68654.44</v>
      </c>
      <c r="T21" s="1029">
        <v>0</v>
      </c>
      <c r="U21" s="1030">
        <v>0</v>
      </c>
      <c r="V21" s="1030">
        <v>7992</v>
      </c>
      <c r="W21" s="1030">
        <v>0</v>
      </c>
      <c r="X21" s="1030">
        <v>0</v>
      </c>
      <c r="Y21" s="1031">
        <v>7992</v>
      </c>
      <c r="Z21" s="1032"/>
      <c r="AA21" s="1033"/>
      <c r="AB21" s="1033"/>
      <c r="AC21" s="1033"/>
      <c r="AD21" s="1033"/>
      <c r="AE21" s="1034"/>
      <c r="AF21" s="1029">
        <v>0</v>
      </c>
      <c r="AG21" s="1030">
        <v>0</v>
      </c>
      <c r="AH21" s="1030">
        <v>897502.71</v>
      </c>
      <c r="AI21" s="1030">
        <v>455167.33</v>
      </c>
      <c r="AJ21" s="1030">
        <v>0</v>
      </c>
      <c r="AK21" s="1031">
        <v>1352670.04</v>
      </c>
    </row>
    <row r="22" spans="1:37">
      <c r="A22" s="1111" t="s">
        <v>47</v>
      </c>
      <c r="B22" s="1040" t="s">
        <v>48</v>
      </c>
      <c r="C22" s="1023">
        <f t="shared" si="1"/>
        <v>366050.01999999996</v>
      </c>
      <c r="D22" s="1024">
        <f t="shared" si="2"/>
        <v>1792555.48</v>
      </c>
      <c r="E22" s="1024">
        <f t="shared" si="3"/>
        <v>502996.78</v>
      </c>
      <c r="F22" s="1024">
        <f t="shared" si="4"/>
        <v>502996.84</v>
      </c>
      <c r="G22" s="1025">
        <f t="shared" si="4"/>
        <v>-0.06</v>
      </c>
      <c r="H22" s="1029">
        <v>284325.43</v>
      </c>
      <c r="I22" s="1030">
        <v>20243.13</v>
      </c>
      <c r="J22" s="1030">
        <v>264082.21999999997</v>
      </c>
      <c r="K22" s="1030">
        <v>0</v>
      </c>
      <c r="L22" s="1030">
        <v>-0.06</v>
      </c>
      <c r="M22" s="1031">
        <v>568650.72</v>
      </c>
      <c r="N22" s="1029">
        <v>56898.1</v>
      </c>
      <c r="O22" s="1030">
        <v>4583.3599999999997</v>
      </c>
      <c r="P22" s="1030">
        <v>52314.74</v>
      </c>
      <c r="Q22" s="1030">
        <v>0</v>
      </c>
      <c r="R22" s="1030">
        <v>0</v>
      </c>
      <c r="S22" s="1031">
        <v>113796.2</v>
      </c>
      <c r="T22" s="1029">
        <v>0</v>
      </c>
      <c r="U22" s="1030">
        <v>0</v>
      </c>
      <c r="V22" s="1030">
        <v>22084</v>
      </c>
      <c r="W22" s="1030">
        <v>0</v>
      </c>
      <c r="X22" s="1030">
        <v>0</v>
      </c>
      <c r="Y22" s="1031">
        <v>22084</v>
      </c>
      <c r="Z22" s="1032"/>
      <c r="AA22" s="1033"/>
      <c r="AB22" s="1033"/>
      <c r="AC22" s="1033"/>
      <c r="AD22" s="1033"/>
      <c r="AE22" s="1034"/>
      <c r="AF22" s="1029">
        <v>0</v>
      </c>
      <c r="AG22" s="1030">
        <v>0</v>
      </c>
      <c r="AH22" s="1030">
        <v>1454074.52</v>
      </c>
      <c r="AI22" s="1030">
        <v>502996.84</v>
      </c>
      <c r="AJ22" s="1030">
        <v>0</v>
      </c>
      <c r="AK22" s="1031">
        <v>1957071.36</v>
      </c>
    </row>
    <row r="23" spans="1:37">
      <c r="A23" s="1111" t="s">
        <v>49</v>
      </c>
      <c r="B23" s="1040" t="s">
        <v>279</v>
      </c>
      <c r="C23" s="1023">
        <f t="shared" si="1"/>
        <v>8360.4</v>
      </c>
      <c r="D23" s="1024">
        <f t="shared" si="2"/>
        <v>265009.69</v>
      </c>
      <c r="E23" s="1024">
        <f t="shared" si="3"/>
        <v>111556.45</v>
      </c>
      <c r="F23" s="1024">
        <f t="shared" si="4"/>
        <v>111556.45</v>
      </c>
      <c r="G23" s="1025">
        <f t="shared" si="4"/>
        <v>0</v>
      </c>
      <c r="H23" s="1029">
        <v>4656.5</v>
      </c>
      <c r="I23" s="1030">
        <v>267.44</v>
      </c>
      <c r="J23" s="1030">
        <v>4389.0600000000004</v>
      </c>
      <c r="K23" s="1030">
        <v>0</v>
      </c>
      <c r="L23" s="1030">
        <v>0</v>
      </c>
      <c r="M23" s="1031">
        <v>9313</v>
      </c>
      <c r="N23" s="1029">
        <v>3169.45</v>
      </c>
      <c r="O23" s="1030">
        <v>267.01</v>
      </c>
      <c r="P23" s="1030">
        <v>2902.44</v>
      </c>
      <c r="Q23" s="1030">
        <v>0</v>
      </c>
      <c r="R23" s="1030">
        <v>0</v>
      </c>
      <c r="S23" s="1031">
        <v>6338.9</v>
      </c>
      <c r="T23" s="1029">
        <v>0</v>
      </c>
      <c r="U23" s="1030">
        <v>0</v>
      </c>
      <c r="V23" s="1030">
        <v>3997.6</v>
      </c>
      <c r="W23" s="1030">
        <v>0</v>
      </c>
      <c r="X23" s="1030">
        <v>0</v>
      </c>
      <c r="Y23" s="1031">
        <v>3997.6</v>
      </c>
      <c r="Z23" s="1032"/>
      <c r="AA23" s="1033"/>
      <c r="AB23" s="1033"/>
      <c r="AC23" s="1033"/>
      <c r="AD23" s="1033"/>
      <c r="AE23" s="1034"/>
      <c r="AF23" s="1029">
        <v>0</v>
      </c>
      <c r="AG23" s="1030">
        <v>0</v>
      </c>
      <c r="AH23" s="1030">
        <v>253720.59</v>
      </c>
      <c r="AI23" s="1030">
        <v>111556.45</v>
      </c>
      <c r="AJ23" s="1030">
        <v>0</v>
      </c>
      <c r="AK23" s="1031">
        <v>365277.04</v>
      </c>
    </row>
    <row r="24" spans="1:37">
      <c r="A24" s="1111" t="s">
        <v>51</v>
      </c>
      <c r="B24" s="1040" t="s">
        <v>52</v>
      </c>
      <c r="C24" s="1023">
        <f t="shared" si="1"/>
        <v>116174.34999999999</v>
      </c>
      <c r="D24" s="1024">
        <f t="shared" si="2"/>
        <v>567441.06999999995</v>
      </c>
      <c r="E24" s="1024">
        <f t="shared" si="3"/>
        <v>121883.65</v>
      </c>
      <c r="F24" s="1024">
        <f t="shared" si="4"/>
        <v>121883.67</v>
      </c>
      <c r="G24" s="1025">
        <f t="shared" si="4"/>
        <v>-0.02</v>
      </c>
      <c r="H24" s="1029">
        <v>63387.95</v>
      </c>
      <c r="I24" s="1030">
        <v>6168.89</v>
      </c>
      <c r="J24" s="1030">
        <v>57219.06</v>
      </c>
      <c r="K24" s="1030">
        <v>0</v>
      </c>
      <c r="L24" s="1030">
        <v>-0.02</v>
      </c>
      <c r="M24" s="1031">
        <v>126775.88</v>
      </c>
      <c r="N24" s="1029">
        <v>42943.9</v>
      </c>
      <c r="O24" s="1030">
        <v>3673.61</v>
      </c>
      <c r="P24" s="1030">
        <v>39270.29</v>
      </c>
      <c r="Q24" s="1030">
        <v>0</v>
      </c>
      <c r="R24" s="1030">
        <v>0</v>
      </c>
      <c r="S24" s="1031">
        <v>85887.8</v>
      </c>
      <c r="T24" s="1032"/>
      <c r="U24" s="1033"/>
      <c r="V24" s="1033"/>
      <c r="W24" s="1033"/>
      <c r="X24" s="1033"/>
      <c r="Y24" s="1034"/>
      <c r="Z24" s="1032"/>
      <c r="AA24" s="1033"/>
      <c r="AB24" s="1033"/>
      <c r="AC24" s="1033"/>
      <c r="AD24" s="1033"/>
      <c r="AE24" s="1034"/>
      <c r="AF24" s="1029">
        <v>0</v>
      </c>
      <c r="AG24" s="1030">
        <v>0</v>
      </c>
      <c r="AH24" s="1030">
        <v>470951.72</v>
      </c>
      <c r="AI24" s="1030">
        <v>121883.67</v>
      </c>
      <c r="AJ24" s="1030">
        <v>0</v>
      </c>
      <c r="AK24" s="1031">
        <v>592835.39</v>
      </c>
    </row>
    <row r="25" spans="1:37">
      <c r="A25" s="1111" t="s">
        <v>57</v>
      </c>
      <c r="B25" s="1040" t="s">
        <v>362</v>
      </c>
      <c r="C25" s="1023">
        <f t="shared" si="1"/>
        <v>864177.54</v>
      </c>
      <c r="D25" s="1024">
        <f t="shared" si="2"/>
        <v>6040422.4199999999</v>
      </c>
      <c r="E25" s="1024">
        <f t="shared" si="3"/>
        <v>2411734.4099999997</v>
      </c>
      <c r="F25" s="1024">
        <f t="shared" si="4"/>
        <v>2411734.5499999998</v>
      </c>
      <c r="G25" s="1025">
        <f t="shared" si="4"/>
        <v>-0.14000000000000001</v>
      </c>
      <c r="H25" s="1029">
        <v>241722.69</v>
      </c>
      <c r="I25" s="1030">
        <v>19460.68</v>
      </c>
      <c r="J25" s="1030">
        <v>222261.87</v>
      </c>
      <c r="K25" s="1030">
        <v>0</v>
      </c>
      <c r="L25" s="1030">
        <v>-0.1</v>
      </c>
      <c r="M25" s="1031">
        <v>483445.14</v>
      </c>
      <c r="N25" s="1029">
        <v>557431.23</v>
      </c>
      <c r="O25" s="1030">
        <v>45562.94</v>
      </c>
      <c r="P25" s="1030">
        <v>511868.28</v>
      </c>
      <c r="Q25" s="1030">
        <v>0</v>
      </c>
      <c r="R25" s="1030">
        <v>-0.04</v>
      </c>
      <c r="S25" s="1031">
        <v>1114862.4099999999</v>
      </c>
      <c r="T25" s="1029">
        <v>0</v>
      </c>
      <c r="U25" s="1030">
        <v>0</v>
      </c>
      <c r="V25" s="1030">
        <v>1293765.93</v>
      </c>
      <c r="W25" s="1030">
        <v>0</v>
      </c>
      <c r="X25" s="1030">
        <v>0</v>
      </c>
      <c r="Y25" s="1031">
        <v>1293765.93</v>
      </c>
      <c r="Z25" s="1032"/>
      <c r="AA25" s="1033"/>
      <c r="AB25" s="1033"/>
      <c r="AC25" s="1033"/>
      <c r="AD25" s="1033"/>
      <c r="AE25" s="1034"/>
      <c r="AF25" s="1029">
        <v>0</v>
      </c>
      <c r="AG25" s="1030">
        <v>0</v>
      </c>
      <c r="AH25" s="1030">
        <v>4012526.3400000003</v>
      </c>
      <c r="AI25" s="1030">
        <v>2411734.5499999998</v>
      </c>
      <c r="AJ25" s="1030">
        <v>0</v>
      </c>
      <c r="AK25" s="1031">
        <v>6424260.8900000006</v>
      </c>
    </row>
    <row r="26" spans="1:37">
      <c r="A26" s="1111" t="s">
        <v>59</v>
      </c>
      <c r="B26" s="1040" t="s">
        <v>60</v>
      </c>
      <c r="C26" s="1023">
        <f t="shared" si="1"/>
        <v>17265.02</v>
      </c>
      <c r="D26" s="1024">
        <f t="shared" si="2"/>
        <v>523706.75999999995</v>
      </c>
      <c r="E26" s="1024">
        <f t="shared" si="3"/>
        <v>375686.39999999997</v>
      </c>
      <c r="F26" s="1024">
        <f t="shared" si="4"/>
        <v>375686.41</v>
      </c>
      <c r="G26" s="1025">
        <f t="shared" si="4"/>
        <v>-0.01</v>
      </c>
      <c r="H26" s="1029">
        <v>11207.93</v>
      </c>
      <c r="I26" s="1030">
        <v>866.54</v>
      </c>
      <c r="J26" s="1030">
        <v>10341.39</v>
      </c>
      <c r="K26" s="1030">
        <v>0</v>
      </c>
      <c r="L26" s="1030">
        <v>-0.01</v>
      </c>
      <c r="M26" s="1031">
        <v>22415.85</v>
      </c>
      <c r="N26" s="1029">
        <v>4909.8500000000004</v>
      </c>
      <c r="O26" s="1030">
        <v>280.7</v>
      </c>
      <c r="P26" s="1030">
        <v>4629.1499999999996</v>
      </c>
      <c r="Q26" s="1030">
        <v>0</v>
      </c>
      <c r="R26" s="1030">
        <v>0</v>
      </c>
      <c r="S26" s="1031">
        <v>9819.7000000000007</v>
      </c>
      <c r="T26" s="1029">
        <v>0</v>
      </c>
      <c r="U26" s="1030">
        <v>0</v>
      </c>
      <c r="V26" s="1030">
        <v>84622</v>
      </c>
      <c r="W26" s="1030">
        <v>0</v>
      </c>
      <c r="X26" s="1030">
        <v>0</v>
      </c>
      <c r="Y26" s="1031">
        <v>84622</v>
      </c>
      <c r="Z26" s="1032"/>
      <c r="AA26" s="1033"/>
      <c r="AB26" s="1033"/>
      <c r="AC26" s="1033"/>
      <c r="AD26" s="1033"/>
      <c r="AE26" s="1034"/>
      <c r="AF26" s="1029">
        <v>0</v>
      </c>
      <c r="AG26" s="1030">
        <v>0</v>
      </c>
      <c r="AH26" s="1030">
        <v>424114.22</v>
      </c>
      <c r="AI26" s="1030">
        <v>375686.41</v>
      </c>
      <c r="AJ26" s="1030">
        <v>0</v>
      </c>
      <c r="AK26" s="1031">
        <v>799800.62999999989</v>
      </c>
    </row>
    <row r="27" spans="1:37">
      <c r="A27" s="1111" t="s">
        <v>61</v>
      </c>
      <c r="B27" s="1040" t="s">
        <v>62</v>
      </c>
      <c r="C27" s="1023">
        <f t="shared" si="1"/>
        <v>58226.250000000007</v>
      </c>
      <c r="D27" s="1024">
        <f t="shared" si="2"/>
        <v>457717.4</v>
      </c>
      <c r="E27" s="1024">
        <f t="shared" si="3"/>
        <v>179189.56999999998</v>
      </c>
      <c r="F27" s="1024">
        <f t="shared" si="4"/>
        <v>179189.61</v>
      </c>
      <c r="G27" s="1025">
        <f t="shared" si="4"/>
        <v>-0.04</v>
      </c>
      <c r="H27" s="1029">
        <v>49519.69</v>
      </c>
      <c r="I27" s="1030">
        <v>5587.01</v>
      </c>
      <c r="J27" s="1030">
        <v>43932.68</v>
      </c>
      <c r="K27" s="1030">
        <v>0</v>
      </c>
      <c r="L27" s="1030">
        <v>-0.04</v>
      </c>
      <c r="M27" s="1031">
        <v>99039.34</v>
      </c>
      <c r="N27" s="1029">
        <v>2887.5</v>
      </c>
      <c r="O27" s="1030">
        <v>232.05</v>
      </c>
      <c r="P27" s="1030">
        <v>2655.45</v>
      </c>
      <c r="Q27" s="1030">
        <v>0</v>
      </c>
      <c r="R27" s="1030">
        <v>0</v>
      </c>
      <c r="S27" s="1031">
        <v>5775</v>
      </c>
      <c r="T27" s="1032"/>
      <c r="U27" s="1033"/>
      <c r="V27" s="1033"/>
      <c r="W27" s="1033"/>
      <c r="X27" s="1033"/>
      <c r="Y27" s="1034"/>
      <c r="Z27" s="1032"/>
      <c r="AA27" s="1033"/>
      <c r="AB27" s="1033"/>
      <c r="AC27" s="1033"/>
      <c r="AD27" s="1033"/>
      <c r="AE27" s="1034"/>
      <c r="AF27" s="1029">
        <v>0</v>
      </c>
      <c r="AG27" s="1030">
        <v>0</v>
      </c>
      <c r="AH27" s="1030">
        <v>411129.27</v>
      </c>
      <c r="AI27" s="1030">
        <v>179189.61</v>
      </c>
      <c r="AJ27" s="1030">
        <v>0</v>
      </c>
      <c r="AK27" s="1031">
        <v>590318.88</v>
      </c>
    </row>
    <row r="28" spans="1:37">
      <c r="A28" s="1111" t="s">
        <v>63</v>
      </c>
      <c r="B28" s="1040" t="s">
        <v>64</v>
      </c>
      <c r="C28" s="1023">
        <f t="shared" si="1"/>
        <v>674572.57</v>
      </c>
      <c r="D28" s="1024">
        <f t="shared" si="2"/>
        <v>3030839.46</v>
      </c>
      <c r="E28" s="1024">
        <f t="shared" si="3"/>
        <v>885687.87</v>
      </c>
      <c r="F28" s="1024">
        <f t="shared" si="4"/>
        <v>885687.94</v>
      </c>
      <c r="G28" s="1025">
        <f t="shared" si="4"/>
        <v>-7.0000000000000007E-2</v>
      </c>
      <c r="H28" s="1029">
        <v>458529.65</v>
      </c>
      <c r="I28" s="1030">
        <v>40201.17</v>
      </c>
      <c r="J28" s="1030">
        <v>418328.41</v>
      </c>
      <c r="K28" s="1030">
        <v>0</v>
      </c>
      <c r="L28" s="1030">
        <v>-0.04</v>
      </c>
      <c r="M28" s="1031">
        <v>917059.19</v>
      </c>
      <c r="N28" s="1029">
        <v>162872.63</v>
      </c>
      <c r="O28" s="1030">
        <v>12969.12</v>
      </c>
      <c r="P28" s="1030">
        <v>149903.53</v>
      </c>
      <c r="Q28" s="1030">
        <v>0</v>
      </c>
      <c r="R28" s="1030">
        <v>-0.03</v>
      </c>
      <c r="S28" s="1031">
        <v>325745.25</v>
      </c>
      <c r="T28" s="1029">
        <v>0</v>
      </c>
      <c r="U28" s="1030">
        <v>0</v>
      </c>
      <c r="V28" s="1030">
        <v>278261.89</v>
      </c>
      <c r="W28" s="1030">
        <v>0</v>
      </c>
      <c r="X28" s="1030">
        <v>0</v>
      </c>
      <c r="Y28" s="1031">
        <v>278261.89</v>
      </c>
      <c r="Z28" s="1032"/>
      <c r="AA28" s="1033"/>
      <c r="AB28" s="1033"/>
      <c r="AC28" s="1033"/>
      <c r="AD28" s="1033"/>
      <c r="AE28" s="1034"/>
      <c r="AF28" s="1029">
        <v>0</v>
      </c>
      <c r="AG28" s="1030">
        <v>0</v>
      </c>
      <c r="AH28" s="1030">
        <v>2184345.63</v>
      </c>
      <c r="AI28" s="1030">
        <v>885687.94</v>
      </c>
      <c r="AJ28" s="1030">
        <v>0</v>
      </c>
      <c r="AK28" s="1031">
        <v>3070033.57</v>
      </c>
    </row>
    <row r="29" spans="1:37">
      <c r="A29" s="1111" t="s">
        <v>65</v>
      </c>
      <c r="B29" s="1040" t="s">
        <v>66</v>
      </c>
      <c r="C29" s="1023">
        <f t="shared" si="1"/>
        <v>50844.4</v>
      </c>
      <c r="D29" s="1024">
        <f t="shared" si="2"/>
        <v>453759.36</v>
      </c>
      <c r="E29" s="1024">
        <f t="shared" si="3"/>
        <v>151712.31999999998</v>
      </c>
      <c r="F29" s="1024">
        <f t="shared" si="4"/>
        <v>151712.32999999999</v>
      </c>
      <c r="G29" s="1025">
        <f t="shared" si="4"/>
        <v>-0.01</v>
      </c>
      <c r="H29" s="1029">
        <v>19189.25</v>
      </c>
      <c r="I29" s="1030">
        <v>1105.9100000000001</v>
      </c>
      <c r="J29" s="1030">
        <v>18083.330000000002</v>
      </c>
      <c r="K29" s="1030">
        <v>0</v>
      </c>
      <c r="L29" s="1030">
        <v>-0.01</v>
      </c>
      <c r="M29" s="1031">
        <v>38378.480000000003</v>
      </c>
      <c r="N29" s="1029">
        <v>28182</v>
      </c>
      <c r="O29" s="1030">
        <v>2367.2399999999998</v>
      </c>
      <c r="P29" s="1030">
        <v>25814.76</v>
      </c>
      <c r="Q29" s="1030">
        <v>0</v>
      </c>
      <c r="R29" s="1030">
        <v>0</v>
      </c>
      <c r="S29" s="1031">
        <v>56364</v>
      </c>
      <c r="T29" s="1032"/>
      <c r="U29" s="1033"/>
      <c r="V29" s="1033"/>
      <c r="W29" s="1033"/>
      <c r="X29" s="1033"/>
      <c r="Y29" s="1034"/>
      <c r="Z29" s="1032"/>
      <c r="AA29" s="1033"/>
      <c r="AB29" s="1033"/>
      <c r="AC29" s="1033"/>
      <c r="AD29" s="1033"/>
      <c r="AE29" s="1034"/>
      <c r="AF29" s="1029">
        <v>0</v>
      </c>
      <c r="AG29" s="1030">
        <v>0</v>
      </c>
      <c r="AH29" s="1030">
        <v>409861.27</v>
      </c>
      <c r="AI29" s="1030">
        <v>151712.32999999999</v>
      </c>
      <c r="AJ29" s="1030">
        <v>0</v>
      </c>
      <c r="AK29" s="1031">
        <v>561573.6</v>
      </c>
    </row>
    <row r="30" spans="1:37">
      <c r="A30" s="1111" t="s">
        <v>69</v>
      </c>
      <c r="B30" s="1040" t="s">
        <v>70</v>
      </c>
      <c r="C30" s="1023">
        <f t="shared" si="1"/>
        <v>535787.2699999999</v>
      </c>
      <c r="D30" s="1024">
        <f t="shared" si="2"/>
        <v>1870123.48</v>
      </c>
      <c r="E30" s="1024">
        <f t="shared" si="3"/>
        <v>335196.70999999996</v>
      </c>
      <c r="F30" s="1024">
        <f t="shared" si="4"/>
        <v>335196.79999999999</v>
      </c>
      <c r="G30" s="1025">
        <f t="shared" si="4"/>
        <v>-9.0000000000000011E-2</v>
      </c>
      <c r="H30" s="1029">
        <v>279810.98</v>
      </c>
      <c r="I30" s="1030">
        <v>24354.99</v>
      </c>
      <c r="J30" s="1030">
        <v>255455.92</v>
      </c>
      <c r="K30" s="1030">
        <v>0</v>
      </c>
      <c r="L30" s="1030">
        <v>-7.0000000000000007E-2</v>
      </c>
      <c r="M30" s="1031">
        <v>559621.81999999995</v>
      </c>
      <c r="N30" s="1029">
        <v>215416.95999999999</v>
      </c>
      <c r="O30" s="1030">
        <v>16204.34</v>
      </c>
      <c r="P30" s="1030">
        <v>199212.61</v>
      </c>
      <c r="Q30" s="1030">
        <v>0</v>
      </c>
      <c r="R30" s="1030">
        <v>-0.02</v>
      </c>
      <c r="S30" s="1031">
        <v>430833.89</v>
      </c>
      <c r="T30" s="1029">
        <v>0</v>
      </c>
      <c r="U30" s="1030">
        <v>0</v>
      </c>
      <c r="V30" s="1030">
        <v>419899.13</v>
      </c>
      <c r="W30" s="1030">
        <v>0</v>
      </c>
      <c r="X30" s="1030">
        <v>0</v>
      </c>
      <c r="Y30" s="1031">
        <v>419899.13</v>
      </c>
      <c r="Z30" s="1032"/>
      <c r="AA30" s="1033"/>
      <c r="AB30" s="1033"/>
      <c r="AC30" s="1033"/>
      <c r="AD30" s="1033"/>
      <c r="AE30" s="1034"/>
      <c r="AF30" s="1029">
        <v>0</v>
      </c>
      <c r="AG30" s="1030">
        <v>0</v>
      </c>
      <c r="AH30" s="1030">
        <v>995555.82</v>
      </c>
      <c r="AI30" s="1030">
        <v>335196.79999999999</v>
      </c>
      <c r="AJ30" s="1030">
        <v>0</v>
      </c>
      <c r="AK30" s="1031">
        <v>1330752.6199999999</v>
      </c>
    </row>
    <row r="31" spans="1:37">
      <c r="A31" s="1111" t="s">
        <v>71</v>
      </c>
      <c r="B31" s="1040" t="s">
        <v>72</v>
      </c>
      <c r="C31" s="1023">
        <f t="shared" si="1"/>
        <v>55250.57</v>
      </c>
      <c r="D31" s="1024">
        <f t="shared" si="2"/>
        <v>736554.69</v>
      </c>
      <c r="E31" s="1024">
        <f t="shared" si="3"/>
        <v>311209.06</v>
      </c>
      <c r="F31" s="1024">
        <f t="shared" si="4"/>
        <v>310197.07</v>
      </c>
      <c r="G31" s="1025">
        <f t="shared" si="4"/>
        <v>1011.99</v>
      </c>
      <c r="H31" s="1029">
        <v>21727.08</v>
      </c>
      <c r="I31" s="1030">
        <v>2132.23</v>
      </c>
      <c r="J31" s="1030">
        <v>19594.849999999999</v>
      </c>
      <c r="K31" s="1030">
        <v>0</v>
      </c>
      <c r="L31" s="1030">
        <v>-0.01</v>
      </c>
      <c r="M31" s="1031">
        <v>43454.15</v>
      </c>
      <c r="N31" s="1029">
        <v>29264</v>
      </c>
      <c r="O31" s="1030">
        <v>2127.2600000000002</v>
      </c>
      <c r="P31" s="1030">
        <v>27136.74</v>
      </c>
      <c r="Q31" s="1030">
        <v>0</v>
      </c>
      <c r="R31" s="1030">
        <v>0</v>
      </c>
      <c r="S31" s="1031">
        <v>58528</v>
      </c>
      <c r="T31" s="1029">
        <v>0</v>
      </c>
      <c r="U31" s="1030">
        <v>0</v>
      </c>
      <c r="V31" s="1030">
        <v>14484</v>
      </c>
      <c r="W31" s="1030">
        <v>0</v>
      </c>
      <c r="X31" s="1030">
        <v>1012</v>
      </c>
      <c r="Y31" s="1031">
        <v>15496</v>
      </c>
      <c r="Z31" s="1032"/>
      <c r="AA31" s="1033"/>
      <c r="AB31" s="1033"/>
      <c r="AC31" s="1033"/>
      <c r="AD31" s="1033"/>
      <c r="AE31" s="1034"/>
      <c r="AF31" s="1029">
        <v>0</v>
      </c>
      <c r="AG31" s="1030">
        <v>0</v>
      </c>
      <c r="AH31" s="1030">
        <v>675339.1</v>
      </c>
      <c r="AI31" s="1030">
        <v>310197.07</v>
      </c>
      <c r="AJ31" s="1030">
        <v>0</v>
      </c>
      <c r="AK31" s="1031">
        <v>985536.16999999993</v>
      </c>
    </row>
    <row r="32" spans="1:37">
      <c r="A32" s="1111" t="s">
        <v>73</v>
      </c>
      <c r="B32" s="1040" t="s">
        <v>74</v>
      </c>
      <c r="C32" s="1023">
        <f t="shared" si="1"/>
        <v>126663.85000000002</v>
      </c>
      <c r="D32" s="1024">
        <f t="shared" si="2"/>
        <v>430027.53</v>
      </c>
      <c r="E32" s="1024">
        <f t="shared" si="3"/>
        <v>185102.93000000002</v>
      </c>
      <c r="F32" s="1024">
        <f t="shared" si="4"/>
        <v>182297.48</v>
      </c>
      <c r="G32" s="1025">
        <f t="shared" si="4"/>
        <v>2805.45</v>
      </c>
      <c r="H32" s="1029">
        <v>78207.740000000005</v>
      </c>
      <c r="I32" s="1030">
        <v>5607.66</v>
      </c>
      <c r="J32" s="1030">
        <v>72600.070000000007</v>
      </c>
      <c r="K32" s="1030">
        <v>0</v>
      </c>
      <c r="L32" s="1030">
        <v>2805.45</v>
      </c>
      <c r="M32" s="1031">
        <v>159220.92000000001</v>
      </c>
      <c r="N32" s="1029">
        <v>39622.370000000003</v>
      </c>
      <c r="O32" s="1030">
        <v>3226.08</v>
      </c>
      <c r="P32" s="1030">
        <v>36396.29</v>
      </c>
      <c r="Q32" s="1030">
        <v>0</v>
      </c>
      <c r="R32" s="1030">
        <v>0</v>
      </c>
      <c r="S32" s="1031">
        <v>79244.740000000005</v>
      </c>
      <c r="T32" s="1029">
        <v>0</v>
      </c>
      <c r="U32" s="1030">
        <v>0</v>
      </c>
      <c r="V32" s="1030">
        <v>34457</v>
      </c>
      <c r="W32" s="1030">
        <v>0</v>
      </c>
      <c r="X32" s="1030">
        <v>0</v>
      </c>
      <c r="Y32" s="1031">
        <v>34457</v>
      </c>
      <c r="Z32" s="1032"/>
      <c r="AA32" s="1033"/>
      <c r="AB32" s="1033"/>
      <c r="AC32" s="1033"/>
      <c r="AD32" s="1033"/>
      <c r="AE32" s="1034"/>
      <c r="AF32" s="1029">
        <v>0</v>
      </c>
      <c r="AG32" s="1030">
        <v>0</v>
      </c>
      <c r="AH32" s="1030">
        <v>286574.17</v>
      </c>
      <c r="AI32" s="1030">
        <v>182297.48</v>
      </c>
      <c r="AJ32" s="1030">
        <v>0</v>
      </c>
      <c r="AK32" s="1031">
        <v>468871.65</v>
      </c>
    </row>
    <row r="33" spans="1:37">
      <c r="A33" s="1111" t="s">
        <v>75</v>
      </c>
      <c r="B33" s="1040" t="s">
        <v>369</v>
      </c>
      <c r="C33" s="1023">
        <f t="shared" si="1"/>
        <v>3060602.4899999998</v>
      </c>
      <c r="D33" s="1024">
        <f t="shared" si="2"/>
        <v>29181356.850000001</v>
      </c>
      <c r="E33" s="1024">
        <f t="shared" si="3"/>
        <v>18319921.390000001</v>
      </c>
      <c r="F33" s="1024">
        <f t="shared" si="4"/>
        <v>18319912.789999999</v>
      </c>
      <c r="G33" s="1025">
        <f t="shared" si="4"/>
        <v>8.6</v>
      </c>
      <c r="H33" s="1029">
        <v>1165108.21</v>
      </c>
      <c r="I33" s="1030">
        <v>97553.46</v>
      </c>
      <c r="J33" s="1030">
        <v>1067554.53</v>
      </c>
      <c r="K33" s="1030">
        <v>0</v>
      </c>
      <c r="L33" s="1030">
        <v>-0.18</v>
      </c>
      <c r="M33" s="1031">
        <v>2330216.02</v>
      </c>
      <c r="N33" s="1029">
        <v>1660930.51</v>
      </c>
      <c r="O33" s="1030">
        <v>137010.31</v>
      </c>
      <c r="P33" s="1030">
        <v>1523920.13</v>
      </c>
      <c r="Q33" s="1030">
        <v>0</v>
      </c>
      <c r="R33" s="1030">
        <v>8.7799999999999994</v>
      </c>
      <c r="S33" s="1031">
        <v>3321869.73</v>
      </c>
      <c r="T33" s="1029">
        <v>0</v>
      </c>
      <c r="U33" s="1030">
        <v>0</v>
      </c>
      <c r="V33" s="1030">
        <v>5235730.1500000004</v>
      </c>
      <c r="W33" s="1030">
        <v>0</v>
      </c>
      <c r="X33" s="1030">
        <v>0</v>
      </c>
      <c r="Y33" s="1031">
        <v>5235730.1500000004</v>
      </c>
      <c r="Z33" s="1032"/>
      <c r="AA33" s="1033"/>
      <c r="AB33" s="1033"/>
      <c r="AC33" s="1033"/>
      <c r="AD33" s="1033"/>
      <c r="AE33" s="1034"/>
      <c r="AF33" s="1029">
        <v>0</v>
      </c>
      <c r="AG33" s="1030">
        <v>0</v>
      </c>
      <c r="AH33" s="1030">
        <v>21354152.039999999</v>
      </c>
      <c r="AI33" s="1030">
        <v>18319912.789999999</v>
      </c>
      <c r="AJ33" s="1030">
        <v>0</v>
      </c>
      <c r="AK33" s="1031">
        <v>39674064.829999998</v>
      </c>
    </row>
    <row r="34" spans="1:37">
      <c r="A34" s="1111" t="s">
        <v>77</v>
      </c>
      <c r="B34" s="1040" t="s">
        <v>78</v>
      </c>
      <c r="C34" s="1023">
        <f t="shared" si="1"/>
        <v>471676.51</v>
      </c>
      <c r="D34" s="1024">
        <f t="shared" si="2"/>
        <v>2300453.04</v>
      </c>
      <c r="E34" s="1024">
        <f t="shared" si="3"/>
        <v>1291363.21</v>
      </c>
      <c r="F34" s="1024">
        <f t="shared" si="4"/>
        <v>1277504.43</v>
      </c>
      <c r="G34" s="1025">
        <f t="shared" si="4"/>
        <v>13858.78</v>
      </c>
      <c r="H34" s="1029">
        <v>346803.45</v>
      </c>
      <c r="I34" s="1030">
        <v>28769.88</v>
      </c>
      <c r="J34" s="1030">
        <v>318033.45</v>
      </c>
      <c r="K34" s="1030">
        <v>0</v>
      </c>
      <c r="L34" s="1030">
        <v>13858.78</v>
      </c>
      <c r="M34" s="1031">
        <v>707465.56</v>
      </c>
      <c r="N34" s="1029">
        <v>89314.04</v>
      </c>
      <c r="O34" s="1030">
        <v>6789.14</v>
      </c>
      <c r="P34" s="1030">
        <v>82524.88</v>
      </c>
      <c r="Q34" s="1030">
        <v>0</v>
      </c>
      <c r="R34" s="1030">
        <v>0</v>
      </c>
      <c r="S34" s="1031">
        <v>178628.06</v>
      </c>
      <c r="T34" s="1029">
        <v>0</v>
      </c>
      <c r="U34" s="1030">
        <v>0</v>
      </c>
      <c r="V34" s="1030">
        <v>55869.04</v>
      </c>
      <c r="W34" s="1030">
        <v>0</v>
      </c>
      <c r="X34" s="1030">
        <v>0</v>
      </c>
      <c r="Y34" s="1031">
        <v>55869.04</v>
      </c>
      <c r="Z34" s="1032"/>
      <c r="AA34" s="1033"/>
      <c r="AB34" s="1033"/>
      <c r="AC34" s="1033"/>
      <c r="AD34" s="1033"/>
      <c r="AE34" s="1034"/>
      <c r="AF34" s="1029">
        <v>0</v>
      </c>
      <c r="AG34" s="1030">
        <v>0</v>
      </c>
      <c r="AH34" s="1030">
        <v>1844025.67</v>
      </c>
      <c r="AI34" s="1030">
        <v>1277504.43</v>
      </c>
      <c r="AJ34" s="1030">
        <v>0</v>
      </c>
      <c r="AK34" s="1031">
        <v>3121530.0999999996</v>
      </c>
    </row>
    <row r="35" spans="1:37">
      <c r="A35" s="1111" t="s">
        <v>79</v>
      </c>
      <c r="B35" s="1040" t="s">
        <v>80</v>
      </c>
      <c r="C35" s="1023">
        <f t="shared" si="1"/>
        <v>61987.41</v>
      </c>
      <c r="D35" s="1024">
        <f t="shared" si="2"/>
        <v>330620</v>
      </c>
      <c r="E35" s="1024">
        <f t="shared" si="3"/>
        <v>65917.649999999994</v>
      </c>
      <c r="F35" s="1024">
        <f t="shared" si="4"/>
        <v>65917.67</v>
      </c>
      <c r="G35" s="1025">
        <f t="shared" si="4"/>
        <v>-0.02</v>
      </c>
      <c r="H35" s="1029">
        <v>49185.25</v>
      </c>
      <c r="I35" s="1030">
        <v>4023.47</v>
      </c>
      <c r="J35" s="1030">
        <v>45161.760000000002</v>
      </c>
      <c r="K35" s="1030">
        <v>0</v>
      </c>
      <c r="L35" s="1030">
        <v>-0.02</v>
      </c>
      <c r="M35" s="1031">
        <v>98370.46</v>
      </c>
      <c r="N35" s="1029">
        <v>8081</v>
      </c>
      <c r="O35" s="1030">
        <v>697.69</v>
      </c>
      <c r="P35" s="1030">
        <v>7383.31</v>
      </c>
      <c r="Q35" s="1030">
        <v>0</v>
      </c>
      <c r="R35" s="1030">
        <v>0</v>
      </c>
      <c r="S35" s="1031">
        <v>16162</v>
      </c>
      <c r="T35" s="1032"/>
      <c r="U35" s="1033"/>
      <c r="V35" s="1033"/>
      <c r="W35" s="1033"/>
      <c r="X35" s="1033"/>
      <c r="Y35" s="1034"/>
      <c r="Z35" s="1032"/>
      <c r="AA35" s="1033"/>
      <c r="AB35" s="1033"/>
      <c r="AC35" s="1033"/>
      <c r="AD35" s="1033"/>
      <c r="AE35" s="1034"/>
      <c r="AF35" s="1029">
        <v>0</v>
      </c>
      <c r="AG35" s="1030">
        <v>0</v>
      </c>
      <c r="AH35" s="1030">
        <v>278074.93</v>
      </c>
      <c r="AI35" s="1030">
        <v>65917.67</v>
      </c>
      <c r="AJ35" s="1030">
        <v>0</v>
      </c>
      <c r="AK35" s="1031">
        <v>343992.6</v>
      </c>
    </row>
    <row r="36" spans="1:37">
      <c r="A36" s="1111" t="s">
        <v>81</v>
      </c>
      <c r="B36" s="1040" t="s">
        <v>82</v>
      </c>
      <c r="C36" s="1023">
        <f t="shared" si="1"/>
        <v>113006.36</v>
      </c>
      <c r="D36" s="1024">
        <f t="shared" si="2"/>
        <v>1483203.3599999999</v>
      </c>
      <c r="E36" s="1024">
        <f t="shared" si="3"/>
        <v>629286.92999999993</v>
      </c>
      <c r="F36" s="1024">
        <f t="shared" si="4"/>
        <v>629286.96</v>
      </c>
      <c r="G36" s="1025">
        <f t="shared" si="4"/>
        <v>-0.03</v>
      </c>
      <c r="H36" s="1029">
        <v>78492.06</v>
      </c>
      <c r="I36" s="1030">
        <v>5639.39</v>
      </c>
      <c r="J36" s="1030">
        <v>72852.63</v>
      </c>
      <c r="K36" s="1030">
        <v>0</v>
      </c>
      <c r="L36" s="1030">
        <v>-0.02</v>
      </c>
      <c r="M36" s="1031">
        <v>156984.06</v>
      </c>
      <c r="N36" s="1029">
        <v>26715.47</v>
      </c>
      <c r="O36" s="1030">
        <v>2159.44</v>
      </c>
      <c r="P36" s="1030">
        <v>24556.03</v>
      </c>
      <c r="Q36" s="1030">
        <v>0</v>
      </c>
      <c r="R36" s="1030">
        <v>-0.01</v>
      </c>
      <c r="S36" s="1031">
        <v>53430.93</v>
      </c>
      <c r="T36" s="1029">
        <v>0</v>
      </c>
      <c r="U36" s="1030">
        <v>0</v>
      </c>
      <c r="V36" s="1030">
        <v>123105.3</v>
      </c>
      <c r="W36" s="1030">
        <v>0</v>
      </c>
      <c r="X36" s="1030">
        <v>0</v>
      </c>
      <c r="Y36" s="1031">
        <v>123105.3</v>
      </c>
      <c r="Z36" s="1032"/>
      <c r="AA36" s="1033"/>
      <c r="AB36" s="1033"/>
      <c r="AC36" s="1033"/>
      <c r="AD36" s="1033"/>
      <c r="AE36" s="1034"/>
      <c r="AF36" s="1029">
        <v>0</v>
      </c>
      <c r="AG36" s="1030">
        <v>0</v>
      </c>
      <c r="AH36" s="1030">
        <v>1262689.3999999999</v>
      </c>
      <c r="AI36" s="1030">
        <v>629286.96</v>
      </c>
      <c r="AJ36" s="1030">
        <v>0</v>
      </c>
      <c r="AK36" s="1031">
        <v>1891976.3599999999</v>
      </c>
    </row>
    <row r="37" spans="1:37">
      <c r="A37" s="1111" t="s">
        <v>85</v>
      </c>
      <c r="B37" s="1040" t="s">
        <v>387</v>
      </c>
      <c r="C37" s="1023">
        <f t="shared" si="1"/>
        <v>674044.64</v>
      </c>
      <c r="D37" s="1024">
        <f t="shared" si="2"/>
        <v>3926430.44</v>
      </c>
      <c r="E37" s="1024">
        <f t="shared" si="3"/>
        <v>985932.49</v>
      </c>
      <c r="F37" s="1024">
        <f t="shared" si="4"/>
        <v>985932.65</v>
      </c>
      <c r="G37" s="1025">
        <f t="shared" si="4"/>
        <v>-0.16</v>
      </c>
      <c r="H37" s="1029">
        <v>477423.2</v>
      </c>
      <c r="I37" s="1030">
        <v>37711.4</v>
      </c>
      <c r="J37" s="1030">
        <v>439711.67</v>
      </c>
      <c r="K37" s="1030">
        <v>0</v>
      </c>
      <c r="L37" s="1030">
        <v>-0.15</v>
      </c>
      <c r="M37" s="1031">
        <v>954846.12</v>
      </c>
      <c r="N37" s="1029">
        <v>145454.84</v>
      </c>
      <c r="O37" s="1030">
        <v>13455.2</v>
      </c>
      <c r="P37" s="1030">
        <v>131999.64000000001</v>
      </c>
      <c r="Q37" s="1030">
        <v>0</v>
      </c>
      <c r="R37" s="1030">
        <v>-0.01</v>
      </c>
      <c r="S37" s="1031">
        <v>290909.67</v>
      </c>
      <c r="T37" s="1029">
        <v>0</v>
      </c>
      <c r="U37" s="1030">
        <v>0</v>
      </c>
      <c r="V37" s="1030">
        <v>504969.75</v>
      </c>
      <c r="W37" s="1030">
        <v>0</v>
      </c>
      <c r="X37" s="1030">
        <v>0</v>
      </c>
      <c r="Y37" s="1031">
        <v>504969.75</v>
      </c>
      <c r="Z37" s="1032"/>
      <c r="AA37" s="1033"/>
      <c r="AB37" s="1033"/>
      <c r="AC37" s="1033"/>
      <c r="AD37" s="1033"/>
      <c r="AE37" s="1034"/>
      <c r="AF37" s="1029">
        <v>0</v>
      </c>
      <c r="AG37" s="1030">
        <v>0</v>
      </c>
      <c r="AH37" s="1030">
        <v>2849749.38</v>
      </c>
      <c r="AI37" s="1030">
        <v>985932.65</v>
      </c>
      <c r="AJ37" s="1030">
        <v>0</v>
      </c>
      <c r="AK37" s="1031">
        <v>3835682.03</v>
      </c>
    </row>
    <row r="38" spans="1:37">
      <c r="A38" s="1111" t="s">
        <v>87</v>
      </c>
      <c r="B38" s="1040" t="s">
        <v>88</v>
      </c>
      <c r="C38" s="1023">
        <f t="shared" si="1"/>
        <v>209549.75999999998</v>
      </c>
      <c r="D38" s="1024">
        <f t="shared" si="2"/>
        <v>1627836.85</v>
      </c>
      <c r="E38" s="1024">
        <f t="shared" si="3"/>
        <v>918337.70000000007</v>
      </c>
      <c r="F38" s="1024">
        <f t="shared" si="4"/>
        <v>918337.78</v>
      </c>
      <c r="G38" s="1025">
        <f t="shared" si="4"/>
        <v>-0.08</v>
      </c>
      <c r="H38" s="1029">
        <v>58303</v>
      </c>
      <c r="I38" s="1030">
        <v>3450.99</v>
      </c>
      <c r="J38" s="1030">
        <v>54851.98</v>
      </c>
      <c r="K38" s="1030">
        <v>0</v>
      </c>
      <c r="L38" s="1030">
        <v>-0.05</v>
      </c>
      <c r="M38" s="1031">
        <v>116605.92</v>
      </c>
      <c r="N38" s="1029">
        <v>137121.51999999999</v>
      </c>
      <c r="O38" s="1030">
        <v>10674.25</v>
      </c>
      <c r="P38" s="1030">
        <v>126447.27</v>
      </c>
      <c r="Q38" s="1030">
        <v>0</v>
      </c>
      <c r="R38" s="1030">
        <v>-0.03</v>
      </c>
      <c r="S38" s="1031">
        <v>274243.01</v>
      </c>
      <c r="T38" s="1029">
        <v>0</v>
      </c>
      <c r="U38" s="1030">
        <v>0</v>
      </c>
      <c r="V38" s="1030">
        <v>127778.48</v>
      </c>
      <c r="W38" s="1030">
        <v>0</v>
      </c>
      <c r="X38" s="1030">
        <v>0</v>
      </c>
      <c r="Y38" s="1031">
        <v>127778.48</v>
      </c>
      <c r="Z38" s="1032"/>
      <c r="AA38" s="1033"/>
      <c r="AB38" s="1033"/>
      <c r="AC38" s="1033"/>
      <c r="AD38" s="1033"/>
      <c r="AE38" s="1034"/>
      <c r="AF38" s="1029">
        <v>0</v>
      </c>
      <c r="AG38" s="1030">
        <v>0</v>
      </c>
      <c r="AH38" s="1030">
        <v>1318759.1200000001</v>
      </c>
      <c r="AI38" s="1030">
        <v>918337.78</v>
      </c>
      <c r="AJ38" s="1030">
        <v>0</v>
      </c>
      <c r="AK38" s="1031">
        <v>2237096.9000000004</v>
      </c>
    </row>
    <row r="39" spans="1:37">
      <c r="A39" s="1111" t="s">
        <v>93</v>
      </c>
      <c r="B39" s="1040" t="s">
        <v>94</v>
      </c>
      <c r="C39" s="1023">
        <f t="shared" si="1"/>
        <v>254756.97999999998</v>
      </c>
      <c r="D39" s="1024">
        <f t="shared" si="2"/>
        <v>1127939.48</v>
      </c>
      <c r="E39" s="1024">
        <f t="shared" si="3"/>
        <v>326070.41000000003</v>
      </c>
      <c r="F39" s="1024">
        <f t="shared" si="4"/>
        <v>326070.45</v>
      </c>
      <c r="G39" s="1025">
        <f t="shared" si="4"/>
        <v>-0.04</v>
      </c>
      <c r="H39" s="1029">
        <v>190847.96</v>
      </c>
      <c r="I39" s="1030">
        <v>15746.59</v>
      </c>
      <c r="J39" s="1030">
        <v>175101.25</v>
      </c>
      <c r="K39" s="1030">
        <v>0</v>
      </c>
      <c r="L39" s="1030">
        <v>-0.03</v>
      </c>
      <c r="M39" s="1031">
        <v>381695.77</v>
      </c>
      <c r="N39" s="1029">
        <v>44580.62</v>
      </c>
      <c r="O39" s="1030">
        <v>3581.81</v>
      </c>
      <c r="P39" s="1030">
        <v>40998.81</v>
      </c>
      <c r="Q39" s="1030">
        <v>0</v>
      </c>
      <c r="R39" s="1030">
        <v>-0.01</v>
      </c>
      <c r="S39" s="1031">
        <v>89161.23</v>
      </c>
      <c r="T39" s="1029">
        <v>0</v>
      </c>
      <c r="U39" s="1030">
        <v>0</v>
      </c>
      <c r="V39" s="1030">
        <v>57286</v>
      </c>
      <c r="W39" s="1030">
        <v>0</v>
      </c>
      <c r="X39" s="1030">
        <v>0</v>
      </c>
      <c r="Y39" s="1031">
        <v>57286</v>
      </c>
      <c r="Z39" s="1032"/>
      <c r="AA39" s="1033"/>
      <c r="AB39" s="1033"/>
      <c r="AC39" s="1033"/>
      <c r="AD39" s="1033"/>
      <c r="AE39" s="1034"/>
      <c r="AF39" s="1029">
        <v>0</v>
      </c>
      <c r="AG39" s="1030">
        <v>0</v>
      </c>
      <c r="AH39" s="1030">
        <v>854553.42</v>
      </c>
      <c r="AI39" s="1030">
        <v>326070.45</v>
      </c>
      <c r="AJ39" s="1030">
        <v>0</v>
      </c>
      <c r="AK39" s="1031">
        <v>1180623.8700000001</v>
      </c>
    </row>
    <row r="40" spans="1:37">
      <c r="A40" s="1111" t="s">
        <v>95</v>
      </c>
      <c r="B40" s="1040" t="s">
        <v>96</v>
      </c>
      <c r="C40" s="1023">
        <f t="shared" si="1"/>
        <v>181981.58000000002</v>
      </c>
      <c r="D40" s="1024">
        <f t="shared" si="2"/>
        <v>910146.25</v>
      </c>
      <c r="E40" s="1024">
        <f t="shared" si="3"/>
        <v>394449.83</v>
      </c>
      <c r="F40" s="1024">
        <f t="shared" si="4"/>
        <v>394449.9</v>
      </c>
      <c r="G40" s="1025">
        <f t="shared" si="4"/>
        <v>-6.9999999999999993E-2</v>
      </c>
      <c r="H40" s="1029">
        <v>96019.54</v>
      </c>
      <c r="I40" s="1030">
        <v>8237.33</v>
      </c>
      <c r="J40" s="1030">
        <v>87782.17</v>
      </c>
      <c r="K40" s="1030">
        <v>0</v>
      </c>
      <c r="L40" s="1030">
        <v>-0.06</v>
      </c>
      <c r="M40" s="1031">
        <v>192038.98</v>
      </c>
      <c r="N40" s="1029">
        <v>72027.64</v>
      </c>
      <c r="O40" s="1030">
        <v>5697.07</v>
      </c>
      <c r="P40" s="1030">
        <v>66330.559999999998</v>
      </c>
      <c r="Q40" s="1030">
        <v>0</v>
      </c>
      <c r="R40" s="1030">
        <v>-0.01</v>
      </c>
      <c r="S40" s="1031">
        <v>144055.26</v>
      </c>
      <c r="T40" s="1029">
        <v>0</v>
      </c>
      <c r="U40" s="1030">
        <v>0</v>
      </c>
      <c r="V40" s="1030">
        <v>79999.12</v>
      </c>
      <c r="W40" s="1030">
        <v>0</v>
      </c>
      <c r="X40" s="1030">
        <v>0</v>
      </c>
      <c r="Y40" s="1031">
        <v>79999.12</v>
      </c>
      <c r="Z40" s="1032"/>
      <c r="AA40" s="1033"/>
      <c r="AB40" s="1033"/>
      <c r="AC40" s="1033"/>
      <c r="AD40" s="1033"/>
      <c r="AE40" s="1034"/>
      <c r="AF40" s="1029">
        <v>0</v>
      </c>
      <c r="AG40" s="1030">
        <v>0</v>
      </c>
      <c r="AH40" s="1030">
        <v>676034.4</v>
      </c>
      <c r="AI40" s="1030">
        <v>394449.9</v>
      </c>
      <c r="AJ40" s="1030">
        <v>0</v>
      </c>
      <c r="AK40" s="1031">
        <v>1070484.3</v>
      </c>
    </row>
    <row r="41" spans="1:37">
      <c r="A41" s="1111" t="s">
        <v>97</v>
      </c>
      <c r="B41" s="1040" t="s">
        <v>98</v>
      </c>
      <c r="C41" s="1023">
        <f t="shared" si="1"/>
        <v>51725.89</v>
      </c>
      <c r="D41" s="1024">
        <f t="shared" si="2"/>
        <v>659275.65</v>
      </c>
      <c r="E41" s="1024">
        <f t="shared" si="3"/>
        <v>455140.33999999997</v>
      </c>
      <c r="F41" s="1024">
        <f t="shared" si="4"/>
        <v>455140.35</v>
      </c>
      <c r="G41" s="1025">
        <f t="shared" si="4"/>
        <v>-0.01</v>
      </c>
      <c r="H41" s="1029">
        <v>27469.61</v>
      </c>
      <c r="I41" s="1030">
        <v>2301.71</v>
      </c>
      <c r="J41" s="1030">
        <v>25167.919999999998</v>
      </c>
      <c r="K41" s="1030">
        <v>0</v>
      </c>
      <c r="L41" s="1030">
        <v>-0.01</v>
      </c>
      <c r="M41" s="1031">
        <v>54939.23</v>
      </c>
      <c r="N41" s="1029">
        <v>20255.03</v>
      </c>
      <c r="O41" s="1030">
        <v>1699.54</v>
      </c>
      <c r="P41" s="1030">
        <v>18555.490000000002</v>
      </c>
      <c r="Q41" s="1030">
        <v>0</v>
      </c>
      <c r="R41" s="1030">
        <v>0</v>
      </c>
      <c r="S41" s="1031">
        <v>40510.06</v>
      </c>
      <c r="T41" s="1029">
        <v>0</v>
      </c>
      <c r="U41" s="1030">
        <v>0</v>
      </c>
      <c r="V41" s="1030">
        <v>21728.71</v>
      </c>
      <c r="W41" s="1030">
        <v>0</v>
      </c>
      <c r="X41" s="1030">
        <v>0</v>
      </c>
      <c r="Y41" s="1031">
        <v>21728.71</v>
      </c>
      <c r="Z41" s="1032"/>
      <c r="AA41" s="1033"/>
      <c r="AB41" s="1033"/>
      <c r="AC41" s="1033"/>
      <c r="AD41" s="1033"/>
      <c r="AE41" s="1034"/>
      <c r="AF41" s="1029">
        <v>0</v>
      </c>
      <c r="AG41" s="1030">
        <v>0</v>
      </c>
      <c r="AH41" s="1030">
        <v>593823.53</v>
      </c>
      <c r="AI41" s="1030">
        <v>455140.35</v>
      </c>
      <c r="AJ41" s="1030">
        <v>0</v>
      </c>
      <c r="AK41" s="1031">
        <v>1048963.8799999999</v>
      </c>
    </row>
    <row r="42" spans="1:37">
      <c r="A42" s="1111" t="s">
        <v>99</v>
      </c>
      <c r="B42" s="1040" t="s">
        <v>100</v>
      </c>
      <c r="C42" s="1023">
        <f t="shared" si="1"/>
        <v>103287.74999999999</v>
      </c>
      <c r="D42" s="1024">
        <f t="shared" si="2"/>
        <v>496447.36</v>
      </c>
      <c r="E42" s="1024">
        <f t="shared" si="3"/>
        <v>103651.86</v>
      </c>
      <c r="F42" s="1024">
        <f t="shared" si="4"/>
        <v>103651.89</v>
      </c>
      <c r="G42" s="1025">
        <f t="shared" si="4"/>
        <v>-0.03</v>
      </c>
      <c r="H42" s="1029">
        <v>41938.74</v>
      </c>
      <c r="I42" s="1030">
        <v>3933.27</v>
      </c>
      <c r="J42" s="1030">
        <v>38005.449999999997</v>
      </c>
      <c r="K42" s="1030">
        <v>0</v>
      </c>
      <c r="L42" s="1030">
        <v>-0.02</v>
      </c>
      <c r="M42" s="1031">
        <v>83877.440000000002</v>
      </c>
      <c r="N42" s="1029">
        <v>53563.88</v>
      </c>
      <c r="O42" s="1030">
        <v>3851.86</v>
      </c>
      <c r="P42" s="1030">
        <v>49712.01</v>
      </c>
      <c r="Q42" s="1030">
        <v>0</v>
      </c>
      <c r="R42" s="1030">
        <v>-0.01</v>
      </c>
      <c r="S42" s="1031">
        <v>107127.74</v>
      </c>
      <c r="T42" s="1029">
        <v>0</v>
      </c>
      <c r="U42" s="1030">
        <v>0</v>
      </c>
      <c r="V42" s="1030">
        <v>11426.81</v>
      </c>
      <c r="W42" s="1030">
        <v>0</v>
      </c>
      <c r="X42" s="1030">
        <v>0</v>
      </c>
      <c r="Y42" s="1031">
        <v>11426.81</v>
      </c>
      <c r="Z42" s="1032"/>
      <c r="AA42" s="1033"/>
      <c r="AB42" s="1033"/>
      <c r="AC42" s="1033"/>
      <c r="AD42" s="1033"/>
      <c r="AE42" s="1034"/>
      <c r="AF42" s="1029">
        <v>0</v>
      </c>
      <c r="AG42" s="1030">
        <v>0</v>
      </c>
      <c r="AH42" s="1030">
        <v>397303.09</v>
      </c>
      <c r="AI42" s="1030">
        <v>103651.89</v>
      </c>
      <c r="AJ42" s="1030">
        <v>0</v>
      </c>
      <c r="AK42" s="1031">
        <v>500954.98000000004</v>
      </c>
    </row>
    <row r="43" spans="1:37">
      <c r="A43" s="1111" t="s">
        <v>101</v>
      </c>
      <c r="B43" s="1040" t="s">
        <v>102</v>
      </c>
      <c r="C43" s="1023">
        <f t="shared" si="1"/>
        <v>27881.61</v>
      </c>
      <c r="D43" s="1024">
        <f t="shared" si="2"/>
        <v>999028.54</v>
      </c>
      <c r="E43" s="1024">
        <f t="shared" si="3"/>
        <v>491715.75</v>
      </c>
      <c r="F43" s="1024">
        <f t="shared" si="4"/>
        <v>491715.75</v>
      </c>
      <c r="G43" s="1025">
        <f t="shared" si="4"/>
        <v>0</v>
      </c>
      <c r="H43" s="1029">
        <v>8208.65</v>
      </c>
      <c r="I43" s="1030">
        <v>632.74</v>
      </c>
      <c r="J43" s="1030">
        <v>7575.9</v>
      </c>
      <c r="K43" s="1030">
        <v>0</v>
      </c>
      <c r="L43" s="1030">
        <v>0</v>
      </c>
      <c r="M43" s="1031">
        <v>16417.29</v>
      </c>
      <c r="N43" s="1029">
        <v>17583</v>
      </c>
      <c r="O43" s="1030">
        <v>1457.22</v>
      </c>
      <c r="P43" s="1030">
        <v>16125.78</v>
      </c>
      <c r="Q43" s="1030">
        <v>0</v>
      </c>
      <c r="R43" s="1030">
        <v>0</v>
      </c>
      <c r="S43" s="1031">
        <v>35166</v>
      </c>
      <c r="T43" s="1029">
        <v>0</v>
      </c>
      <c r="U43" s="1030">
        <v>0</v>
      </c>
      <c r="V43" s="1030">
        <v>14292</v>
      </c>
      <c r="W43" s="1030">
        <v>0</v>
      </c>
      <c r="X43" s="1030">
        <v>0</v>
      </c>
      <c r="Y43" s="1031">
        <v>14292</v>
      </c>
      <c r="Z43" s="1032"/>
      <c r="AA43" s="1033"/>
      <c r="AB43" s="1033"/>
      <c r="AC43" s="1033"/>
      <c r="AD43" s="1033"/>
      <c r="AE43" s="1034"/>
      <c r="AF43" s="1029">
        <v>0</v>
      </c>
      <c r="AG43" s="1030">
        <v>0</v>
      </c>
      <c r="AH43" s="1030">
        <v>961034.86</v>
      </c>
      <c r="AI43" s="1030">
        <v>491715.75</v>
      </c>
      <c r="AJ43" s="1030">
        <v>0</v>
      </c>
      <c r="AK43" s="1031">
        <v>1452750.6099999999</v>
      </c>
    </row>
    <row r="44" spans="1:37">
      <c r="A44" s="1111" t="s">
        <v>103</v>
      </c>
      <c r="B44" s="1040" t="s">
        <v>104</v>
      </c>
      <c r="C44" s="1023">
        <f t="shared" si="1"/>
        <v>78293.69</v>
      </c>
      <c r="D44" s="1024">
        <f t="shared" si="2"/>
        <v>579176.41999999993</v>
      </c>
      <c r="E44" s="1024">
        <f t="shared" si="3"/>
        <v>142856.71</v>
      </c>
      <c r="F44" s="1024">
        <f t="shared" si="4"/>
        <v>142856.78</v>
      </c>
      <c r="G44" s="1025">
        <f t="shared" si="4"/>
        <v>-7.0000000000000007E-2</v>
      </c>
      <c r="H44" s="1029">
        <v>69925.38</v>
      </c>
      <c r="I44" s="1030">
        <v>5760.11</v>
      </c>
      <c r="J44" s="1030">
        <v>64165.26</v>
      </c>
      <c r="K44" s="1030">
        <v>0</v>
      </c>
      <c r="L44" s="1030">
        <v>-7.0000000000000007E-2</v>
      </c>
      <c r="M44" s="1031">
        <v>139850.68</v>
      </c>
      <c r="N44" s="1029">
        <v>2362.5</v>
      </c>
      <c r="O44" s="1030">
        <v>245.7</v>
      </c>
      <c r="P44" s="1030">
        <v>2116.8000000000002</v>
      </c>
      <c r="Q44" s="1030">
        <v>0</v>
      </c>
      <c r="R44" s="1030">
        <v>0</v>
      </c>
      <c r="S44" s="1031">
        <v>4725</v>
      </c>
      <c r="T44" s="1032"/>
      <c r="U44" s="1033"/>
      <c r="V44" s="1033"/>
      <c r="W44" s="1033"/>
      <c r="X44" s="1033"/>
      <c r="Y44" s="1034"/>
      <c r="Z44" s="1032"/>
      <c r="AA44" s="1033"/>
      <c r="AB44" s="1033"/>
      <c r="AC44" s="1033"/>
      <c r="AD44" s="1033"/>
      <c r="AE44" s="1034"/>
      <c r="AF44" s="1029">
        <v>0</v>
      </c>
      <c r="AG44" s="1030">
        <v>0</v>
      </c>
      <c r="AH44" s="1030">
        <v>512894.36</v>
      </c>
      <c r="AI44" s="1030">
        <v>142856.78</v>
      </c>
      <c r="AJ44" s="1030">
        <v>0</v>
      </c>
      <c r="AK44" s="1031">
        <v>655751.14</v>
      </c>
    </row>
    <row r="45" spans="1:37">
      <c r="A45" s="1111" t="s">
        <v>105</v>
      </c>
      <c r="B45" s="1040" t="s">
        <v>388</v>
      </c>
      <c r="C45" s="1023">
        <f t="shared" si="1"/>
        <v>392296.24000000005</v>
      </c>
      <c r="D45" s="1024">
        <f t="shared" si="2"/>
        <v>2407255.1799999997</v>
      </c>
      <c r="E45" s="1024">
        <f t="shared" si="3"/>
        <v>680884.29</v>
      </c>
      <c r="F45" s="1024">
        <f t="shared" si="4"/>
        <v>680884.36</v>
      </c>
      <c r="G45" s="1025">
        <f t="shared" si="4"/>
        <v>-6.9999999999999993E-2</v>
      </c>
      <c r="H45" s="1029">
        <v>264905.82</v>
      </c>
      <c r="I45" s="1030">
        <v>21749.26</v>
      </c>
      <c r="J45" s="1030">
        <v>243156.46</v>
      </c>
      <c r="K45" s="1030">
        <v>0</v>
      </c>
      <c r="L45" s="1030">
        <v>-0.06</v>
      </c>
      <c r="M45" s="1031">
        <v>529811.48</v>
      </c>
      <c r="N45" s="1029">
        <v>97746.58</v>
      </c>
      <c r="O45" s="1030">
        <v>7894.58</v>
      </c>
      <c r="P45" s="1030">
        <v>89852</v>
      </c>
      <c r="Q45" s="1030">
        <v>0</v>
      </c>
      <c r="R45" s="1030">
        <v>-0.01</v>
      </c>
      <c r="S45" s="1031">
        <v>195493.15</v>
      </c>
      <c r="T45" s="1029">
        <v>0</v>
      </c>
      <c r="U45" s="1030">
        <v>0</v>
      </c>
      <c r="V45" s="1030">
        <v>29268.79</v>
      </c>
      <c r="W45" s="1030">
        <v>0</v>
      </c>
      <c r="X45" s="1030">
        <v>0</v>
      </c>
      <c r="Y45" s="1031">
        <v>29268.79</v>
      </c>
      <c r="Z45" s="1032"/>
      <c r="AA45" s="1033"/>
      <c r="AB45" s="1033"/>
      <c r="AC45" s="1033"/>
      <c r="AD45" s="1033"/>
      <c r="AE45" s="1034"/>
      <c r="AF45" s="1029">
        <v>0</v>
      </c>
      <c r="AG45" s="1030">
        <v>0</v>
      </c>
      <c r="AH45" s="1030">
        <v>2044977.93</v>
      </c>
      <c r="AI45" s="1030">
        <v>680884.36</v>
      </c>
      <c r="AJ45" s="1030">
        <v>0</v>
      </c>
      <c r="AK45" s="1031">
        <v>2725862.29</v>
      </c>
    </row>
    <row r="46" spans="1:37">
      <c r="A46" s="1111" t="s">
        <v>109</v>
      </c>
      <c r="B46" s="1040" t="s">
        <v>110</v>
      </c>
      <c r="C46" s="1023">
        <f t="shared" si="1"/>
        <v>409325.8</v>
      </c>
      <c r="D46" s="1024">
        <f t="shared" si="2"/>
        <v>3423862.12</v>
      </c>
      <c r="E46" s="1024">
        <f t="shared" si="3"/>
        <v>2178249.3199999998</v>
      </c>
      <c r="F46" s="1024">
        <f t="shared" si="4"/>
        <v>2178249.46</v>
      </c>
      <c r="G46" s="1025">
        <f t="shared" si="4"/>
        <v>-0.14000000000000001</v>
      </c>
      <c r="H46" s="1029">
        <v>229694.11</v>
      </c>
      <c r="I46" s="1030">
        <v>15226.29</v>
      </c>
      <c r="J46" s="1030">
        <v>214467.73</v>
      </c>
      <c r="K46" s="1030">
        <v>0</v>
      </c>
      <c r="L46" s="1030">
        <v>-0.13</v>
      </c>
      <c r="M46" s="1031">
        <v>459388</v>
      </c>
      <c r="N46" s="1029">
        <v>153087.72</v>
      </c>
      <c r="O46" s="1030">
        <v>11317.68</v>
      </c>
      <c r="P46" s="1030">
        <v>141770.03</v>
      </c>
      <c r="Q46" s="1030">
        <v>0</v>
      </c>
      <c r="R46" s="1030">
        <v>-0.01</v>
      </c>
      <c r="S46" s="1031">
        <v>306175.42</v>
      </c>
      <c r="T46" s="1029">
        <v>0</v>
      </c>
      <c r="U46" s="1030">
        <v>0</v>
      </c>
      <c r="V46" s="1030">
        <v>159149.82</v>
      </c>
      <c r="W46" s="1030">
        <v>0</v>
      </c>
      <c r="X46" s="1030">
        <v>0</v>
      </c>
      <c r="Y46" s="1031">
        <v>159149.82</v>
      </c>
      <c r="Z46" s="1032"/>
      <c r="AA46" s="1033"/>
      <c r="AB46" s="1033"/>
      <c r="AC46" s="1033"/>
      <c r="AD46" s="1033"/>
      <c r="AE46" s="1034"/>
      <c r="AF46" s="1029">
        <v>0</v>
      </c>
      <c r="AG46" s="1030">
        <v>0</v>
      </c>
      <c r="AH46" s="1030">
        <v>2908474.54</v>
      </c>
      <c r="AI46" s="1030">
        <v>2178249.46</v>
      </c>
      <c r="AJ46" s="1030">
        <v>0</v>
      </c>
      <c r="AK46" s="1031">
        <v>5086724</v>
      </c>
    </row>
    <row r="47" spans="1:37">
      <c r="A47" s="1111" t="s">
        <v>111</v>
      </c>
      <c r="B47" s="1040" t="s">
        <v>112</v>
      </c>
      <c r="C47" s="1023">
        <f t="shared" si="1"/>
        <v>568302.78999999992</v>
      </c>
      <c r="D47" s="1024">
        <f t="shared" si="2"/>
        <v>4807966.46</v>
      </c>
      <c r="E47" s="1024">
        <f t="shared" si="3"/>
        <v>2040563.7</v>
      </c>
      <c r="F47" s="1024">
        <f t="shared" si="4"/>
        <v>2040563.73</v>
      </c>
      <c r="G47" s="1025">
        <f t="shared" si="4"/>
        <v>-0.03</v>
      </c>
      <c r="H47" s="1029">
        <v>211292.48</v>
      </c>
      <c r="I47" s="1030">
        <v>16934.03</v>
      </c>
      <c r="J47" s="1030">
        <v>194358.34</v>
      </c>
      <c r="K47" s="1030">
        <v>0</v>
      </c>
      <c r="L47" s="1030">
        <v>-0.03</v>
      </c>
      <c r="M47" s="1031">
        <v>422584.82</v>
      </c>
      <c r="N47" s="1029">
        <v>314087.69</v>
      </c>
      <c r="O47" s="1030">
        <v>25988.59</v>
      </c>
      <c r="P47" s="1030">
        <v>288099.05</v>
      </c>
      <c r="Q47" s="1030">
        <v>0</v>
      </c>
      <c r="R47" s="1030">
        <v>0</v>
      </c>
      <c r="S47" s="1031">
        <v>628175.32999999996</v>
      </c>
      <c r="T47" s="1029">
        <v>0</v>
      </c>
      <c r="U47" s="1030">
        <v>0</v>
      </c>
      <c r="V47" s="1030">
        <v>911579.47</v>
      </c>
      <c r="W47" s="1030">
        <v>0</v>
      </c>
      <c r="X47" s="1030">
        <v>0</v>
      </c>
      <c r="Y47" s="1031">
        <v>911579.47</v>
      </c>
      <c r="Z47" s="1032"/>
      <c r="AA47" s="1033"/>
      <c r="AB47" s="1033"/>
      <c r="AC47" s="1033"/>
      <c r="AD47" s="1033"/>
      <c r="AE47" s="1034"/>
      <c r="AF47" s="1029">
        <v>0</v>
      </c>
      <c r="AG47" s="1030">
        <v>0</v>
      </c>
      <c r="AH47" s="1030">
        <v>3413929.6</v>
      </c>
      <c r="AI47" s="1030">
        <v>2040563.73</v>
      </c>
      <c r="AJ47" s="1030">
        <v>0</v>
      </c>
      <c r="AK47" s="1031">
        <v>5454493.3300000001</v>
      </c>
    </row>
    <row r="48" spans="1:37">
      <c r="A48" s="1111" t="s">
        <v>113</v>
      </c>
      <c r="B48" s="1040" t="s">
        <v>367</v>
      </c>
      <c r="C48" s="1023">
        <f t="shared" si="1"/>
        <v>384996.57</v>
      </c>
      <c r="D48" s="1024">
        <f t="shared" si="2"/>
        <v>829715.78999999992</v>
      </c>
      <c r="E48" s="1024">
        <f t="shared" si="3"/>
        <v>161324.07</v>
      </c>
      <c r="F48" s="1024">
        <f t="shared" si="4"/>
        <v>161219.69</v>
      </c>
      <c r="G48" s="1025">
        <f t="shared" si="4"/>
        <v>104.38</v>
      </c>
      <c r="H48" s="1029">
        <v>203864.71</v>
      </c>
      <c r="I48" s="1030">
        <v>15232.87</v>
      </c>
      <c r="J48" s="1030">
        <v>188631.74</v>
      </c>
      <c r="K48" s="1030">
        <v>0</v>
      </c>
      <c r="L48" s="1030">
        <v>104.39</v>
      </c>
      <c r="M48" s="1031">
        <v>407833.71</v>
      </c>
      <c r="N48" s="1029">
        <v>152765.04999999999</v>
      </c>
      <c r="O48" s="1030">
        <v>13133.94</v>
      </c>
      <c r="P48" s="1030">
        <v>139631.1</v>
      </c>
      <c r="Q48" s="1030">
        <v>0</v>
      </c>
      <c r="R48" s="1030">
        <v>-0.01</v>
      </c>
      <c r="S48" s="1031">
        <v>305530.08</v>
      </c>
      <c r="T48" s="1029">
        <v>0</v>
      </c>
      <c r="U48" s="1030">
        <v>0</v>
      </c>
      <c r="V48" s="1030">
        <v>80282.600000000006</v>
      </c>
      <c r="W48" s="1030">
        <v>0</v>
      </c>
      <c r="X48" s="1030">
        <v>0</v>
      </c>
      <c r="Y48" s="1031">
        <v>80282.600000000006</v>
      </c>
      <c r="Z48" s="1032"/>
      <c r="AA48" s="1033"/>
      <c r="AB48" s="1033"/>
      <c r="AC48" s="1033"/>
      <c r="AD48" s="1033"/>
      <c r="AE48" s="1034"/>
      <c r="AF48" s="1029">
        <v>0</v>
      </c>
      <c r="AG48" s="1030">
        <v>0</v>
      </c>
      <c r="AH48" s="1030">
        <v>421170.35</v>
      </c>
      <c r="AI48" s="1030">
        <v>161219.69</v>
      </c>
      <c r="AJ48" s="1030">
        <v>0</v>
      </c>
      <c r="AK48" s="1031">
        <v>582390.04</v>
      </c>
    </row>
    <row r="49" spans="1:37">
      <c r="A49" s="1111" t="s">
        <v>115</v>
      </c>
      <c r="B49" s="1040" t="s">
        <v>116</v>
      </c>
      <c r="C49" s="1023">
        <f t="shared" si="1"/>
        <v>17171.23</v>
      </c>
      <c r="D49" s="1024">
        <f t="shared" si="2"/>
        <v>14801.94</v>
      </c>
      <c r="E49" s="1024">
        <f t="shared" si="3"/>
        <v>0</v>
      </c>
      <c r="F49" s="1024">
        <f t="shared" si="4"/>
        <v>0</v>
      </c>
      <c r="G49" s="1025">
        <f t="shared" si="4"/>
        <v>0</v>
      </c>
      <c r="H49" s="1029">
        <v>15986.59</v>
      </c>
      <c r="I49" s="1030">
        <v>1184.6400000000001</v>
      </c>
      <c r="J49" s="1030">
        <v>14801.94</v>
      </c>
      <c r="K49" s="1030">
        <v>0</v>
      </c>
      <c r="L49" s="1030">
        <v>0</v>
      </c>
      <c r="M49" s="1031">
        <v>31973.17</v>
      </c>
      <c r="N49" s="1032"/>
      <c r="O49" s="1033"/>
      <c r="P49" s="1033"/>
      <c r="Q49" s="1033"/>
      <c r="R49" s="1033"/>
      <c r="S49" s="1034"/>
      <c r="T49" s="1032"/>
      <c r="U49" s="1033"/>
      <c r="V49" s="1033"/>
      <c r="W49" s="1033"/>
      <c r="X49" s="1033"/>
      <c r="Y49" s="1034"/>
      <c r="Z49" s="1032"/>
      <c r="AA49" s="1033"/>
      <c r="AB49" s="1033"/>
      <c r="AC49" s="1033"/>
      <c r="AD49" s="1033"/>
      <c r="AE49" s="1034"/>
      <c r="AF49" s="1029">
        <v>0</v>
      </c>
      <c r="AG49" s="1030">
        <v>0</v>
      </c>
      <c r="AH49" s="1030">
        <v>0</v>
      </c>
      <c r="AI49" s="1030">
        <v>0</v>
      </c>
      <c r="AJ49" s="1030">
        <v>0</v>
      </c>
      <c r="AK49" s="1031">
        <v>0</v>
      </c>
    </row>
    <row r="50" spans="1:37">
      <c r="A50" s="1111" t="s">
        <v>119</v>
      </c>
      <c r="B50" s="1040" t="s">
        <v>120</v>
      </c>
      <c r="C50" s="1023">
        <f t="shared" si="1"/>
        <v>133529.70000000001</v>
      </c>
      <c r="D50" s="1024">
        <f t="shared" si="2"/>
        <v>491231.05</v>
      </c>
      <c r="E50" s="1024">
        <f t="shared" si="3"/>
        <v>218070.77</v>
      </c>
      <c r="F50" s="1024">
        <f t="shared" si="4"/>
        <v>218070.77</v>
      </c>
      <c r="G50" s="1025">
        <f t="shared" si="4"/>
        <v>0</v>
      </c>
      <c r="H50" s="1029">
        <v>89363.91</v>
      </c>
      <c r="I50" s="1030">
        <v>7264.16</v>
      </c>
      <c r="J50" s="1030">
        <v>82099.759999999995</v>
      </c>
      <c r="K50" s="1030">
        <v>0</v>
      </c>
      <c r="L50" s="1030">
        <v>0.01</v>
      </c>
      <c r="M50" s="1031">
        <v>178727.84</v>
      </c>
      <c r="N50" s="1029">
        <v>34258.879999999997</v>
      </c>
      <c r="O50" s="1030">
        <v>2642.75</v>
      </c>
      <c r="P50" s="1030">
        <v>31616.13</v>
      </c>
      <c r="Q50" s="1030">
        <v>0</v>
      </c>
      <c r="R50" s="1030">
        <v>-0.01</v>
      </c>
      <c r="S50" s="1031">
        <v>68517.75</v>
      </c>
      <c r="T50" s="1029">
        <v>0</v>
      </c>
      <c r="U50" s="1030">
        <v>0</v>
      </c>
      <c r="V50" s="1030">
        <v>7384.68</v>
      </c>
      <c r="W50" s="1030">
        <v>0</v>
      </c>
      <c r="X50" s="1030">
        <v>0</v>
      </c>
      <c r="Y50" s="1031">
        <v>7384.68</v>
      </c>
      <c r="Z50" s="1032"/>
      <c r="AA50" s="1033"/>
      <c r="AB50" s="1033"/>
      <c r="AC50" s="1033"/>
      <c r="AD50" s="1033"/>
      <c r="AE50" s="1034"/>
      <c r="AF50" s="1029">
        <v>0</v>
      </c>
      <c r="AG50" s="1030">
        <v>0</v>
      </c>
      <c r="AH50" s="1030">
        <v>370130.48</v>
      </c>
      <c r="AI50" s="1030">
        <v>218070.77</v>
      </c>
      <c r="AJ50" s="1030">
        <v>0</v>
      </c>
      <c r="AK50" s="1031">
        <v>588201.25</v>
      </c>
    </row>
    <row r="51" spans="1:37">
      <c r="A51" s="1111" t="s">
        <v>121</v>
      </c>
      <c r="B51" s="1040" t="s">
        <v>122</v>
      </c>
      <c r="C51" s="1023">
        <f t="shared" si="1"/>
        <v>206390.52</v>
      </c>
      <c r="D51" s="1024">
        <f t="shared" si="2"/>
        <v>913683.81</v>
      </c>
      <c r="E51" s="1024">
        <f t="shared" si="3"/>
        <v>231270.34</v>
      </c>
      <c r="F51" s="1024">
        <f t="shared" si="4"/>
        <v>230630.35</v>
      </c>
      <c r="G51" s="1025">
        <f t="shared" si="4"/>
        <v>639.99</v>
      </c>
      <c r="H51" s="1029">
        <v>58203.1</v>
      </c>
      <c r="I51" s="1030">
        <v>4653.99</v>
      </c>
      <c r="J51" s="1030">
        <v>53549.11</v>
      </c>
      <c r="K51" s="1030">
        <v>0</v>
      </c>
      <c r="L51" s="1030">
        <v>639.99</v>
      </c>
      <c r="M51" s="1031">
        <v>117046.19</v>
      </c>
      <c r="N51" s="1029">
        <v>132889.85</v>
      </c>
      <c r="O51" s="1030">
        <v>10643.58</v>
      </c>
      <c r="P51" s="1030">
        <v>122246.27</v>
      </c>
      <c r="Q51" s="1030">
        <v>0</v>
      </c>
      <c r="R51" s="1030">
        <v>0</v>
      </c>
      <c r="S51" s="1031">
        <v>265779.7</v>
      </c>
      <c r="T51" s="1029">
        <v>0</v>
      </c>
      <c r="U51" s="1030">
        <v>0</v>
      </c>
      <c r="V51" s="1030">
        <v>435538.23</v>
      </c>
      <c r="W51" s="1030">
        <v>0</v>
      </c>
      <c r="X51" s="1030">
        <v>0</v>
      </c>
      <c r="Y51" s="1031">
        <v>435538.23</v>
      </c>
      <c r="Z51" s="1032"/>
      <c r="AA51" s="1033"/>
      <c r="AB51" s="1033"/>
      <c r="AC51" s="1033"/>
      <c r="AD51" s="1033"/>
      <c r="AE51" s="1034"/>
      <c r="AF51" s="1029">
        <v>0</v>
      </c>
      <c r="AG51" s="1030">
        <v>0</v>
      </c>
      <c r="AH51" s="1030">
        <v>302350.2</v>
      </c>
      <c r="AI51" s="1030">
        <v>230630.35</v>
      </c>
      <c r="AJ51" s="1030">
        <v>0</v>
      </c>
      <c r="AK51" s="1031">
        <v>532980.55000000005</v>
      </c>
    </row>
    <row r="52" spans="1:37">
      <c r="A52" s="1111" t="s">
        <v>123</v>
      </c>
      <c r="B52" s="1040" t="s">
        <v>284</v>
      </c>
      <c r="C52" s="1023">
        <f t="shared" si="1"/>
        <v>44207.47</v>
      </c>
      <c r="D52" s="1024">
        <f t="shared" si="2"/>
        <v>513151.46</v>
      </c>
      <c r="E52" s="1024">
        <f t="shared" si="3"/>
        <v>183307.49</v>
      </c>
      <c r="F52" s="1024">
        <f t="shared" si="4"/>
        <v>181857.69</v>
      </c>
      <c r="G52" s="1025">
        <f t="shared" si="4"/>
        <v>1449.8</v>
      </c>
      <c r="H52" s="1029">
        <v>39112.300000000003</v>
      </c>
      <c r="I52" s="1030">
        <v>1988.64</v>
      </c>
      <c r="J52" s="1030">
        <v>37123.660000000003</v>
      </c>
      <c r="K52" s="1030">
        <v>0</v>
      </c>
      <c r="L52" s="1030">
        <v>1449.8</v>
      </c>
      <c r="M52" s="1031">
        <v>79674.399999999994</v>
      </c>
      <c r="N52" s="1029">
        <v>3048</v>
      </c>
      <c r="O52" s="1030">
        <v>58.53</v>
      </c>
      <c r="P52" s="1030">
        <v>2989.47</v>
      </c>
      <c r="Q52" s="1030">
        <v>0</v>
      </c>
      <c r="R52" s="1030">
        <v>0</v>
      </c>
      <c r="S52" s="1031">
        <v>6096</v>
      </c>
      <c r="T52" s="1029">
        <v>0</v>
      </c>
      <c r="U52" s="1030">
        <v>0</v>
      </c>
      <c r="V52" s="1030">
        <v>70833</v>
      </c>
      <c r="W52" s="1030">
        <v>0</v>
      </c>
      <c r="X52" s="1030">
        <v>0</v>
      </c>
      <c r="Y52" s="1031">
        <v>70833</v>
      </c>
      <c r="Z52" s="1032"/>
      <c r="AA52" s="1033"/>
      <c r="AB52" s="1033"/>
      <c r="AC52" s="1033"/>
      <c r="AD52" s="1033"/>
      <c r="AE52" s="1034"/>
      <c r="AF52" s="1029">
        <v>0</v>
      </c>
      <c r="AG52" s="1030">
        <v>0</v>
      </c>
      <c r="AH52" s="1030">
        <v>402205.33</v>
      </c>
      <c r="AI52" s="1030">
        <v>181857.69</v>
      </c>
      <c r="AJ52" s="1030">
        <v>0</v>
      </c>
      <c r="AK52" s="1031">
        <v>584063.02</v>
      </c>
    </row>
    <row r="53" spans="1:37">
      <c r="A53" s="1111" t="s">
        <v>125</v>
      </c>
      <c r="B53" s="1040" t="s">
        <v>126</v>
      </c>
      <c r="C53" s="1023">
        <f t="shared" si="1"/>
        <v>140245.44</v>
      </c>
      <c r="D53" s="1024">
        <f t="shared" si="2"/>
        <v>1269555.1800000002</v>
      </c>
      <c r="E53" s="1024">
        <f t="shared" si="3"/>
        <v>687368.42999999993</v>
      </c>
      <c r="F53" s="1024">
        <f t="shared" si="4"/>
        <v>687368.45</v>
      </c>
      <c r="G53" s="1025">
        <f t="shared" si="4"/>
        <v>-0.02</v>
      </c>
      <c r="H53" s="1029">
        <v>83262</v>
      </c>
      <c r="I53" s="1030">
        <v>7713.15</v>
      </c>
      <c r="J53" s="1030">
        <v>75548.87</v>
      </c>
      <c r="K53" s="1030">
        <v>0</v>
      </c>
      <c r="L53" s="1030">
        <v>-0.01</v>
      </c>
      <c r="M53" s="1031">
        <v>166524.01</v>
      </c>
      <c r="N53" s="1029">
        <v>45643.94</v>
      </c>
      <c r="O53" s="1030">
        <v>3626.35</v>
      </c>
      <c r="P53" s="1030">
        <v>42017.59</v>
      </c>
      <c r="Q53" s="1030">
        <v>0</v>
      </c>
      <c r="R53" s="1030">
        <v>-0.01</v>
      </c>
      <c r="S53" s="1031">
        <v>91287.87</v>
      </c>
      <c r="T53" s="1029">
        <v>0</v>
      </c>
      <c r="U53" s="1030">
        <v>0</v>
      </c>
      <c r="V53" s="1030">
        <v>17700.599999999999</v>
      </c>
      <c r="W53" s="1030">
        <v>0</v>
      </c>
      <c r="X53" s="1030">
        <v>0</v>
      </c>
      <c r="Y53" s="1031">
        <v>17700.599999999999</v>
      </c>
      <c r="Z53" s="1032"/>
      <c r="AA53" s="1033"/>
      <c r="AB53" s="1033"/>
      <c r="AC53" s="1033"/>
      <c r="AD53" s="1033"/>
      <c r="AE53" s="1034"/>
      <c r="AF53" s="1029">
        <v>0</v>
      </c>
      <c r="AG53" s="1030">
        <v>0</v>
      </c>
      <c r="AH53" s="1030">
        <v>1134288.1200000001</v>
      </c>
      <c r="AI53" s="1030">
        <v>687368.45</v>
      </c>
      <c r="AJ53" s="1030">
        <v>0</v>
      </c>
      <c r="AK53" s="1031">
        <v>1821656.57</v>
      </c>
    </row>
    <row r="54" spans="1:37">
      <c r="A54" s="1111" t="s">
        <v>127</v>
      </c>
      <c r="B54" s="1040" t="s">
        <v>128</v>
      </c>
      <c r="C54" s="1023">
        <f t="shared" si="1"/>
        <v>63185.53</v>
      </c>
      <c r="D54" s="1024">
        <f t="shared" si="2"/>
        <v>434389.99</v>
      </c>
      <c r="E54" s="1024">
        <f t="shared" si="3"/>
        <v>177236.99</v>
      </c>
      <c r="F54" s="1024">
        <f t="shared" si="4"/>
        <v>177237</v>
      </c>
      <c r="G54" s="1025">
        <f t="shared" si="4"/>
        <v>-0.01</v>
      </c>
      <c r="H54" s="1029">
        <v>13220.46</v>
      </c>
      <c r="I54" s="1030">
        <v>1265.06</v>
      </c>
      <c r="J54" s="1030">
        <v>11955.4</v>
      </c>
      <c r="K54" s="1030">
        <v>0</v>
      </c>
      <c r="L54" s="1030">
        <v>0</v>
      </c>
      <c r="M54" s="1031">
        <v>26440.92</v>
      </c>
      <c r="N54" s="1029">
        <v>45123.67</v>
      </c>
      <c r="O54" s="1030">
        <v>3576.34</v>
      </c>
      <c r="P54" s="1030">
        <v>41547.33</v>
      </c>
      <c r="Q54" s="1030">
        <v>0</v>
      </c>
      <c r="R54" s="1030">
        <v>-0.01</v>
      </c>
      <c r="S54" s="1031">
        <v>90247.33</v>
      </c>
      <c r="T54" s="1029">
        <v>0</v>
      </c>
      <c r="U54" s="1030">
        <v>0</v>
      </c>
      <c r="V54" s="1030">
        <v>666</v>
      </c>
      <c r="W54" s="1030">
        <v>0</v>
      </c>
      <c r="X54" s="1030">
        <v>0</v>
      </c>
      <c r="Y54" s="1031">
        <v>666</v>
      </c>
      <c r="Z54" s="1032"/>
      <c r="AA54" s="1033"/>
      <c r="AB54" s="1033"/>
      <c r="AC54" s="1033"/>
      <c r="AD54" s="1033"/>
      <c r="AE54" s="1034"/>
      <c r="AF54" s="1029">
        <v>0</v>
      </c>
      <c r="AG54" s="1030">
        <v>0</v>
      </c>
      <c r="AH54" s="1030">
        <v>380221.26</v>
      </c>
      <c r="AI54" s="1030">
        <v>177237</v>
      </c>
      <c r="AJ54" s="1030">
        <v>0</v>
      </c>
      <c r="AK54" s="1031">
        <v>557458.26</v>
      </c>
    </row>
    <row r="55" spans="1:37">
      <c r="A55" s="1111" t="s">
        <v>129</v>
      </c>
      <c r="B55" s="1040" t="s">
        <v>130</v>
      </c>
      <c r="C55" s="1023">
        <f t="shared" si="1"/>
        <v>8760.66</v>
      </c>
      <c r="D55" s="1024">
        <f t="shared" si="2"/>
        <v>366006.31</v>
      </c>
      <c r="E55" s="1024">
        <f t="shared" si="3"/>
        <v>271501.15000000002</v>
      </c>
      <c r="F55" s="1024">
        <f t="shared" si="4"/>
        <v>262351.75</v>
      </c>
      <c r="G55" s="1025">
        <f t="shared" si="4"/>
        <v>9149.4</v>
      </c>
      <c r="H55" s="1029">
        <v>8058.79</v>
      </c>
      <c r="I55" s="1030">
        <v>701.87</v>
      </c>
      <c r="J55" s="1030">
        <v>7356.92</v>
      </c>
      <c r="K55" s="1030">
        <v>0</v>
      </c>
      <c r="L55" s="1030">
        <v>0</v>
      </c>
      <c r="M55" s="1031">
        <v>16117.58</v>
      </c>
      <c r="N55" s="1032"/>
      <c r="O55" s="1033"/>
      <c r="P55" s="1033"/>
      <c r="Q55" s="1033"/>
      <c r="R55" s="1033"/>
      <c r="S55" s="1034"/>
      <c r="T55" s="1029">
        <v>0</v>
      </c>
      <c r="U55" s="1030">
        <v>0</v>
      </c>
      <c r="V55" s="1030">
        <v>91112.6</v>
      </c>
      <c r="W55" s="1030">
        <v>0</v>
      </c>
      <c r="X55" s="1030">
        <v>9149.4</v>
      </c>
      <c r="Y55" s="1031">
        <v>100262</v>
      </c>
      <c r="Z55" s="1032"/>
      <c r="AA55" s="1033"/>
      <c r="AB55" s="1033"/>
      <c r="AC55" s="1033"/>
      <c r="AD55" s="1033"/>
      <c r="AE55" s="1034"/>
      <c r="AF55" s="1029">
        <v>0</v>
      </c>
      <c r="AG55" s="1030">
        <v>0</v>
      </c>
      <c r="AH55" s="1030">
        <v>267536.78999999998</v>
      </c>
      <c r="AI55" s="1030">
        <v>262351.75</v>
      </c>
      <c r="AJ55" s="1030">
        <v>0</v>
      </c>
      <c r="AK55" s="1031">
        <v>529888.54</v>
      </c>
    </row>
    <row r="56" spans="1:37">
      <c r="A56" s="1111" t="s">
        <v>131</v>
      </c>
      <c r="B56" s="1040" t="s">
        <v>132</v>
      </c>
      <c r="C56" s="1023">
        <f t="shared" si="1"/>
        <v>626340.23</v>
      </c>
      <c r="D56" s="1024">
        <f t="shared" si="2"/>
        <v>1656775.6099999999</v>
      </c>
      <c r="E56" s="1024">
        <f t="shared" si="3"/>
        <v>206522.37</v>
      </c>
      <c r="F56" s="1024">
        <f t="shared" si="4"/>
        <v>206522.52</v>
      </c>
      <c r="G56" s="1025">
        <f t="shared" si="4"/>
        <v>-0.15</v>
      </c>
      <c r="H56" s="1029">
        <v>278602.36</v>
      </c>
      <c r="I56" s="1030">
        <v>22582.02</v>
      </c>
      <c r="J56" s="1030">
        <v>256020.25</v>
      </c>
      <c r="K56" s="1030">
        <v>0</v>
      </c>
      <c r="L56" s="1030">
        <v>-0.11</v>
      </c>
      <c r="M56" s="1031">
        <v>557204.52</v>
      </c>
      <c r="N56" s="1029">
        <v>301159.02</v>
      </c>
      <c r="O56" s="1030">
        <v>23996.83</v>
      </c>
      <c r="P56" s="1030">
        <v>277162.18</v>
      </c>
      <c r="Q56" s="1030">
        <v>0</v>
      </c>
      <c r="R56" s="1030">
        <v>-0.04</v>
      </c>
      <c r="S56" s="1031">
        <v>602317.99</v>
      </c>
      <c r="T56" s="1029">
        <v>0</v>
      </c>
      <c r="U56" s="1030">
        <v>0</v>
      </c>
      <c r="V56" s="1030">
        <v>400190.89</v>
      </c>
      <c r="W56" s="1030">
        <v>0</v>
      </c>
      <c r="X56" s="1030">
        <v>0</v>
      </c>
      <c r="Y56" s="1031">
        <v>400190.89</v>
      </c>
      <c r="Z56" s="1032"/>
      <c r="AA56" s="1033"/>
      <c r="AB56" s="1033"/>
      <c r="AC56" s="1033"/>
      <c r="AD56" s="1033"/>
      <c r="AE56" s="1034"/>
      <c r="AF56" s="1029">
        <v>0</v>
      </c>
      <c r="AG56" s="1030">
        <v>0</v>
      </c>
      <c r="AH56" s="1030">
        <v>723402.29</v>
      </c>
      <c r="AI56" s="1030">
        <v>206522.52</v>
      </c>
      <c r="AJ56" s="1030">
        <v>0</v>
      </c>
      <c r="AK56" s="1031">
        <v>929924.81</v>
      </c>
    </row>
    <row r="57" spans="1:37">
      <c r="A57" s="1111" t="s">
        <v>133</v>
      </c>
      <c r="B57" s="1040" t="s">
        <v>134</v>
      </c>
      <c r="C57" s="1023">
        <f t="shared" si="1"/>
        <v>317754.8</v>
      </c>
      <c r="D57" s="1024">
        <f t="shared" si="2"/>
        <v>3789076.84</v>
      </c>
      <c r="E57" s="1024">
        <f t="shared" si="3"/>
        <v>2827962.85</v>
      </c>
      <c r="F57" s="1024">
        <f t="shared" si="4"/>
        <v>2827962.97</v>
      </c>
      <c r="G57" s="1025">
        <f t="shared" si="4"/>
        <v>-0.12</v>
      </c>
      <c r="H57" s="1029">
        <v>118519.21</v>
      </c>
      <c r="I57" s="1030">
        <v>10569.94</v>
      </c>
      <c r="J57" s="1030">
        <v>107949.22</v>
      </c>
      <c r="K57" s="1030">
        <v>0</v>
      </c>
      <c r="L57" s="1030">
        <v>-0.06</v>
      </c>
      <c r="M57" s="1031">
        <v>237038.31</v>
      </c>
      <c r="N57" s="1029">
        <v>176302.15</v>
      </c>
      <c r="O57" s="1030">
        <v>12363.5</v>
      </c>
      <c r="P57" s="1030">
        <v>163938.64000000001</v>
      </c>
      <c r="Q57" s="1030">
        <v>0</v>
      </c>
      <c r="R57" s="1030">
        <v>-0.06</v>
      </c>
      <c r="S57" s="1031">
        <v>352604.23</v>
      </c>
      <c r="T57" s="1029">
        <v>0</v>
      </c>
      <c r="U57" s="1030">
        <v>0</v>
      </c>
      <c r="V57" s="1030">
        <v>247585.4</v>
      </c>
      <c r="W57" s="1030">
        <v>0</v>
      </c>
      <c r="X57" s="1030">
        <v>0</v>
      </c>
      <c r="Y57" s="1031">
        <v>247585.4</v>
      </c>
      <c r="Z57" s="1032"/>
      <c r="AA57" s="1033"/>
      <c r="AB57" s="1033"/>
      <c r="AC57" s="1033"/>
      <c r="AD57" s="1033"/>
      <c r="AE57" s="1034"/>
      <c r="AF57" s="1029">
        <v>0</v>
      </c>
      <c r="AG57" s="1030">
        <v>0</v>
      </c>
      <c r="AH57" s="1030">
        <v>3269603.58</v>
      </c>
      <c r="AI57" s="1030">
        <v>2827962.97</v>
      </c>
      <c r="AJ57" s="1030">
        <v>0</v>
      </c>
      <c r="AK57" s="1031">
        <v>6097566.5500000007</v>
      </c>
    </row>
    <row r="58" spans="1:37">
      <c r="A58" s="1111" t="s">
        <v>135</v>
      </c>
      <c r="B58" s="1040" t="s">
        <v>136</v>
      </c>
      <c r="C58" s="1023">
        <f t="shared" si="1"/>
        <v>286389.13</v>
      </c>
      <c r="D58" s="1024">
        <f t="shared" si="2"/>
        <v>1647756.89</v>
      </c>
      <c r="E58" s="1024">
        <f t="shared" si="3"/>
        <v>858225.24</v>
      </c>
      <c r="F58" s="1024">
        <f t="shared" si="4"/>
        <v>858225.33</v>
      </c>
      <c r="G58" s="1025">
        <f t="shared" si="4"/>
        <v>-0.09</v>
      </c>
      <c r="H58" s="1029">
        <v>183443.57</v>
      </c>
      <c r="I58" s="1030">
        <v>13220.86</v>
      </c>
      <c r="J58" s="1030">
        <v>170222.66</v>
      </c>
      <c r="K58" s="1030">
        <v>0</v>
      </c>
      <c r="L58" s="1030">
        <v>-0.06</v>
      </c>
      <c r="M58" s="1031">
        <v>366887.03</v>
      </c>
      <c r="N58" s="1029">
        <v>83337.05</v>
      </c>
      <c r="O58" s="1030">
        <v>6387.65</v>
      </c>
      <c r="P58" s="1030">
        <v>76949.399999999994</v>
      </c>
      <c r="Q58" s="1030">
        <v>0</v>
      </c>
      <c r="R58" s="1030">
        <v>-0.03</v>
      </c>
      <c r="S58" s="1031">
        <v>166674.07</v>
      </c>
      <c r="T58" s="1029">
        <v>0</v>
      </c>
      <c r="U58" s="1030">
        <v>0</v>
      </c>
      <c r="V58" s="1030">
        <v>270528.64000000001</v>
      </c>
      <c r="W58" s="1030">
        <v>0</v>
      </c>
      <c r="X58" s="1030">
        <v>0</v>
      </c>
      <c r="Y58" s="1031">
        <v>270528.64000000001</v>
      </c>
      <c r="Z58" s="1032"/>
      <c r="AA58" s="1033"/>
      <c r="AB58" s="1033"/>
      <c r="AC58" s="1033"/>
      <c r="AD58" s="1033"/>
      <c r="AE58" s="1034"/>
      <c r="AF58" s="1029">
        <v>0</v>
      </c>
      <c r="AG58" s="1030">
        <v>0</v>
      </c>
      <c r="AH58" s="1030">
        <v>1130056.19</v>
      </c>
      <c r="AI58" s="1030">
        <v>858225.33</v>
      </c>
      <c r="AJ58" s="1030">
        <v>0</v>
      </c>
      <c r="AK58" s="1031">
        <v>1988281.52</v>
      </c>
    </row>
    <row r="59" spans="1:37">
      <c r="A59" s="1111" t="s">
        <v>137</v>
      </c>
      <c r="B59" s="1040" t="s">
        <v>138</v>
      </c>
      <c r="C59" s="1023">
        <f t="shared" si="1"/>
        <v>90145.35</v>
      </c>
      <c r="D59" s="1024">
        <f t="shared" si="2"/>
        <v>1167864.72</v>
      </c>
      <c r="E59" s="1024">
        <f t="shared" si="3"/>
        <v>182831.11000000002</v>
      </c>
      <c r="F59" s="1024">
        <f t="shared" si="4"/>
        <v>182831.16</v>
      </c>
      <c r="G59" s="1025">
        <f t="shared" si="4"/>
        <v>-0.05</v>
      </c>
      <c r="H59" s="1029">
        <v>71103.199999999997</v>
      </c>
      <c r="I59" s="1030">
        <v>5308.46</v>
      </c>
      <c r="J59" s="1030">
        <v>65794.7</v>
      </c>
      <c r="K59" s="1030">
        <v>0</v>
      </c>
      <c r="L59" s="1030">
        <v>-0.05</v>
      </c>
      <c r="M59" s="1031">
        <v>142206.31</v>
      </c>
      <c r="N59" s="1029">
        <v>12651</v>
      </c>
      <c r="O59" s="1030">
        <v>1082.69</v>
      </c>
      <c r="P59" s="1030">
        <v>11568.31</v>
      </c>
      <c r="Q59" s="1030">
        <v>0</v>
      </c>
      <c r="R59" s="1030">
        <v>0</v>
      </c>
      <c r="S59" s="1031">
        <v>25302</v>
      </c>
      <c r="T59" s="1032"/>
      <c r="U59" s="1033"/>
      <c r="V59" s="1033"/>
      <c r="W59" s="1033"/>
      <c r="X59" s="1033"/>
      <c r="Y59" s="1034"/>
      <c r="Z59" s="1032"/>
      <c r="AA59" s="1033"/>
      <c r="AB59" s="1033"/>
      <c r="AC59" s="1033"/>
      <c r="AD59" s="1033"/>
      <c r="AE59" s="1034"/>
      <c r="AF59" s="1029">
        <v>0</v>
      </c>
      <c r="AG59" s="1030">
        <v>0</v>
      </c>
      <c r="AH59" s="1030">
        <v>1090501.71</v>
      </c>
      <c r="AI59" s="1030">
        <v>182831.16</v>
      </c>
      <c r="AJ59" s="1030">
        <v>0</v>
      </c>
      <c r="AK59" s="1031">
        <v>1273332.8699999999</v>
      </c>
    </row>
    <row r="60" spans="1:37">
      <c r="A60" s="1111" t="s">
        <v>141</v>
      </c>
      <c r="B60" s="1040" t="s">
        <v>142</v>
      </c>
      <c r="C60" s="1023">
        <f t="shared" si="1"/>
        <v>61004.229999999996</v>
      </c>
      <c r="D60" s="1024">
        <f t="shared" si="2"/>
        <v>927071.80999999994</v>
      </c>
      <c r="E60" s="1024">
        <f t="shared" si="3"/>
        <v>316931.62</v>
      </c>
      <c r="F60" s="1024">
        <f t="shared" si="4"/>
        <v>316931.65000000002</v>
      </c>
      <c r="G60" s="1025">
        <f t="shared" si="4"/>
        <v>-0.03</v>
      </c>
      <c r="H60" s="1029">
        <v>46479.13</v>
      </c>
      <c r="I60" s="1030">
        <v>3896.17</v>
      </c>
      <c r="J60" s="1030">
        <v>42582.94</v>
      </c>
      <c r="K60" s="1030">
        <v>0</v>
      </c>
      <c r="L60" s="1030">
        <v>-0.03</v>
      </c>
      <c r="M60" s="1031">
        <v>92958.21</v>
      </c>
      <c r="N60" s="1029">
        <v>9965.68</v>
      </c>
      <c r="O60" s="1030">
        <v>663.25</v>
      </c>
      <c r="P60" s="1030">
        <v>9302.43</v>
      </c>
      <c r="Q60" s="1030">
        <v>0</v>
      </c>
      <c r="R60" s="1030">
        <v>0</v>
      </c>
      <c r="S60" s="1031">
        <v>19931.36</v>
      </c>
      <c r="T60" s="1029">
        <v>0</v>
      </c>
      <c r="U60" s="1030">
        <v>0</v>
      </c>
      <c r="V60" s="1030">
        <v>17822</v>
      </c>
      <c r="W60" s="1030">
        <v>0</v>
      </c>
      <c r="X60" s="1030">
        <v>0</v>
      </c>
      <c r="Y60" s="1031">
        <v>17822</v>
      </c>
      <c r="Z60" s="1032"/>
      <c r="AA60" s="1033"/>
      <c r="AB60" s="1033"/>
      <c r="AC60" s="1033"/>
      <c r="AD60" s="1033"/>
      <c r="AE60" s="1034"/>
      <c r="AF60" s="1029">
        <v>0</v>
      </c>
      <c r="AG60" s="1030">
        <v>0</v>
      </c>
      <c r="AH60" s="1030">
        <v>857364.44</v>
      </c>
      <c r="AI60" s="1030">
        <v>316931.65000000002</v>
      </c>
      <c r="AJ60" s="1030">
        <v>0</v>
      </c>
      <c r="AK60" s="1031">
        <v>1174296.0899999999</v>
      </c>
    </row>
    <row r="61" spans="1:37">
      <c r="A61" s="1111" t="s">
        <v>147</v>
      </c>
      <c r="B61" s="1040" t="s">
        <v>148</v>
      </c>
      <c r="C61" s="1023">
        <f t="shared" si="1"/>
        <v>91130.87999999999</v>
      </c>
      <c r="D61" s="1024">
        <f t="shared" si="2"/>
        <v>437535.11</v>
      </c>
      <c r="E61" s="1024">
        <f t="shared" si="3"/>
        <v>198795.41</v>
      </c>
      <c r="F61" s="1024">
        <f t="shared" si="4"/>
        <v>198795.42</v>
      </c>
      <c r="G61" s="1025">
        <f t="shared" si="4"/>
        <v>-0.01</v>
      </c>
      <c r="H61" s="1029">
        <v>60756.63</v>
      </c>
      <c r="I61" s="1030">
        <v>5335.98</v>
      </c>
      <c r="J61" s="1030">
        <v>55420.63</v>
      </c>
      <c r="K61" s="1030">
        <v>0</v>
      </c>
      <c r="L61" s="1030">
        <v>-0.01</v>
      </c>
      <c r="M61" s="1031">
        <v>121513.23</v>
      </c>
      <c r="N61" s="1029">
        <v>23212.07</v>
      </c>
      <c r="O61" s="1030">
        <v>1826.2</v>
      </c>
      <c r="P61" s="1030">
        <v>21385.86</v>
      </c>
      <c r="Q61" s="1030">
        <v>0</v>
      </c>
      <c r="R61" s="1030">
        <v>0</v>
      </c>
      <c r="S61" s="1031">
        <v>46424.13</v>
      </c>
      <c r="T61" s="1029">
        <v>0</v>
      </c>
      <c r="U61" s="1030">
        <v>0</v>
      </c>
      <c r="V61" s="1030">
        <v>79769.42</v>
      </c>
      <c r="W61" s="1030">
        <v>0</v>
      </c>
      <c r="X61" s="1030">
        <v>0</v>
      </c>
      <c r="Y61" s="1031">
        <v>79769.42</v>
      </c>
      <c r="Z61" s="1032"/>
      <c r="AA61" s="1033"/>
      <c r="AB61" s="1033"/>
      <c r="AC61" s="1033"/>
      <c r="AD61" s="1033"/>
      <c r="AE61" s="1034"/>
      <c r="AF61" s="1029">
        <v>0</v>
      </c>
      <c r="AG61" s="1030">
        <v>0</v>
      </c>
      <c r="AH61" s="1030">
        <v>280959.2</v>
      </c>
      <c r="AI61" s="1030">
        <v>198795.42</v>
      </c>
      <c r="AJ61" s="1030">
        <v>0</v>
      </c>
      <c r="AK61" s="1031">
        <v>479754.62</v>
      </c>
    </row>
    <row r="62" spans="1:37">
      <c r="A62" s="1111" t="s">
        <v>149</v>
      </c>
      <c r="B62" s="1040" t="s">
        <v>150</v>
      </c>
      <c r="C62" s="1023">
        <f t="shared" si="1"/>
        <v>179589.88</v>
      </c>
      <c r="D62" s="1024">
        <f t="shared" si="2"/>
        <v>1384018.1</v>
      </c>
      <c r="E62" s="1024">
        <f t="shared" si="3"/>
        <v>318362.74000000005</v>
      </c>
      <c r="F62" s="1024">
        <f t="shared" si="4"/>
        <v>318362.78000000003</v>
      </c>
      <c r="G62" s="1025">
        <f t="shared" si="4"/>
        <v>-0.04</v>
      </c>
      <c r="H62" s="1029">
        <v>89080.88</v>
      </c>
      <c r="I62" s="1030">
        <v>6892.5</v>
      </c>
      <c r="J62" s="1030">
        <v>82188.350000000006</v>
      </c>
      <c r="K62" s="1030">
        <v>0</v>
      </c>
      <c r="L62" s="1030">
        <v>-0.04</v>
      </c>
      <c r="M62" s="1031">
        <v>178161.69</v>
      </c>
      <c r="N62" s="1029">
        <v>77173.5</v>
      </c>
      <c r="O62" s="1030">
        <v>6443</v>
      </c>
      <c r="P62" s="1030">
        <v>70730.5</v>
      </c>
      <c r="Q62" s="1030">
        <v>0</v>
      </c>
      <c r="R62" s="1030">
        <v>0</v>
      </c>
      <c r="S62" s="1031">
        <v>154347</v>
      </c>
      <c r="T62" s="1029">
        <v>0</v>
      </c>
      <c r="U62" s="1030">
        <v>0</v>
      </c>
      <c r="V62" s="1030">
        <v>16596</v>
      </c>
      <c r="W62" s="1030">
        <v>0</v>
      </c>
      <c r="X62" s="1030">
        <v>0</v>
      </c>
      <c r="Y62" s="1031">
        <v>16596</v>
      </c>
      <c r="Z62" s="1032"/>
      <c r="AA62" s="1033"/>
      <c r="AB62" s="1033"/>
      <c r="AC62" s="1033"/>
      <c r="AD62" s="1033"/>
      <c r="AE62" s="1034"/>
      <c r="AF62" s="1029">
        <v>0</v>
      </c>
      <c r="AG62" s="1030">
        <v>0</v>
      </c>
      <c r="AH62" s="1030">
        <v>1214503.25</v>
      </c>
      <c r="AI62" s="1030">
        <v>318362.78000000003</v>
      </c>
      <c r="AJ62" s="1030">
        <v>0</v>
      </c>
      <c r="AK62" s="1031">
        <v>1532866.03</v>
      </c>
    </row>
    <row r="63" spans="1:37">
      <c r="A63" s="1111" t="s">
        <v>151</v>
      </c>
      <c r="B63" s="1040" t="s">
        <v>152</v>
      </c>
      <c r="C63" s="1023">
        <f t="shared" si="1"/>
        <v>93756.450000000012</v>
      </c>
      <c r="D63" s="1024">
        <f t="shared" si="2"/>
        <v>487954.56</v>
      </c>
      <c r="E63" s="1024">
        <f t="shared" si="3"/>
        <v>235890.57</v>
      </c>
      <c r="F63" s="1024">
        <f t="shared" si="4"/>
        <v>235890.64</v>
      </c>
      <c r="G63" s="1025">
        <f t="shared" si="4"/>
        <v>-7.0000000000000007E-2</v>
      </c>
      <c r="H63" s="1029">
        <v>43113.19</v>
      </c>
      <c r="I63" s="1030">
        <v>4738.82</v>
      </c>
      <c r="J63" s="1030">
        <v>38374.379999999997</v>
      </c>
      <c r="K63" s="1030">
        <v>0</v>
      </c>
      <c r="L63" s="1030">
        <v>-7.0000000000000007E-2</v>
      </c>
      <c r="M63" s="1031">
        <v>86226.32</v>
      </c>
      <c r="N63" s="1029">
        <v>42741</v>
      </c>
      <c r="O63" s="1030">
        <v>3163.44</v>
      </c>
      <c r="P63" s="1030">
        <v>39577.56</v>
      </c>
      <c r="Q63" s="1030">
        <v>0</v>
      </c>
      <c r="R63" s="1030">
        <v>0</v>
      </c>
      <c r="S63" s="1031">
        <v>85482</v>
      </c>
      <c r="T63" s="1029">
        <v>0</v>
      </c>
      <c r="U63" s="1030">
        <v>0</v>
      </c>
      <c r="V63" s="1030">
        <v>83300.5</v>
      </c>
      <c r="W63" s="1030">
        <v>0</v>
      </c>
      <c r="X63" s="1030">
        <v>0</v>
      </c>
      <c r="Y63" s="1031">
        <v>83300.5</v>
      </c>
      <c r="Z63" s="1032"/>
      <c r="AA63" s="1033"/>
      <c r="AB63" s="1033"/>
      <c r="AC63" s="1033"/>
      <c r="AD63" s="1033"/>
      <c r="AE63" s="1034"/>
      <c r="AF63" s="1029">
        <v>0</v>
      </c>
      <c r="AG63" s="1030">
        <v>0</v>
      </c>
      <c r="AH63" s="1030">
        <v>326702.12</v>
      </c>
      <c r="AI63" s="1030">
        <v>235890.64</v>
      </c>
      <c r="AJ63" s="1030">
        <v>0</v>
      </c>
      <c r="AK63" s="1031">
        <v>562592.76</v>
      </c>
    </row>
    <row r="64" spans="1:37">
      <c r="A64" s="1111" t="s">
        <v>153</v>
      </c>
      <c r="B64" s="1040" t="s">
        <v>154</v>
      </c>
      <c r="C64" s="1023">
        <f t="shared" si="1"/>
        <v>462522.95999999996</v>
      </c>
      <c r="D64" s="1024">
        <f t="shared" si="2"/>
        <v>2030252.8</v>
      </c>
      <c r="E64" s="1024">
        <f t="shared" si="3"/>
        <v>568607.36</v>
      </c>
      <c r="F64" s="1024">
        <f t="shared" si="4"/>
        <v>568607.47</v>
      </c>
      <c r="G64" s="1025">
        <f t="shared" si="4"/>
        <v>-0.11</v>
      </c>
      <c r="H64" s="1029">
        <v>289099.93</v>
      </c>
      <c r="I64" s="1030">
        <v>19940.810000000001</v>
      </c>
      <c r="J64" s="1030">
        <v>269159.01</v>
      </c>
      <c r="K64" s="1030">
        <v>0</v>
      </c>
      <c r="L64" s="1030">
        <v>-0.09</v>
      </c>
      <c r="M64" s="1031">
        <v>578199.66</v>
      </c>
      <c r="N64" s="1029">
        <v>141842.48000000001</v>
      </c>
      <c r="O64" s="1030">
        <v>11639.74</v>
      </c>
      <c r="P64" s="1030">
        <v>130202.73</v>
      </c>
      <c r="Q64" s="1030">
        <v>0</v>
      </c>
      <c r="R64" s="1030">
        <v>-0.02</v>
      </c>
      <c r="S64" s="1031">
        <v>283684.93</v>
      </c>
      <c r="T64" s="1029">
        <v>0</v>
      </c>
      <c r="U64" s="1030">
        <v>0</v>
      </c>
      <c r="V64" s="1030">
        <v>188798.82</v>
      </c>
      <c r="W64" s="1030">
        <v>0</v>
      </c>
      <c r="X64" s="1030">
        <v>0</v>
      </c>
      <c r="Y64" s="1031">
        <v>188798.82</v>
      </c>
      <c r="Z64" s="1032"/>
      <c r="AA64" s="1033"/>
      <c r="AB64" s="1033"/>
      <c r="AC64" s="1033"/>
      <c r="AD64" s="1033"/>
      <c r="AE64" s="1034"/>
      <c r="AF64" s="1029">
        <v>0</v>
      </c>
      <c r="AG64" s="1030">
        <v>0</v>
      </c>
      <c r="AH64" s="1030">
        <v>1442092.24</v>
      </c>
      <c r="AI64" s="1030">
        <v>568607.47</v>
      </c>
      <c r="AJ64" s="1030">
        <v>0</v>
      </c>
      <c r="AK64" s="1031">
        <v>2010699.71</v>
      </c>
    </row>
    <row r="65" spans="1:37">
      <c r="A65" s="1111" t="s">
        <v>155</v>
      </c>
      <c r="B65" s="1040" t="s">
        <v>156</v>
      </c>
      <c r="C65" s="1023">
        <f t="shared" si="1"/>
        <v>29685.379999999997</v>
      </c>
      <c r="D65" s="1024">
        <f t="shared" si="2"/>
        <v>469388.31</v>
      </c>
      <c r="E65" s="1024">
        <f t="shared" si="3"/>
        <v>186217.81</v>
      </c>
      <c r="F65" s="1024">
        <f t="shared" si="4"/>
        <v>185927.97</v>
      </c>
      <c r="G65" s="1025">
        <f t="shared" si="4"/>
        <v>289.83999999999997</v>
      </c>
      <c r="H65" s="1029">
        <v>27746.85</v>
      </c>
      <c r="I65" s="1030">
        <v>1938.53</v>
      </c>
      <c r="J65" s="1030">
        <v>25808.32</v>
      </c>
      <c r="K65" s="1030">
        <v>0</v>
      </c>
      <c r="L65" s="1030">
        <v>289.83999999999997</v>
      </c>
      <c r="M65" s="1031">
        <v>55783.54</v>
      </c>
      <c r="N65" s="1032"/>
      <c r="O65" s="1033"/>
      <c r="P65" s="1033"/>
      <c r="Q65" s="1033"/>
      <c r="R65" s="1033"/>
      <c r="S65" s="1034"/>
      <c r="T65" s="1032"/>
      <c r="U65" s="1033"/>
      <c r="V65" s="1033"/>
      <c r="W65" s="1033"/>
      <c r="X65" s="1033"/>
      <c r="Y65" s="1034"/>
      <c r="Z65" s="1032"/>
      <c r="AA65" s="1033"/>
      <c r="AB65" s="1033"/>
      <c r="AC65" s="1033"/>
      <c r="AD65" s="1033"/>
      <c r="AE65" s="1034"/>
      <c r="AF65" s="1029">
        <v>0</v>
      </c>
      <c r="AG65" s="1030">
        <v>0</v>
      </c>
      <c r="AH65" s="1030">
        <v>443579.99</v>
      </c>
      <c r="AI65" s="1030">
        <v>185927.97</v>
      </c>
      <c r="AJ65" s="1030">
        <v>0</v>
      </c>
      <c r="AK65" s="1031">
        <v>629507.96</v>
      </c>
    </row>
    <row r="66" spans="1:37">
      <c r="A66" s="1111" t="s">
        <v>157</v>
      </c>
      <c r="B66" s="1040" t="s">
        <v>158</v>
      </c>
      <c r="C66" s="1023">
        <f t="shared" si="1"/>
        <v>28608.54</v>
      </c>
      <c r="D66" s="1024">
        <f t="shared" si="2"/>
        <v>575715.19999999995</v>
      </c>
      <c r="E66" s="1024">
        <f t="shared" si="3"/>
        <v>380332.94</v>
      </c>
      <c r="F66" s="1024">
        <f t="shared" si="4"/>
        <v>380332.94</v>
      </c>
      <c r="G66" s="1025">
        <f t="shared" si="4"/>
        <v>0</v>
      </c>
      <c r="H66" s="1029">
        <v>3106</v>
      </c>
      <c r="I66" s="1030">
        <v>355.93</v>
      </c>
      <c r="J66" s="1030">
        <v>2750.07</v>
      </c>
      <c r="K66" s="1030">
        <v>0</v>
      </c>
      <c r="L66" s="1030">
        <v>0</v>
      </c>
      <c r="M66" s="1031">
        <v>6212</v>
      </c>
      <c r="N66" s="1029">
        <v>23585.7</v>
      </c>
      <c r="O66" s="1030">
        <v>1560.91</v>
      </c>
      <c r="P66" s="1030">
        <v>22024.79</v>
      </c>
      <c r="Q66" s="1030">
        <v>0</v>
      </c>
      <c r="R66" s="1030">
        <v>0</v>
      </c>
      <c r="S66" s="1031">
        <v>47171.4</v>
      </c>
      <c r="T66" s="1029">
        <v>0</v>
      </c>
      <c r="U66" s="1030">
        <v>0</v>
      </c>
      <c r="V66" s="1030">
        <v>19613</v>
      </c>
      <c r="W66" s="1030">
        <v>0</v>
      </c>
      <c r="X66" s="1030">
        <v>0</v>
      </c>
      <c r="Y66" s="1031">
        <v>19613</v>
      </c>
      <c r="Z66" s="1032"/>
      <c r="AA66" s="1033"/>
      <c r="AB66" s="1033"/>
      <c r="AC66" s="1033"/>
      <c r="AD66" s="1033"/>
      <c r="AE66" s="1034"/>
      <c r="AF66" s="1029">
        <v>0</v>
      </c>
      <c r="AG66" s="1030">
        <v>0</v>
      </c>
      <c r="AH66" s="1030">
        <v>531327.34</v>
      </c>
      <c r="AI66" s="1030">
        <v>380332.94</v>
      </c>
      <c r="AJ66" s="1030">
        <v>0</v>
      </c>
      <c r="AK66" s="1031">
        <v>911660.28</v>
      </c>
    </row>
    <row r="67" spans="1:37">
      <c r="A67" s="1111" t="s">
        <v>163</v>
      </c>
      <c r="B67" s="1040" t="s">
        <v>164</v>
      </c>
      <c r="C67" s="1023">
        <f t="shared" si="1"/>
        <v>164294.22999999998</v>
      </c>
      <c r="D67" s="1024">
        <f t="shared" si="2"/>
        <v>611415.12</v>
      </c>
      <c r="E67" s="1024">
        <f t="shared" si="3"/>
        <v>113665.86</v>
      </c>
      <c r="F67" s="1024">
        <f t="shared" si="4"/>
        <v>113665.91</v>
      </c>
      <c r="G67" s="1025">
        <f t="shared" si="4"/>
        <v>-0.05</v>
      </c>
      <c r="H67" s="1029">
        <v>142189.82999999999</v>
      </c>
      <c r="I67" s="1030">
        <v>13441.12</v>
      </c>
      <c r="J67" s="1030">
        <v>128748.71</v>
      </c>
      <c r="K67" s="1030">
        <v>0</v>
      </c>
      <c r="L67" s="1030">
        <v>-0.05</v>
      </c>
      <c r="M67" s="1031">
        <v>284379.61</v>
      </c>
      <c r="N67" s="1029">
        <v>7992</v>
      </c>
      <c r="O67" s="1030">
        <v>671.28</v>
      </c>
      <c r="P67" s="1030">
        <v>7320.72</v>
      </c>
      <c r="Q67" s="1030">
        <v>0</v>
      </c>
      <c r="R67" s="1030">
        <v>0</v>
      </c>
      <c r="S67" s="1031">
        <v>15984</v>
      </c>
      <c r="T67" s="1029">
        <v>0</v>
      </c>
      <c r="U67" s="1030">
        <v>0</v>
      </c>
      <c r="V67" s="1030">
        <v>15696</v>
      </c>
      <c r="W67" s="1030">
        <v>0</v>
      </c>
      <c r="X67" s="1030">
        <v>0</v>
      </c>
      <c r="Y67" s="1031">
        <v>15696</v>
      </c>
      <c r="Z67" s="1032"/>
      <c r="AA67" s="1033"/>
      <c r="AB67" s="1033"/>
      <c r="AC67" s="1033"/>
      <c r="AD67" s="1033"/>
      <c r="AE67" s="1034"/>
      <c r="AF67" s="1029">
        <v>0</v>
      </c>
      <c r="AG67" s="1030">
        <v>0</v>
      </c>
      <c r="AH67" s="1030">
        <v>459649.69</v>
      </c>
      <c r="AI67" s="1030">
        <v>113665.91</v>
      </c>
      <c r="AJ67" s="1030">
        <v>0</v>
      </c>
      <c r="AK67" s="1031">
        <v>573315.6</v>
      </c>
    </row>
    <row r="68" spans="1:37">
      <c r="A68" s="1111" t="s">
        <v>165</v>
      </c>
      <c r="B68" s="1040" t="s">
        <v>166</v>
      </c>
      <c r="C68" s="1023">
        <f t="shared" si="1"/>
        <v>47293.71</v>
      </c>
      <c r="D68" s="1024">
        <f t="shared" si="2"/>
        <v>238188.51</v>
      </c>
      <c r="E68" s="1024">
        <f t="shared" si="3"/>
        <v>75529.540000000008</v>
      </c>
      <c r="F68" s="1024">
        <f t="shared" si="4"/>
        <v>75529.55</v>
      </c>
      <c r="G68" s="1025">
        <f t="shared" si="4"/>
        <v>-0.01</v>
      </c>
      <c r="H68" s="1029">
        <v>32638.82</v>
      </c>
      <c r="I68" s="1030">
        <v>2794.03</v>
      </c>
      <c r="J68" s="1030">
        <v>29844.77</v>
      </c>
      <c r="K68" s="1030">
        <v>0</v>
      </c>
      <c r="L68" s="1030">
        <v>0</v>
      </c>
      <c r="M68" s="1031">
        <v>65277.62</v>
      </c>
      <c r="N68" s="1029">
        <v>10957.64</v>
      </c>
      <c r="O68" s="1030">
        <v>903.22</v>
      </c>
      <c r="P68" s="1030">
        <v>10054.42</v>
      </c>
      <c r="Q68" s="1030">
        <v>0</v>
      </c>
      <c r="R68" s="1030">
        <v>-0.01</v>
      </c>
      <c r="S68" s="1031">
        <v>21915.27</v>
      </c>
      <c r="T68" s="1029">
        <v>0</v>
      </c>
      <c r="U68" s="1030">
        <v>0</v>
      </c>
      <c r="V68" s="1030">
        <v>34170</v>
      </c>
      <c r="W68" s="1030">
        <v>0</v>
      </c>
      <c r="X68" s="1030">
        <v>0</v>
      </c>
      <c r="Y68" s="1031">
        <v>34170</v>
      </c>
      <c r="Z68" s="1032"/>
      <c r="AA68" s="1033"/>
      <c r="AB68" s="1033"/>
      <c r="AC68" s="1033"/>
      <c r="AD68" s="1033"/>
      <c r="AE68" s="1034"/>
      <c r="AF68" s="1029">
        <v>0</v>
      </c>
      <c r="AG68" s="1030">
        <v>0</v>
      </c>
      <c r="AH68" s="1030">
        <v>164119.32</v>
      </c>
      <c r="AI68" s="1030">
        <v>75529.55</v>
      </c>
      <c r="AJ68" s="1030">
        <v>0</v>
      </c>
      <c r="AK68" s="1031">
        <v>239648.87</v>
      </c>
    </row>
    <row r="69" spans="1:37">
      <c r="A69" s="1111" t="s">
        <v>169</v>
      </c>
      <c r="B69" s="1040" t="s">
        <v>170</v>
      </c>
      <c r="C69" s="1023">
        <f t="shared" si="1"/>
        <v>54163.74</v>
      </c>
      <c r="D69" s="1024">
        <f t="shared" si="2"/>
        <v>456066.2</v>
      </c>
      <c r="E69" s="1024">
        <f t="shared" si="3"/>
        <v>192383.37</v>
      </c>
      <c r="F69" s="1024">
        <f t="shared" si="4"/>
        <v>191797.37</v>
      </c>
      <c r="G69" s="1025">
        <f t="shared" si="4"/>
        <v>586</v>
      </c>
      <c r="H69" s="1029">
        <v>13120.01</v>
      </c>
      <c r="I69" s="1030">
        <v>917.91</v>
      </c>
      <c r="J69" s="1030">
        <v>12202.08</v>
      </c>
      <c r="K69" s="1030">
        <v>0</v>
      </c>
      <c r="L69" s="1030">
        <v>0</v>
      </c>
      <c r="M69" s="1031">
        <v>26240</v>
      </c>
      <c r="N69" s="1029">
        <v>36778.25</v>
      </c>
      <c r="O69" s="1030">
        <v>3347.57</v>
      </c>
      <c r="P69" s="1030">
        <v>33430.68</v>
      </c>
      <c r="Q69" s="1030">
        <v>0</v>
      </c>
      <c r="R69" s="1030">
        <v>0</v>
      </c>
      <c r="S69" s="1031">
        <v>73556.5</v>
      </c>
      <c r="T69" s="1029">
        <v>0</v>
      </c>
      <c r="U69" s="1030">
        <v>0</v>
      </c>
      <c r="V69" s="1030">
        <v>3980</v>
      </c>
      <c r="W69" s="1030">
        <v>0</v>
      </c>
      <c r="X69" s="1030">
        <v>586</v>
      </c>
      <c r="Y69" s="1031">
        <v>4566</v>
      </c>
      <c r="Z69" s="1032"/>
      <c r="AA69" s="1033"/>
      <c r="AB69" s="1033"/>
      <c r="AC69" s="1033"/>
      <c r="AD69" s="1033"/>
      <c r="AE69" s="1034"/>
      <c r="AF69" s="1029">
        <v>0</v>
      </c>
      <c r="AG69" s="1030">
        <v>0</v>
      </c>
      <c r="AH69" s="1030">
        <v>406453.44</v>
      </c>
      <c r="AI69" s="1030">
        <v>191797.37</v>
      </c>
      <c r="AJ69" s="1030">
        <v>0</v>
      </c>
      <c r="AK69" s="1031">
        <v>598250.81000000006</v>
      </c>
    </row>
    <row r="70" spans="1:37">
      <c r="A70" s="1111" t="s">
        <v>171</v>
      </c>
      <c r="B70" s="1040" t="s">
        <v>172</v>
      </c>
      <c r="C70" s="1023">
        <f t="shared" ref="C70:C124" si="5">+H70+I70+N70+O70+T70+U70+Z70+AA70+AF70+AG70</f>
        <v>292052.3</v>
      </c>
      <c r="D70" s="1024">
        <f t="shared" ref="D70:D124" si="6">+J70+P70+V70+AB70+AH70</f>
        <v>1909753.3900000001</v>
      </c>
      <c r="E70" s="1024">
        <f t="shared" ref="E70:E124" si="7">+F70+G70</f>
        <v>733570.78</v>
      </c>
      <c r="F70" s="1024">
        <f t="shared" ref="F70:G124" si="8">+K70+Q70+W70+AC70+AI70</f>
        <v>733570.78</v>
      </c>
      <c r="G70" s="1025">
        <f t="shared" si="8"/>
        <v>0</v>
      </c>
      <c r="H70" s="1029">
        <v>237204.96</v>
      </c>
      <c r="I70" s="1030">
        <v>16884.22</v>
      </c>
      <c r="J70" s="1030">
        <v>220320.72</v>
      </c>
      <c r="K70" s="1030">
        <v>0</v>
      </c>
      <c r="L70" s="1030">
        <v>0</v>
      </c>
      <c r="M70" s="1031">
        <v>474409.9</v>
      </c>
      <c r="N70" s="1029">
        <v>35152</v>
      </c>
      <c r="O70" s="1030">
        <v>2811.12</v>
      </c>
      <c r="P70" s="1030">
        <v>32340.880000000001</v>
      </c>
      <c r="Q70" s="1030">
        <v>0</v>
      </c>
      <c r="R70" s="1030">
        <v>0</v>
      </c>
      <c r="S70" s="1031">
        <v>70304</v>
      </c>
      <c r="T70" s="1029">
        <v>0</v>
      </c>
      <c r="U70" s="1030">
        <v>0</v>
      </c>
      <c r="V70" s="1030">
        <v>164316.5</v>
      </c>
      <c r="W70" s="1030">
        <v>0</v>
      </c>
      <c r="X70" s="1030">
        <v>0</v>
      </c>
      <c r="Y70" s="1031">
        <v>164316.5</v>
      </c>
      <c r="Z70" s="1032"/>
      <c r="AA70" s="1033"/>
      <c r="AB70" s="1033"/>
      <c r="AC70" s="1033"/>
      <c r="AD70" s="1033"/>
      <c r="AE70" s="1034"/>
      <c r="AF70" s="1029">
        <v>0</v>
      </c>
      <c r="AG70" s="1030">
        <v>0</v>
      </c>
      <c r="AH70" s="1030">
        <v>1492775.29</v>
      </c>
      <c r="AI70" s="1030">
        <v>733570.78</v>
      </c>
      <c r="AJ70" s="1030">
        <v>0</v>
      </c>
      <c r="AK70" s="1031">
        <v>2226346.0700000003</v>
      </c>
    </row>
    <row r="71" spans="1:37">
      <c r="A71" s="1111" t="s">
        <v>173</v>
      </c>
      <c r="B71" s="1040" t="s">
        <v>174</v>
      </c>
      <c r="C71" s="1023">
        <f t="shared" si="5"/>
        <v>97719.42</v>
      </c>
      <c r="D71" s="1024">
        <f t="shared" si="6"/>
        <v>860248.41999999993</v>
      </c>
      <c r="E71" s="1024">
        <f t="shared" si="7"/>
        <v>269349.8</v>
      </c>
      <c r="F71" s="1024">
        <f t="shared" si="8"/>
        <v>269349.86</v>
      </c>
      <c r="G71" s="1025">
        <f t="shared" si="8"/>
        <v>-0.06</v>
      </c>
      <c r="H71" s="1029">
        <v>30451.41</v>
      </c>
      <c r="I71" s="1030">
        <v>3069.55</v>
      </c>
      <c r="J71" s="1030">
        <v>27381.85</v>
      </c>
      <c r="K71" s="1030">
        <v>0</v>
      </c>
      <c r="L71" s="1030">
        <v>-0.04</v>
      </c>
      <c r="M71" s="1031">
        <v>60902.77</v>
      </c>
      <c r="N71" s="1029">
        <v>58995.18</v>
      </c>
      <c r="O71" s="1030">
        <v>5203.28</v>
      </c>
      <c r="P71" s="1030">
        <v>53791.9</v>
      </c>
      <c r="Q71" s="1030">
        <v>0</v>
      </c>
      <c r="R71" s="1030">
        <v>-0.02</v>
      </c>
      <c r="S71" s="1031">
        <v>117990.34</v>
      </c>
      <c r="T71" s="1029">
        <v>0</v>
      </c>
      <c r="U71" s="1030">
        <v>0</v>
      </c>
      <c r="V71" s="1030">
        <v>84834.3</v>
      </c>
      <c r="W71" s="1030">
        <v>0</v>
      </c>
      <c r="X71" s="1030">
        <v>0</v>
      </c>
      <c r="Y71" s="1031">
        <v>84834.3</v>
      </c>
      <c r="Z71" s="1032"/>
      <c r="AA71" s="1033"/>
      <c r="AB71" s="1033"/>
      <c r="AC71" s="1033"/>
      <c r="AD71" s="1033"/>
      <c r="AE71" s="1034"/>
      <c r="AF71" s="1029">
        <v>0</v>
      </c>
      <c r="AG71" s="1030">
        <v>0</v>
      </c>
      <c r="AH71" s="1030">
        <v>694240.37</v>
      </c>
      <c r="AI71" s="1030">
        <v>269349.86</v>
      </c>
      <c r="AJ71" s="1030">
        <v>0</v>
      </c>
      <c r="AK71" s="1031">
        <v>963590.23</v>
      </c>
    </row>
    <row r="72" spans="1:37">
      <c r="A72" s="1111" t="s">
        <v>175</v>
      </c>
      <c r="B72" s="1040" t="s">
        <v>176</v>
      </c>
      <c r="C72" s="1023">
        <f t="shared" si="5"/>
        <v>12284.1</v>
      </c>
      <c r="D72" s="1024">
        <f t="shared" si="6"/>
        <v>56019.61</v>
      </c>
      <c r="E72" s="1024">
        <f t="shared" si="7"/>
        <v>10401.290000000001</v>
      </c>
      <c r="F72" s="1024">
        <f t="shared" si="8"/>
        <v>10401.26</v>
      </c>
      <c r="G72" s="1025">
        <f t="shared" si="8"/>
        <v>0.03</v>
      </c>
      <c r="H72" s="1029">
        <v>3930.38</v>
      </c>
      <c r="I72" s="1030">
        <v>424.85</v>
      </c>
      <c r="J72" s="1030">
        <v>3505.51</v>
      </c>
      <c r="K72" s="1030">
        <v>0</v>
      </c>
      <c r="L72" s="1030">
        <v>0.03</v>
      </c>
      <c r="M72" s="1031">
        <v>7860.77</v>
      </c>
      <c r="N72" s="1029">
        <v>7292</v>
      </c>
      <c r="O72" s="1030">
        <v>636.87</v>
      </c>
      <c r="P72" s="1030">
        <v>6655.13</v>
      </c>
      <c r="Q72" s="1030">
        <v>0</v>
      </c>
      <c r="R72" s="1030">
        <v>0</v>
      </c>
      <c r="S72" s="1031">
        <v>14584</v>
      </c>
      <c r="T72" s="1032"/>
      <c r="U72" s="1033"/>
      <c r="V72" s="1033"/>
      <c r="W72" s="1033"/>
      <c r="X72" s="1033"/>
      <c r="Y72" s="1034"/>
      <c r="Z72" s="1032"/>
      <c r="AA72" s="1033"/>
      <c r="AB72" s="1033"/>
      <c r="AC72" s="1033"/>
      <c r="AD72" s="1033"/>
      <c r="AE72" s="1034"/>
      <c r="AF72" s="1029">
        <v>0</v>
      </c>
      <c r="AG72" s="1030">
        <v>0</v>
      </c>
      <c r="AH72" s="1030">
        <v>45858.97</v>
      </c>
      <c r="AI72" s="1030">
        <v>10401.26</v>
      </c>
      <c r="AJ72" s="1030">
        <v>0</v>
      </c>
      <c r="AK72" s="1031">
        <v>56260.23</v>
      </c>
    </row>
    <row r="73" spans="1:37">
      <c r="A73" s="1111" t="s">
        <v>179</v>
      </c>
      <c r="B73" s="1040" t="s">
        <v>180</v>
      </c>
      <c r="C73" s="1023">
        <f t="shared" si="5"/>
        <v>125169.02</v>
      </c>
      <c r="D73" s="1024">
        <f t="shared" si="6"/>
        <v>3022002.68</v>
      </c>
      <c r="E73" s="1024">
        <f t="shared" si="7"/>
        <v>873691.89</v>
      </c>
      <c r="F73" s="1024">
        <f t="shared" si="8"/>
        <v>873691.9</v>
      </c>
      <c r="G73" s="1025">
        <f t="shared" si="8"/>
        <v>-0.01</v>
      </c>
      <c r="H73" s="1029">
        <v>59637.55</v>
      </c>
      <c r="I73" s="1030">
        <v>5955.37</v>
      </c>
      <c r="J73" s="1030">
        <v>53682.16</v>
      </c>
      <c r="K73" s="1030">
        <v>0</v>
      </c>
      <c r="L73" s="1030">
        <v>-0.01</v>
      </c>
      <c r="M73" s="1031">
        <v>119275.07</v>
      </c>
      <c r="N73" s="1029">
        <v>54799.46</v>
      </c>
      <c r="O73" s="1030">
        <v>4776.6400000000003</v>
      </c>
      <c r="P73" s="1030">
        <v>50022.81</v>
      </c>
      <c r="Q73" s="1030">
        <v>0</v>
      </c>
      <c r="R73" s="1030">
        <v>0</v>
      </c>
      <c r="S73" s="1031">
        <v>109598.91</v>
      </c>
      <c r="T73" s="1029">
        <v>0</v>
      </c>
      <c r="U73" s="1030">
        <v>0</v>
      </c>
      <c r="V73" s="1030">
        <v>112166.5</v>
      </c>
      <c r="W73" s="1030">
        <v>0</v>
      </c>
      <c r="X73" s="1030">
        <v>0</v>
      </c>
      <c r="Y73" s="1031">
        <v>112166.5</v>
      </c>
      <c r="Z73" s="1032"/>
      <c r="AA73" s="1033"/>
      <c r="AB73" s="1033"/>
      <c r="AC73" s="1033"/>
      <c r="AD73" s="1033"/>
      <c r="AE73" s="1034"/>
      <c r="AF73" s="1029">
        <v>0</v>
      </c>
      <c r="AG73" s="1030">
        <v>0</v>
      </c>
      <c r="AH73" s="1030">
        <v>2806131.21</v>
      </c>
      <c r="AI73" s="1030">
        <v>873691.9</v>
      </c>
      <c r="AJ73" s="1030">
        <v>0</v>
      </c>
      <c r="AK73" s="1031">
        <v>3679823.11</v>
      </c>
    </row>
    <row r="74" spans="1:37">
      <c r="A74" s="1111" t="s">
        <v>183</v>
      </c>
      <c r="B74" s="1040" t="s">
        <v>184</v>
      </c>
      <c r="C74" s="1023">
        <f t="shared" si="5"/>
        <v>100266.61999999998</v>
      </c>
      <c r="D74" s="1024">
        <f t="shared" si="6"/>
        <v>937232.31</v>
      </c>
      <c r="E74" s="1024">
        <f t="shared" si="7"/>
        <v>656773.11</v>
      </c>
      <c r="F74" s="1024">
        <f t="shared" si="8"/>
        <v>656744.03</v>
      </c>
      <c r="G74" s="1025">
        <f t="shared" si="8"/>
        <v>29.080000000000002</v>
      </c>
      <c r="H74" s="1029">
        <v>83581.929999999993</v>
      </c>
      <c r="I74" s="1030">
        <v>5333.18</v>
      </c>
      <c r="J74" s="1030">
        <v>78248.75</v>
      </c>
      <c r="K74" s="1030">
        <v>0</v>
      </c>
      <c r="L74" s="1030">
        <v>-0.04</v>
      </c>
      <c r="M74" s="1031">
        <v>167163.82</v>
      </c>
      <c r="N74" s="1029">
        <v>10482.200000000001</v>
      </c>
      <c r="O74" s="1030">
        <v>869.31</v>
      </c>
      <c r="P74" s="1030">
        <v>9612.89</v>
      </c>
      <c r="Q74" s="1030">
        <v>0</v>
      </c>
      <c r="R74" s="1030">
        <v>29.12</v>
      </c>
      <c r="S74" s="1031">
        <v>20993.52</v>
      </c>
      <c r="T74" s="1032"/>
      <c r="U74" s="1033"/>
      <c r="V74" s="1033"/>
      <c r="W74" s="1033"/>
      <c r="X74" s="1033"/>
      <c r="Y74" s="1034"/>
      <c r="Z74" s="1032"/>
      <c r="AA74" s="1033"/>
      <c r="AB74" s="1033"/>
      <c r="AC74" s="1033"/>
      <c r="AD74" s="1033"/>
      <c r="AE74" s="1034"/>
      <c r="AF74" s="1029">
        <v>0</v>
      </c>
      <c r="AG74" s="1030">
        <v>0</v>
      </c>
      <c r="AH74" s="1030">
        <v>849370.67</v>
      </c>
      <c r="AI74" s="1030">
        <v>656744.03</v>
      </c>
      <c r="AJ74" s="1030">
        <v>0</v>
      </c>
      <c r="AK74" s="1031">
        <v>1506114.7000000002</v>
      </c>
    </row>
    <row r="75" spans="1:37">
      <c r="A75" s="1111" t="s">
        <v>185</v>
      </c>
      <c r="B75" s="1040" t="s">
        <v>186</v>
      </c>
      <c r="C75" s="1023">
        <f t="shared" si="5"/>
        <v>112764.28</v>
      </c>
      <c r="D75" s="1024">
        <f t="shared" si="6"/>
        <v>859109.17</v>
      </c>
      <c r="E75" s="1024">
        <f t="shared" si="7"/>
        <v>157928.56</v>
      </c>
      <c r="F75" s="1024">
        <f t="shared" si="8"/>
        <v>157928.6</v>
      </c>
      <c r="G75" s="1025">
        <f t="shared" si="8"/>
        <v>-0.04</v>
      </c>
      <c r="H75" s="1029">
        <v>66931.350000000006</v>
      </c>
      <c r="I75" s="1030">
        <v>5658.37</v>
      </c>
      <c r="J75" s="1030">
        <v>61272.98</v>
      </c>
      <c r="K75" s="1030">
        <v>0</v>
      </c>
      <c r="L75" s="1030">
        <v>-0.04</v>
      </c>
      <c r="M75" s="1031">
        <v>133862.66</v>
      </c>
      <c r="N75" s="1029">
        <v>37304.97</v>
      </c>
      <c r="O75" s="1030">
        <v>2869.59</v>
      </c>
      <c r="P75" s="1030">
        <v>34435.379999999997</v>
      </c>
      <c r="Q75" s="1030">
        <v>0</v>
      </c>
      <c r="R75" s="1030">
        <v>0</v>
      </c>
      <c r="S75" s="1031">
        <v>74609.94</v>
      </c>
      <c r="T75" s="1029">
        <v>0</v>
      </c>
      <c r="U75" s="1030">
        <v>0</v>
      </c>
      <c r="V75" s="1030">
        <v>141715.76999999999</v>
      </c>
      <c r="W75" s="1030">
        <v>0</v>
      </c>
      <c r="X75" s="1030">
        <v>0</v>
      </c>
      <c r="Y75" s="1031">
        <v>141715.76999999999</v>
      </c>
      <c r="Z75" s="1032"/>
      <c r="AA75" s="1033"/>
      <c r="AB75" s="1033"/>
      <c r="AC75" s="1033"/>
      <c r="AD75" s="1033"/>
      <c r="AE75" s="1034"/>
      <c r="AF75" s="1029">
        <v>0</v>
      </c>
      <c r="AG75" s="1030">
        <v>0</v>
      </c>
      <c r="AH75" s="1030">
        <v>621685.04</v>
      </c>
      <c r="AI75" s="1030">
        <v>157928.6</v>
      </c>
      <c r="AJ75" s="1030">
        <v>0</v>
      </c>
      <c r="AK75" s="1031">
        <v>779613.64</v>
      </c>
    </row>
    <row r="76" spans="1:37">
      <c r="A76" s="1111" t="s">
        <v>187</v>
      </c>
      <c r="B76" s="1040" t="s">
        <v>188</v>
      </c>
      <c r="C76" s="1023">
        <f t="shared" si="5"/>
        <v>47410.64</v>
      </c>
      <c r="D76" s="1024">
        <f t="shared" si="6"/>
        <v>689035.42</v>
      </c>
      <c r="E76" s="1024">
        <f t="shared" si="7"/>
        <v>310186.53999999998</v>
      </c>
      <c r="F76" s="1024">
        <f t="shared" si="8"/>
        <v>310186.56</v>
      </c>
      <c r="G76" s="1025">
        <f t="shared" si="8"/>
        <v>-0.02</v>
      </c>
      <c r="H76" s="1029">
        <v>19738.7</v>
      </c>
      <c r="I76" s="1030">
        <v>1422.75</v>
      </c>
      <c r="J76" s="1030">
        <v>18315.939999999999</v>
      </c>
      <c r="K76" s="1030">
        <v>0</v>
      </c>
      <c r="L76" s="1030">
        <v>-0.02</v>
      </c>
      <c r="M76" s="1031">
        <v>39477.370000000003</v>
      </c>
      <c r="N76" s="1029">
        <v>24183</v>
      </c>
      <c r="O76" s="1030">
        <v>2066.19</v>
      </c>
      <c r="P76" s="1030">
        <v>22116.81</v>
      </c>
      <c r="Q76" s="1030">
        <v>0</v>
      </c>
      <c r="R76" s="1030">
        <v>0</v>
      </c>
      <c r="S76" s="1031">
        <v>48366</v>
      </c>
      <c r="T76" s="1029">
        <v>0</v>
      </c>
      <c r="U76" s="1030">
        <v>0</v>
      </c>
      <c r="V76" s="1030">
        <v>6300</v>
      </c>
      <c r="W76" s="1030">
        <v>0</v>
      </c>
      <c r="X76" s="1030">
        <v>0</v>
      </c>
      <c r="Y76" s="1031">
        <v>6300</v>
      </c>
      <c r="Z76" s="1032"/>
      <c r="AA76" s="1033"/>
      <c r="AB76" s="1033"/>
      <c r="AC76" s="1033"/>
      <c r="AD76" s="1033"/>
      <c r="AE76" s="1034"/>
      <c r="AF76" s="1029">
        <v>0</v>
      </c>
      <c r="AG76" s="1030">
        <v>0</v>
      </c>
      <c r="AH76" s="1030">
        <v>642302.67000000004</v>
      </c>
      <c r="AI76" s="1030">
        <v>310186.56</v>
      </c>
      <c r="AJ76" s="1030">
        <v>0</v>
      </c>
      <c r="AK76" s="1031">
        <v>952489.23</v>
      </c>
    </row>
    <row r="77" spans="1:37">
      <c r="A77" s="1111" t="s">
        <v>189</v>
      </c>
      <c r="B77" s="1040" t="s">
        <v>190</v>
      </c>
      <c r="C77" s="1023">
        <f t="shared" si="5"/>
        <v>551341.04999999993</v>
      </c>
      <c r="D77" s="1024">
        <f t="shared" si="6"/>
        <v>6652809.8500000006</v>
      </c>
      <c r="E77" s="1024">
        <f t="shared" si="7"/>
        <v>2584372.15</v>
      </c>
      <c r="F77" s="1024">
        <f t="shared" si="8"/>
        <v>2584372.19</v>
      </c>
      <c r="G77" s="1025">
        <f t="shared" si="8"/>
        <v>-0.04</v>
      </c>
      <c r="H77" s="1029">
        <v>186608.93</v>
      </c>
      <c r="I77" s="1030">
        <v>16077.46</v>
      </c>
      <c r="J77" s="1030">
        <v>170531.45</v>
      </c>
      <c r="K77" s="1030">
        <v>0</v>
      </c>
      <c r="L77" s="1030">
        <v>0</v>
      </c>
      <c r="M77" s="1031">
        <v>373217.84</v>
      </c>
      <c r="N77" s="1029">
        <v>322506.06</v>
      </c>
      <c r="O77" s="1030">
        <v>26148.6</v>
      </c>
      <c r="P77" s="1030">
        <v>296357.45</v>
      </c>
      <c r="Q77" s="1030">
        <v>0</v>
      </c>
      <c r="R77" s="1030">
        <v>-0.04</v>
      </c>
      <c r="S77" s="1031">
        <v>645012.06999999995</v>
      </c>
      <c r="T77" s="1029">
        <v>0</v>
      </c>
      <c r="U77" s="1030">
        <v>0</v>
      </c>
      <c r="V77" s="1030">
        <v>789722.88</v>
      </c>
      <c r="W77" s="1030">
        <v>0</v>
      </c>
      <c r="X77" s="1030">
        <v>0</v>
      </c>
      <c r="Y77" s="1031">
        <v>789722.88</v>
      </c>
      <c r="Z77" s="1032"/>
      <c r="AA77" s="1033"/>
      <c r="AB77" s="1033"/>
      <c r="AC77" s="1033"/>
      <c r="AD77" s="1033"/>
      <c r="AE77" s="1034"/>
      <c r="AF77" s="1029">
        <v>0</v>
      </c>
      <c r="AG77" s="1030">
        <v>0</v>
      </c>
      <c r="AH77" s="1030">
        <v>5396198.0700000003</v>
      </c>
      <c r="AI77" s="1030">
        <v>2584372.19</v>
      </c>
      <c r="AJ77" s="1030">
        <v>0</v>
      </c>
      <c r="AK77" s="1031">
        <v>7980570.2599999998</v>
      </c>
    </row>
    <row r="78" spans="1:37">
      <c r="A78" s="1111" t="s">
        <v>191</v>
      </c>
      <c r="B78" s="1040" t="s">
        <v>192</v>
      </c>
      <c r="C78" s="1023">
        <f t="shared" si="5"/>
        <v>895855.7</v>
      </c>
      <c r="D78" s="1024">
        <f t="shared" si="6"/>
        <v>3670468.22</v>
      </c>
      <c r="E78" s="1024">
        <f t="shared" si="7"/>
        <v>1072412.1500000001</v>
      </c>
      <c r="F78" s="1024">
        <f t="shared" si="8"/>
        <v>1072412.3500000001</v>
      </c>
      <c r="G78" s="1025">
        <f t="shared" si="8"/>
        <v>-0.2</v>
      </c>
      <c r="H78" s="1029">
        <v>756693.82</v>
      </c>
      <c r="I78" s="1030">
        <v>62369.91</v>
      </c>
      <c r="J78" s="1030">
        <v>694323.83</v>
      </c>
      <c r="K78" s="1030">
        <v>0</v>
      </c>
      <c r="L78" s="1030">
        <v>-0.19</v>
      </c>
      <c r="M78" s="1031">
        <v>1513387.37</v>
      </c>
      <c r="N78" s="1029">
        <v>70972.960000000006</v>
      </c>
      <c r="O78" s="1030">
        <v>5819.01</v>
      </c>
      <c r="P78" s="1030">
        <v>65153.95</v>
      </c>
      <c r="Q78" s="1030">
        <v>0</v>
      </c>
      <c r="R78" s="1030">
        <v>-0.01</v>
      </c>
      <c r="S78" s="1031">
        <v>141945.91</v>
      </c>
      <c r="T78" s="1029">
        <v>0</v>
      </c>
      <c r="U78" s="1030">
        <v>0</v>
      </c>
      <c r="V78" s="1030">
        <v>235482.26</v>
      </c>
      <c r="W78" s="1030">
        <v>0</v>
      </c>
      <c r="X78" s="1030">
        <v>0</v>
      </c>
      <c r="Y78" s="1031">
        <v>235482.26</v>
      </c>
      <c r="Z78" s="1032"/>
      <c r="AA78" s="1033"/>
      <c r="AB78" s="1033"/>
      <c r="AC78" s="1033"/>
      <c r="AD78" s="1033"/>
      <c r="AE78" s="1034"/>
      <c r="AF78" s="1029">
        <v>0</v>
      </c>
      <c r="AG78" s="1030">
        <v>0</v>
      </c>
      <c r="AH78" s="1030">
        <v>2675508.1800000002</v>
      </c>
      <c r="AI78" s="1030">
        <v>1072412.3500000001</v>
      </c>
      <c r="AJ78" s="1030">
        <v>0</v>
      </c>
      <c r="AK78" s="1031">
        <v>3747920.5300000003</v>
      </c>
    </row>
    <row r="79" spans="1:37">
      <c r="A79" s="1111" t="s">
        <v>195</v>
      </c>
      <c r="B79" s="1040" t="s">
        <v>196</v>
      </c>
      <c r="C79" s="1023">
        <f t="shared" si="5"/>
        <v>60600.160000000003</v>
      </c>
      <c r="D79" s="1024">
        <f t="shared" si="6"/>
        <v>488254.54000000004</v>
      </c>
      <c r="E79" s="1024">
        <f t="shared" si="7"/>
        <v>189696.31</v>
      </c>
      <c r="F79" s="1024">
        <f t="shared" si="8"/>
        <v>189696.44</v>
      </c>
      <c r="G79" s="1025">
        <f t="shared" si="8"/>
        <v>-0.13</v>
      </c>
      <c r="H79" s="1029">
        <v>53891.66</v>
      </c>
      <c r="I79" s="1030">
        <v>3588.95</v>
      </c>
      <c r="J79" s="1030">
        <v>50302.7</v>
      </c>
      <c r="K79" s="1030">
        <v>0</v>
      </c>
      <c r="L79" s="1030">
        <v>-0.13</v>
      </c>
      <c r="M79" s="1031">
        <v>107783.18</v>
      </c>
      <c r="N79" s="1029">
        <v>2887.5</v>
      </c>
      <c r="O79" s="1030">
        <v>232.05</v>
      </c>
      <c r="P79" s="1030">
        <v>2655.45</v>
      </c>
      <c r="Q79" s="1030">
        <v>0</v>
      </c>
      <c r="R79" s="1030">
        <v>0</v>
      </c>
      <c r="S79" s="1031">
        <v>5775</v>
      </c>
      <c r="T79" s="1029">
        <v>0</v>
      </c>
      <c r="U79" s="1030">
        <v>0</v>
      </c>
      <c r="V79" s="1030">
        <v>3011</v>
      </c>
      <c r="W79" s="1030">
        <v>0</v>
      </c>
      <c r="X79" s="1030">
        <v>0</v>
      </c>
      <c r="Y79" s="1031">
        <v>3011</v>
      </c>
      <c r="Z79" s="1032"/>
      <c r="AA79" s="1033"/>
      <c r="AB79" s="1033"/>
      <c r="AC79" s="1033"/>
      <c r="AD79" s="1033"/>
      <c r="AE79" s="1034"/>
      <c r="AF79" s="1029">
        <v>0</v>
      </c>
      <c r="AG79" s="1030">
        <v>0</v>
      </c>
      <c r="AH79" s="1030">
        <v>432285.39</v>
      </c>
      <c r="AI79" s="1030">
        <v>189696.44</v>
      </c>
      <c r="AJ79" s="1030">
        <v>0</v>
      </c>
      <c r="AK79" s="1031">
        <v>621981.83000000007</v>
      </c>
    </row>
    <row r="80" spans="1:37">
      <c r="A80" s="1111" t="s">
        <v>199</v>
      </c>
      <c r="B80" s="1040" t="s">
        <v>200</v>
      </c>
      <c r="C80" s="1023">
        <f t="shared" si="5"/>
        <v>14920.01</v>
      </c>
      <c r="D80" s="1024">
        <f t="shared" si="6"/>
        <v>280558.28000000003</v>
      </c>
      <c r="E80" s="1024">
        <f t="shared" si="7"/>
        <v>134041.99</v>
      </c>
      <c r="F80" s="1024">
        <f t="shared" si="8"/>
        <v>134041.99</v>
      </c>
      <c r="G80" s="1025">
        <f t="shared" si="8"/>
        <v>0</v>
      </c>
      <c r="H80" s="1029">
        <v>10937.62</v>
      </c>
      <c r="I80" s="1030">
        <v>847.09</v>
      </c>
      <c r="J80" s="1030">
        <v>10090.52</v>
      </c>
      <c r="K80" s="1030">
        <v>0</v>
      </c>
      <c r="L80" s="1030">
        <v>0</v>
      </c>
      <c r="M80" s="1031">
        <v>21875.23</v>
      </c>
      <c r="N80" s="1029">
        <v>2887.5</v>
      </c>
      <c r="O80" s="1030">
        <v>247.8</v>
      </c>
      <c r="P80" s="1030">
        <v>2639.7</v>
      </c>
      <c r="Q80" s="1030">
        <v>0</v>
      </c>
      <c r="R80" s="1030">
        <v>0</v>
      </c>
      <c r="S80" s="1031">
        <v>5775</v>
      </c>
      <c r="T80" s="1029">
        <v>0</v>
      </c>
      <c r="U80" s="1030">
        <v>0</v>
      </c>
      <c r="V80" s="1030">
        <v>13101</v>
      </c>
      <c r="W80" s="1030">
        <v>0</v>
      </c>
      <c r="X80" s="1030">
        <v>0</v>
      </c>
      <c r="Y80" s="1031">
        <v>13101</v>
      </c>
      <c r="Z80" s="1032"/>
      <c r="AA80" s="1033"/>
      <c r="AB80" s="1033"/>
      <c r="AC80" s="1033"/>
      <c r="AD80" s="1033"/>
      <c r="AE80" s="1034"/>
      <c r="AF80" s="1029">
        <v>0</v>
      </c>
      <c r="AG80" s="1030">
        <v>0</v>
      </c>
      <c r="AH80" s="1030">
        <v>254727.06</v>
      </c>
      <c r="AI80" s="1030">
        <v>134041.99</v>
      </c>
      <c r="AJ80" s="1030">
        <v>0</v>
      </c>
      <c r="AK80" s="1031">
        <v>388769.05</v>
      </c>
    </row>
    <row r="81" spans="1:37">
      <c r="A81" s="1111" t="s">
        <v>203</v>
      </c>
      <c r="B81" s="1040" t="s">
        <v>204</v>
      </c>
      <c r="C81" s="1023">
        <f t="shared" si="5"/>
        <v>557731.47</v>
      </c>
      <c r="D81" s="1024">
        <f t="shared" si="6"/>
        <v>5149398.91</v>
      </c>
      <c r="E81" s="1024">
        <f t="shared" si="7"/>
        <v>2673034.9300000002</v>
      </c>
      <c r="F81" s="1024">
        <f t="shared" si="8"/>
        <v>2673034.9700000002</v>
      </c>
      <c r="G81" s="1025">
        <f t="shared" si="8"/>
        <v>-0.04</v>
      </c>
      <c r="H81" s="1029">
        <v>271733.83</v>
      </c>
      <c r="I81" s="1030">
        <v>18373.759999999998</v>
      </c>
      <c r="J81" s="1030">
        <v>253359.97</v>
      </c>
      <c r="K81" s="1030">
        <v>0</v>
      </c>
      <c r="L81" s="1030">
        <v>-0.03</v>
      </c>
      <c r="M81" s="1031">
        <v>543467.53</v>
      </c>
      <c r="N81" s="1029">
        <v>247390.52</v>
      </c>
      <c r="O81" s="1030">
        <v>20233.36</v>
      </c>
      <c r="P81" s="1030">
        <v>227157.15</v>
      </c>
      <c r="Q81" s="1030">
        <v>0</v>
      </c>
      <c r="R81" s="1030">
        <v>-0.01</v>
      </c>
      <c r="S81" s="1031">
        <v>494781.02</v>
      </c>
      <c r="T81" s="1029">
        <v>0</v>
      </c>
      <c r="U81" s="1030">
        <v>0</v>
      </c>
      <c r="V81" s="1030">
        <v>773404.06</v>
      </c>
      <c r="W81" s="1030">
        <v>0</v>
      </c>
      <c r="X81" s="1030">
        <v>0</v>
      </c>
      <c r="Y81" s="1031">
        <v>773404.06</v>
      </c>
      <c r="Z81" s="1032"/>
      <c r="AA81" s="1033"/>
      <c r="AB81" s="1033"/>
      <c r="AC81" s="1033"/>
      <c r="AD81" s="1033"/>
      <c r="AE81" s="1034"/>
      <c r="AF81" s="1029">
        <v>0</v>
      </c>
      <c r="AG81" s="1030">
        <v>0</v>
      </c>
      <c r="AH81" s="1030">
        <v>3895477.73</v>
      </c>
      <c r="AI81" s="1030">
        <v>2673034.9700000002</v>
      </c>
      <c r="AJ81" s="1030">
        <v>0</v>
      </c>
      <c r="AK81" s="1031">
        <v>6568512.6999999993</v>
      </c>
    </row>
    <row r="82" spans="1:37">
      <c r="A82" s="1111" t="s">
        <v>205</v>
      </c>
      <c r="B82" s="1040" t="s">
        <v>206</v>
      </c>
      <c r="C82" s="1023">
        <f t="shared" si="5"/>
        <v>138816.75999999998</v>
      </c>
      <c r="D82" s="1024">
        <f t="shared" si="6"/>
        <v>2527391.34</v>
      </c>
      <c r="E82" s="1024">
        <f t="shared" si="7"/>
        <v>748495.99</v>
      </c>
      <c r="F82" s="1024">
        <f t="shared" si="8"/>
        <v>736826.37</v>
      </c>
      <c r="G82" s="1025">
        <f t="shared" si="8"/>
        <v>11669.619999999999</v>
      </c>
      <c r="H82" s="1029">
        <v>75091.039999999994</v>
      </c>
      <c r="I82" s="1030">
        <v>6113.77</v>
      </c>
      <c r="J82" s="1030">
        <v>68977.27</v>
      </c>
      <c r="K82" s="1030">
        <v>0</v>
      </c>
      <c r="L82" s="1030">
        <v>-0.02</v>
      </c>
      <c r="M82" s="1031">
        <v>150182.06</v>
      </c>
      <c r="N82" s="1029">
        <v>53170.05</v>
      </c>
      <c r="O82" s="1030">
        <v>4441.8999999999996</v>
      </c>
      <c r="P82" s="1030">
        <v>48728.15</v>
      </c>
      <c r="Q82" s="1030">
        <v>0</v>
      </c>
      <c r="R82" s="1030">
        <v>525</v>
      </c>
      <c r="S82" s="1031">
        <v>106865.1</v>
      </c>
      <c r="T82" s="1029">
        <v>0</v>
      </c>
      <c r="U82" s="1030">
        <v>0</v>
      </c>
      <c r="V82" s="1030">
        <v>49647.5</v>
      </c>
      <c r="W82" s="1030">
        <v>0</v>
      </c>
      <c r="X82" s="1030">
        <v>11144.64</v>
      </c>
      <c r="Y82" s="1031">
        <v>60792.14</v>
      </c>
      <c r="Z82" s="1032"/>
      <c r="AA82" s="1033"/>
      <c r="AB82" s="1033"/>
      <c r="AC82" s="1033"/>
      <c r="AD82" s="1033"/>
      <c r="AE82" s="1034"/>
      <c r="AF82" s="1029">
        <v>0</v>
      </c>
      <c r="AG82" s="1030">
        <v>0</v>
      </c>
      <c r="AH82" s="1030">
        <v>2360038.42</v>
      </c>
      <c r="AI82" s="1030">
        <v>736826.37</v>
      </c>
      <c r="AJ82" s="1030">
        <v>0</v>
      </c>
      <c r="AK82" s="1031">
        <v>3096864.79</v>
      </c>
    </row>
    <row r="83" spans="1:37">
      <c r="A83" s="1111" t="s">
        <v>207</v>
      </c>
      <c r="B83" s="1040" t="s">
        <v>208</v>
      </c>
      <c r="C83" s="1023">
        <f t="shared" si="5"/>
        <v>1537485.65</v>
      </c>
      <c r="D83" s="1024">
        <f t="shared" si="6"/>
        <v>9070761.0899999999</v>
      </c>
      <c r="E83" s="1024">
        <f t="shared" si="7"/>
        <v>3361295.11</v>
      </c>
      <c r="F83" s="1024">
        <f t="shared" si="8"/>
        <v>3361295.34</v>
      </c>
      <c r="G83" s="1025">
        <f t="shared" si="8"/>
        <v>-0.22999999999999998</v>
      </c>
      <c r="H83" s="1029">
        <v>919750.64</v>
      </c>
      <c r="I83" s="1030">
        <v>71868.36</v>
      </c>
      <c r="J83" s="1030">
        <v>847882.13</v>
      </c>
      <c r="K83" s="1030">
        <v>0</v>
      </c>
      <c r="L83" s="1030">
        <v>-0.21</v>
      </c>
      <c r="M83" s="1031">
        <v>1839500.92</v>
      </c>
      <c r="N83" s="1029">
        <v>505300.77</v>
      </c>
      <c r="O83" s="1030">
        <v>40565.879999999997</v>
      </c>
      <c r="P83" s="1030">
        <v>464734.87</v>
      </c>
      <c r="Q83" s="1030">
        <v>0</v>
      </c>
      <c r="R83" s="1030">
        <v>-0.02</v>
      </c>
      <c r="S83" s="1031">
        <v>1010601.5</v>
      </c>
      <c r="T83" s="1029">
        <v>0</v>
      </c>
      <c r="U83" s="1030">
        <v>0</v>
      </c>
      <c r="V83" s="1030">
        <v>1423621.83</v>
      </c>
      <c r="W83" s="1030">
        <v>0</v>
      </c>
      <c r="X83" s="1030">
        <v>0</v>
      </c>
      <c r="Y83" s="1031">
        <v>1423621.83</v>
      </c>
      <c r="Z83" s="1032"/>
      <c r="AA83" s="1033"/>
      <c r="AB83" s="1033"/>
      <c r="AC83" s="1033"/>
      <c r="AD83" s="1033"/>
      <c r="AE83" s="1034"/>
      <c r="AF83" s="1029">
        <v>0</v>
      </c>
      <c r="AG83" s="1030">
        <v>0</v>
      </c>
      <c r="AH83" s="1030">
        <v>6334522.2599999998</v>
      </c>
      <c r="AI83" s="1030">
        <v>3361295.34</v>
      </c>
      <c r="AJ83" s="1030">
        <v>0</v>
      </c>
      <c r="AK83" s="1031">
        <v>9695817.6000000015</v>
      </c>
    </row>
    <row r="84" spans="1:37">
      <c r="A84" s="1111" t="s">
        <v>209</v>
      </c>
      <c r="B84" s="1040" t="s">
        <v>210</v>
      </c>
      <c r="C84" s="1023">
        <f t="shared" si="5"/>
        <v>452679.39</v>
      </c>
      <c r="D84" s="1024">
        <f t="shared" si="6"/>
        <v>1753121.05</v>
      </c>
      <c r="E84" s="1024">
        <f t="shared" si="7"/>
        <v>315810.97000000003</v>
      </c>
      <c r="F84" s="1024">
        <f t="shared" si="8"/>
        <v>315811.19</v>
      </c>
      <c r="G84" s="1025">
        <f t="shared" si="8"/>
        <v>-0.22</v>
      </c>
      <c r="H84" s="1029">
        <v>324892.11</v>
      </c>
      <c r="I84" s="1030">
        <v>25562.14</v>
      </c>
      <c r="J84" s="1030">
        <v>299329.88</v>
      </c>
      <c r="K84" s="1030">
        <v>0</v>
      </c>
      <c r="L84" s="1030">
        <v>-0.2</v>
      </c>
      <c r="M84" s="1031">
        <v>649783.93000000005</v>
      </c>
      <c r="N84" s="1029">
        <v>95293.62</v>
      </c>
      <c r="O84" s="1030">
        <v>6931.52</v>
      </c>
      <c r="P84" s="1030">
        <v>88362.1</v>
      </c>
      <c r="Q84" s="1030">
        <v>0</v>
      </c>
      <c r="R84" s="1030">
        <v>-0.02</v>
      </c>
      <c r="S84" s="1031">
        <v>190587.22</v>
      </c>
      <c r="T84" s="1029">
        <v>0</v>
      </c>
      <c r="U84" s="1030">
        <v>0</v>
      </c>
      <c r="V84" s="1030">
        <v>36033.24</v>
      </c>
      <c r="W84" s="1030">
        <v>0</v>
      </c>
      <c r="X84" s="1030">
        <v>0</v>
      </c>
      <c r="Y84" s="1031">
        <v>36033.24</v>
      </c>
      <c r="Z84" s="1032"/>
      <c r="AA84" s="1033"/>
      <c r="AB84" s="1033"/>
      <c r="AC84" s="1033"/>
      <c r="AD84" s="1033"/>
      <c r="AE84" s="1034"/>
      <c r="AF84" s="1029">
        <v>0</v>
      </c>
      <c r="AG84" s="1030">
        <v>0</v>
      </c>
      <c r="AH84" s="1030">
        <v>1329395.83</v>
      </c>
      <c r="AI84" s="1030">
        <v>315811.19</v>
      </c>
      <c r="AJ84" s="1030">
        <v>0</v>
      </c>
      <c r="AK84" s="1031">
        <v>1645207.02</v>
      </c>
    </row>
    <row r="85" spans="1:37">
      <c r="A85" s="1111" t="s">
        <v>211</v>
      </c>
      <c r="B85" s="1040" t="s">
        <v>212</v>
      </c>
      <c r="C85" s="1023">
        <f t="shared" si="5"/>
        <v>291657.29000000004</v>
      </c>
      <c r="D85" s="1024">
        <f t="shared" si="6"/>
        <v>983897.91999999993</v>
      </c>
      <c r="E85" s="1024">
        <f t="shared" si="7"/>
        <v>289589.95999999996</v>
      </c>
      <c r="F85" s="1024">
        <f t="shared" si="8"/>
        <v>289590.05</v>
      </c>
      <c r="G85" s="1025">
        <f t="shared" si="8"/>
        <v>-9.0000000000000011E-2</v>
      </c>
      <c r="H85" s="1029">
        <v>169844.85</v>
      </c>
      <c r="I85" s="1030">
        <v>12896.31</v>
      </c>
      <c r="J85" s="1030">
        <v>156948.49</v>
      </c>
      <c r="K85" s="1030">
        <v>0</v>
      </c>
      <c r="L85" s="1030">
        <v>-7.0000000000000007E-2</v>
      </c>
      <c r="M85" s="1031">
        <v>339689.58</v>
      </c>
      <c r="N85" s="1029">
        <v>101065.5</v>
      </c>
      <c r="O85" s="1030">
        <v>7850.63</v>
      </c>
      <c r="P85" s="1030">
        <v>93214.87</v>
      </c>
      <c r="Q85" s="1030">
        <v>0</v>
      </c>
      <c r="R85" s="1030">
        <v>-0.02</v>
      </c>
      <c r="S85" s="1031">
        <v>202130.98</v>
      </c>
      <c r="T85" s="1029">
        <v>0</v>
      </c>
      <c r="U85" s="1030">
        <v>0</v>
      </c>
      <c r="V85" s="1030">
        <v>68224.87</v>
      </c>
      <c r="W85" s="1030">
        <v>0</v>
      </c>
      <c r="X85" s="1030">
        <v>0</v>
      </c>
      <c r="Y85" s="1031">
        <v>68224.87</v>
      </c>
      <c r="Z85" s="1032"/>
      <c r="AA85" s="1033"/>
      <c r="AB85" s="1033"/>
      <c r="AC85" s="1033"/>
      <c r="AD85" s="1033"/>
      <c r="AE85" s="1034"/>
      <c r="AF85" s="1029">
        <v>0</v>
      </c>
      <c r="AG85" s="1030">
        <v>0</v>
      </c>
      <c r="AH85" s="1030">
        <v>665509.68999999994</v>
      </c>
      <c r="AI85" s="1030">
        <v>289590.05</v>
      </c>
      <c r="AJ85" s="1030">
        <v>0</v>
      </c>
      <c r="AK85" s="1031">
        <v>955099.74</v>
      </c>
    </row>
    <row r="86" spans="1:37">
      <c r="A86" s="1111" t="s">
        <v>213</v>
      </c>
      <c r="B86" s="1040" t="s">
        <v>214</v>
      </c>
      <c r="C86" s="1023">
        <f t="shared" si="5"/>
        <v>178233.62</v>
      </c>
      <c r="D86" s="1024">
        <f t="shared" si="6"/>
        <v>2147369.96</v>
      </c>
      <c r="E86" s="1024">
        <f t="shared" si="7"/>
        <v>663335.77</v>
      </c>
      <c r="F86" s="1024">
        <f t="shared" si="8"/>
        <v>663335.77</v>
      </c>
      <c r="G86" s="1025">
        <f t="shared" si="8"/>
        <v>0</v>
      </c>
      <c r="H86" s="1029">
        <v>150924.69</v>
      </c>
      <c r="I86" s="1030">
        <v>10521.81</v>
      </c>
      <c r="J86" s="1030">
        <v>140402.92000000001</v>
      </c>
      <c r="K86" s="1030">
        <v>0</v>
      </c>
      <c r="L86" s="1030">
        <v>0</v>
      </c>
      <c r="M86" s="1031">
        <v>301849.42</v>
      </c>
      <c r="N86" s="1029">
        <v>15816.5</v>
      </c>
      <c r="O86" s="1030">
        <v>970.62</v>
      </c>
      <c r="P86" s="1030">
        <v>14845.88</v>
      </c>
      <c r="Q86" s="1030">
        <v>0</v>
      </c>
      <c r="R86" s="1030">
        <v>0</v>
      </c>
      <c r="S86" s="1031">
        <v>31633</v>
      </c>
      <c r="T86" s="1029">
        <v>0</v>
      </c>
      <c r="U86" s="1030">
        <v>0</v>
      </c>
      <c r="V86" s="1030">
        <v>251136.69</v>
      </c>
      <c r="W86" s="1030">
        <v>0</v>
      </c>
      <c r="X86" s="1030">
        <v>0</v>
      </c>
      <c r="Y86" s="1031">
        <v>251136.69</v>
      </c>
      <c r="Z86" s="1032"/>
      <c r="AA86" s="1033"/>
      <c r="AB86" s="1033"/>
      <c r="AC86" s="1033"/>
      <c r="AD86" s="1033"/>
      <c r="AE86" s="1034"/>
      <c r="AF86" s="1029">
        <v>0</v>
      </c>
      <c r="AG86" s="1030">
        <v>0</v>
      </c>
      <c r="AH86" s="1030">
        <v>1740984.47</v>
      </c>
      <c r="AI86" s="1030">
        <v>663335.77</v>
      </c>
      <c r="AJ86" s="1030">
        <v>0</v>
      </c>
      <c r="AK86" s="1031">
        <v>2404320.2400000002</v>
      </c>
    </row>
    <row r="87" spans="1:37">
      <c r="A87" s="1111" t="s">
        <v>215</v>
      </c>
      <c r="B87" s="1040" t="s">
        <v>216</v>
      </c>
      <c r="C87" s="1023">
        <f t="shared" si="5"/>
        <v>147459.06999999998</v>
      </c>
      <c r="D87" s="1024">
        <f t="shared" si="6"/>
        <v>716565.79</v>
      </c>
      <c r="E87" s="1024">
        <f t="shared" si="7"/>
        <v>115894.36</v>
      </c>
      <c r="F87" s="1024">
        <f t="shared" si="8"/>
        <v>122928.29</v>
      </c>
      <c r="G87" s="1025">
        <f t="shared" si="8"/>
        <v>-7033.9299999999994</v>
      </c>
      <c r="H87" s="1029">
        <v>59903.61</v>
      </c>
      <c r="I87" s="1030">
        <v>4910.68</v>
      </c>
      <c r="J87" s="1030">
        <v>54992.9</v>
      </c>
      <c r="K87" s="1030">
        <v>0</v>
      </c>
      <c r="L87" s="1030">
        <v>-0.02</v>
      </c>
      <c r="M87" s="1031">
        <v>119807.17</v>
      </c>
      <c r="N87" s="1029">
        <v>76294.009999999995</v>
      </c>
      <c r="O87" s="1030">
        <v>6350.77</v>
      </c>
      <c r="P87" s="1030">
        <v>69943.25</v>
      </c>
      <c r="Q87" s="1030">
        <v>0</v>
      </c>
      <c r="R87" s="1030">
        <v>-0.01</v>
      </c>
      <c r="S87" s="1031">
        <v>152588.01999999999</v>
      </c>
      <c r="T87" s="1029">
        <v>0</v>
      </c>
      <c r="U87" s="1030">
        <v>0</v>
      </c>
      <c r="V87" s="1030">
        <v>53731.5</v>
      </c>
      <c r="W87" s="1030">
        <v>0</v>
      </c>
      <c r="X87" s="1030">
        <v>-7033.9</v>
      </c>
      <c r="Y87" s="1031">
        <v>46697.599999999999</v>
      </c>
      <c r="Z87" s="1032"/>
      <c r="AA87" s="1033"/>
      <c r="AB87" s="1033"/>
      <c r="AC87" s="1033"/>
      <c r="AD87" s="1033"/>
      <c r="AE87" s="1034"/>
      <c r="AF87" s="1029">
        <v>0</v>
      </c>
      <c r="AG87" s="1030">
        <v>0</v>
      </c>
      <c r="AH87" s="1030">
        <v>537898.14</v>
      </c>
      <c r="AI87" s="1030">
        <v>122928.29</v>
      </c>
      <c r="AJ87" s="1030">
        <v>0</v>
      </c>
      <c r="AK87" s="1031">
        <v>660826.43000000005</v>
      </c>
    </row>
    <row r="88" spans="1:37">
      <c r="A88" s="1111" t="s">
        <v>217</v>
      </c>
      <c r="B88" s="1040" t="s">
        <v>218</v>
      </c>
      <c r="C88" s="1023">
        <f t="shared" si="5"/>
        <v>63435.570000000007</v>
      </c>
      <c r="D88" s="1024">
        <f t="shared" si="6"/>
        <v>401974.92</v>
      </c>
      <c r="E88" s="1024">
        <f t="shared" si="7"/>
        <v>166416.47</v>
      </c>
      <c r="F88" s="1024">
        <f t="shared" si="8"/>
        <v>166416.51999999999</v>
      </c>
      <c r="G88" s="1025">
        <f t="shared" si="8"/>
        <v>-0.05</v>
      </c>
      <c r="H88" s="1029">
        <v>44806.97</v>
      </c>
      <c r="I88" s="1030">
        <v>4053.16</v>
      </c>
      <c r="J88" s="1030">
        <v>40753.81</v>
      </c>
      <c r="K88" s="1030">
        <v>0</v>
      </c>
      <c r="L88" s="1030">
        <v>-0.05</v>
      </c>
      <c r="M88" s="1031">
        <v>89613.89</v>
      </c>
      <c r="N88" s="1029">
        <v>13446</v>
      </c>
      <c r="O88" s="1030">
        <v>1129.44</v>
      </c>
      <c r="P88" s="1030">
        <v>12316.56</v>
      </c>
      <c r="Q88" s="1030">
        <v>0</v>
      </c>
      <c r="R88" s="1030">
        <v>0</v>
      </c>
      <c r="S88" s="1031">
        <v>26892</v>
      </c>
      <c r="T88" s="1032"/>
      <c r="U88" s="1033"/>
      <c r="V88" s="1033"/>
      <c r="W88" s="1033"/>
      <c r="X88" s="1033"/>
      <c r="Y88" s="1034"/>
      <c r="Z88" s="1032"/>
      <c r="AA88" s="1033"/>
      <c r="AB88" s="1033"/>
      <c r="AC88" s="1033"/>
      <c r="AD88" s="1033"/>
      <c r="AE88" s="1034"/>
      <c r="AF88" s="1029">
        <v>0</v>
      </c>
      <c r="AG88" s="1030">
        <v>0</v>
      </c>
      <c r="AH88" s="1030">
        <v>348904.55</v>
      </c>
      <c r="AI88" s="1030">
        <v>166416.51999999999</v>
      </c>
      <c r="AJ88" s="1030">
        <v>0</v>
      </c>
      <c r="AK88" s="1031">
        <v>515321.06999999995</v>
      </c>
    </row>
    <row r="89" spans="1:37">
      <c r="A89" s="1111" t="s">
        <v>219</v>
      </c>
      <c r="B89" s="1040" t="s">
        <v>220</v>
      </c>
      <c r="C89" s="1023">
        <f t="shared" si="5"/>
        <v>560241.68000000005</v>
      </c>
      <c r="D89" s="1024">
        <f t="shared" si="6"/>
        <v>4380873.4800000004</v>
      </c>
      <c r="E89" s="1024">
        <f t="shared" si="7"/>
        <v>3004408.96</v>
      </c>
      <c r="F89" s="1024">
        <f t="shared" si="8"/>
        <v>3004409.04</v>
      </c>
      <c r="G89" s="1025">
        <f t="shared" si="8"/>
        <v>-0.08</v>
      </c>
      <c r="H89" s="1029">
        <v>371439.17</v>
      </c>
      <c r="I89" s="1030">
        <v>28357.21</v>
      </c>
      <c r="J89" s="1030">
        <v>343081.96</v>
      </c>
      <c r="K89" s="1030">
        <v>0</v>
      </c>
      <c r="L89" s="1030">
        <v>-0.08</v>
      </c>
      <c r="M89" s="1031">
        <v>742878.26</v>
      </c>
      <c r="N89" s="1029">
        <v>150037.79</v>
      </c>
      <c r="O89" s="1030">
        <v>10407.51</v>
      </c>
      <c r="P89" s="1030">
        <v>139630.24</v>
      </c>
      <c r="Q89" s="1030">
        <v>0</v>
      </c>
      <c r="R89" s="1030">
        <v>0</v>
      </c>
      <c r="S89" s="1031">
        <v>300075.53999999998</v>
      </c>
      <c r="T89" s="1029">
        <v>0</v>
      </c>
      <c r="U89" s="1030">
        <v>0</v>
      </c>
      <c r="V89" s="1030">
        <v>365660.1</v>
      </c>
      <c r="W89" s="1030">
        <v>0</v>
      </c>
      <c r="X89" s="1030">
        <v>0</v>
      </c>
      <c r="Y89" s="1031">
        <v>365660.1</v>
      </c>
      <c r="Z89" s="1032"/>
      <c r="AA89" s="1033"/>
      <c r="AB89" s="1033"/>
      <c r="AC89" s="1033"/>
      <c r="AD89" s="1033"/>
      <c r="AE89" s="1034"/>
      <c r="AF89" s="1029">
        <v>0</v>
      </c>
      <c r="AG89" s="1030">
        <v>0</v>
      </c>
      <c r="AH89" s="1030">
        <v>3532501.18</v>
      </c>
      <c r="AI89" s="1030">
        <v>3004409.04</v>
      </c>
      <c r="AJ89" s="1030">
        <v>0</v>
      </c>
      <c r="AK89" s="1031">
        <v>6536910.2200000007</v>
      </c>
    </row>
    <row r="90" spans="1:37">
      <c r="A90" s="1111" t="s">
        <v>221</v>
      </c>
      <c r="B90" s="1040" t="s">
        <v>222</v>
      </c>
      <c r="C90" s="1023">
        <f t="shared" si="5"/>
        <v>470618.94999999995</v>
      </c>
      <c r="D90" s="1024">
        <f t="shared" si="6"/>
        <v>3341799.81</v>
      </c>
      <c r="E90" s="1024">
        <f t="shared" si="7"/>
        <v>1712622.18</v>
      </c>
      <c r="F90" s="1024">
        <f t="shared" si="8"/>
        <v>1712622.23</v>
      </c>
      <c r="G90" s="1025">
        <f t="shared" si="8"/>
        <v>-0.05</v>
      </c>
      <c r="H90" s="1029">
        <v>154075.01999999999</v>
      </c>
      <c r="I90" s="1030">
        <v>13240.05</v>
      </c>
      <c r="J90" s="1030">
        <v>140834.92000000001</v>
      </c>
      <c r="K90" s="1030">
        <v>0</v>
      </c>
      <c r="L90" s="1030">
        <v>-0.05</v>
      </c>
      <c r="M90" s="1031">
        <v>308149.94</v>
      </c>
      <c r="N90" s="1029">
        <v>282052.14</v>
      </c>
      <c r="O90" s="1030">
        <v>21251.74</v>
      </c>
      <c r="P90" s="1030">
        <v>260800.39</v>
      </c>
      <c r="Q90" s="1030">
        <v>0</v>
      </c>
      <c r="R90" s="1030">
        <v>0</v>
      </c>
      <c r="S90" s="1031">
        <v>564104.27</v>
      </c>
      <c r="T90" s="1029">
        <v>0</v>
      </c>
      <c r="U90" s="1030">
        <v>0</v>
      </c>
      <c r="V90" s="1030">
        <v>640873.62</v>
      </c>
      <c r="W90" s="1030">
        <v>0</v>
      </c>
      <c r="X90" s="1030">
        <v>0</v>
      </c>
      <c r="Y90" s="1031">
        <v>640873.62</v>
      </c>
      <c r="Z90" s="1032"/>
      <c r="AA90" s="1033"/>
      <c r="AB90" s="1033"/>
      <c r="AC90" s="1033"/>
      <c r="AD90" s="1033"/>
      <c r="AE90" s="1034"/>
      <c r="AF90" s="1029">
        <v>0</v>
      </c>
      <c r="AG90" s="1030">
        <v>0</v>
      </c>
      <c r="AH90" s="1030">
        <v>2299290.88</v>
      </c>
      <c r="AI90" s="1030">
        <v>1712622.23</v>
      </c>
      <c r="AJ90" s="1030">
        <v>0</v>
      </c>
      <c r="AK90" s="1031">
        <v>4011913.11</v>
      </c>
    </row>
    <row r="91" spans="1:37">
      <c r="A91" s="1111" t="s">
        <v>225</v>
      </c>
      <c r="B91" s="1040" t="s">
        <v>226</v>
      </c>
      <c r="C91" s="1023">
        <f t="shared" si="5"/>
        <v>3414.6</v>
      </c>
      <c r="D91" s="1024">
        <f t="shared" si="6"/>
        <v>63907.020000000004</v>
      </c>
      <c r="E91" s="1024">
        <f t="shared" si="7"/>
        <v>35672.46</v>
      </c>
      <c r="F91" s="1024">
        <f t="shared" si="8"/>
        <v>35672.46</v>
      </c>
      <c r="G91" s="1025">
        <f t="shared" si="8"/>
        <v>0</v>
      </c>
      <c r="H91" s="1032"/>
      <c r="I91" s="1033"/>
      <c r="J91" s="1033"/>
      <c r="K91" s="1033"/>
      <c r="L91" s="1033"/>
      <c r="M91" s="1034"/>
      <c r="N91" s="1029">
        <v>3150</v>
      </c>
      <c r="O91" s="1030">
        <v>264.60000000000002</v>
      </c>
      <c r="P91" s="1030">
        <v>2885.4</v>
      </c>
      <c r="Q91" s="1030">
        <v>0</v>
      </c>
      <c r="R91" s="1030">
        <v>0</v>
      </c>
      <c r="S91" s="1031">
        <v>6300</v>
      </c>
      <c r="T91" s="1032"/>
      <c r="U91" s="1033"/>
      <c r="V91" s="1033"/>
      <c r="W91" s="1033"/>
      <c r="X91" s="1033"/>
      <c r="Y91" s="1034"/>
      <c r="Z91" s="1032"/>
      <c r="AA91" s="1033"/>
      <c r="AB91" s="1033"/>
      <c r="AC91" s="1033"/>
      <c r="AD91" s="1033"/>
      <c r="AE91" s="1034"/>
      <c r="AF91" s="1029">
        <v>0</v>
      </c>
      <c r="AG91" s="1030">
        <v>0</v>
      </c>
      <c r="AH91" s="1030">
        <v>61021.62</v>
      </c>
      <c r="AI91" s="1030">
        <v>35672.46</v>
      </c>
      <c r="AJ91" s="1030">
        <v>0</v>
      </c>
      <c r="AK91" s="1031">
        <v>96694.080000000002</v>
      </c>
    </row>
    <row r="92" spans="1:37">
      <c r="A92" s="1111" t="s">
        <v>227</v>
      </c>
      <c r="B92" s="1040" t="s">
        <v>228</v>
      </c>
      <c r="C92" s="1023">
        <f t="shared" si="5"/>
        <v>88907.199999999997</v>
      </c>
      <c r="D92" s="1024">
        <f t="shared" si="6"/>
        <v>607424.19000000006</v>
      </c>
      <c r="E92" s="1024">
        <f t="shared" si="7"/>
        <v>158521.35</v>
      </c>
      <c r="F92" s="1024">
        <f t="shared" si="8"/>
        <v>158521.37</v>
      </c>
      <c r="G92" s="1025">
        <f t="shared" si="8"/>
        <v>-0.02</v>
      </c>
      <c r="H92" s="1029">
        <v>62534.04</v>
      </c>
      <c r="I92" s="1030">
        <v>6044.08</v>
      </c>
      <c r="J92" s="1030">
        <v>56489.98</v>
      </c>
      <c r="K92" s="1030">
        <v>0</v>
      </c>
      <c r="L92" s="1030">
        <v>-0.02</v>
      </c>
      <c r="M92" s="1031">
        <v>125068.08</v>
      </c>
      <c r="N92" s="1029">
        <v>18729.509999999998</v>
      </c>
      <c r="O92" s="1030">
        <v>1599.57</v>
      </c>
      <c r="P92" s="1030">
        <v>17129.939999999999</v>
      </c>
      <c r="Q92" s="1030">
        <v>0</v>
      </c>
      <c r="R92" s="1030">
        <v>0</v>
      </c>
      <c r="S92" s="1031">
        <v>37459.019999999997</v>
      </c>
      <c r="T92" s="1029">
        <v>0</v>
      </c>
      <c r="U92" s="1030">
        <v>0</v>
      </c>
      <c r="V92" s="1030">
        <v>32028</v>
      </c>
      <c r="W92" s="1030">
        <v>0</v>
      </c>
      <c r="X92" s="1030">
        <v>0</v>
      </c>
      <c r="Y92" s="1031">
        <v>32028</v>
      </c>
      <c r="Z92" s="1032"/>
      <c r="AA92" s="1033"/>
      <c r="AB92" s="1033"/>
      <c r="AC92" s="1033"/>
      <c r="AD92" s="1033"/>
      <c r="AE92" s="1034"/>
      <c r="AF92" s="1029">
        <v>0</v>
      </c>
      <c r="AG92" s="1030">
        <v>0</v>
      </c>
      <c r="AH92" s="1030">
        <v>501776.27</v>
      </c>
      <c r="AI92" s="1030">
        <v>158521.37</v>
      </c>
      <c r="AJ92" s="1030">
        <v>0</v>
      </c>
      <c r="AK92" s="1031">
        <v>660297.64</v>
      </c>
    </row>
    <row r="93" spans="1:37">
      <c r="A93" s="1111" t="s">
        <v>229</v>
      </c>
      <c r="B93" s="1040" t="s">
        <v>230</v>
      </c>
      <c r="C93" s="1023">
        <f t="shared" si="5"/>
        <v>585436.08000000007</v>
      </c>
      <c r="D93" s="1024">
        <f t="shared" si="6"/>
        <v>2409931.34</v>
      </c>
      <c r="E93" s="1024">
        <f t="shared" si="7"/>
        <v>436689.69</v>
      </c>
      <c r="F93" s="1024">
        <f t="shared" si="8"/>
        <v>436689.75</v>
      </c>
      <c r="G93" s="1025">
        <f t="shared" si="8"/>
        <v>-6.0000000000000005E-2</v>
      </c>
      <c r="H93" s="1029">
        <v>322929.71999999997</v>
      </c>
      <c r="I93" s="1030">
        <v>25235.83</v>
      </c>
      <c r="J93" s="1030">
        <v>297693.82</v>
      </c>
      <c r="K93" s="1030">
        <v>0</v>
      </c>
      <c r="L93" s="1030">
        <v>-0.05</v>
      </c>
      <c r="M93" s="1031">
        <v>645859.31999999995</v>
      </c>
      <c r="N93" s="1029">
        <v>219546.47</v>
      </c>
      <c r="O93" s="1030">
        <v>17724.060000000001</v>
      </c>
      <c r="P93" s="1030">
        <v>201822.4</v>
      </c>
      <c r="Q93" s="1030">
        <v>0</v>
      </c>
      <c r="R93" s="1030">
        <v>-0.01</v>
      </c>
      <c r="S93" s="1031">
        <v>439092.92</v>
      </c>
      <c r="T93" s="1029">
        <v>0</v>
      </c>
      <c r="U93" s="1030">
        <v>0</v>
      </c>
      <c r="V93" s="1030">
        <v>442123.08</v>
      </c>
      <c r="W93" s="1030">
        <v>0</v>
      </c>
      <c r="X93" s="1030">
        <v>0</v>
      </c>
      <c r="Y93" s="1031">
        <v>442123.08</v>
      </c>
      <c r="Z93" s="1032"/>
      <c r="AA93" s="1033"/>
      <c r="AB93" s="1033"/>
      <c r="AC93" s="1033"/>
      <c r="AD93" s="1033"/>
      <c r="AE93" s="1034"/>
      <c r="AF93" s="1029">
        <v>0</v>
      </c>
      <c r="AG93" s="1030">
        <v>0</v>
      </c>
      <c r="AH93" s="1030">
        <v>1468292.04</v>
      </c>
      <c r="AI93" s="1030">
        <v>436689.75</v>
      </c>
      <c r="AJ93" s="1030">
        <v>0</v>
      </c>
      <c r="AK93" s="1031">
        <v>1904981.79</v>
      </c>
    </row>
    <row r="94" spans="1:37">
      <c r="A94" s="1111" t="s">
        <v>233</v>
      </c>
      <c r="B94" s="1040" t="s">
        <v>234</v>
      </c>
      <c r="C94" s="1023">
        <f t="shared" si="5"/>
        <v>331558.96999999997</v>
      </c>
      <c r="D94" s="1024">
        <f t="shared" si="6"/>
        <v>1780712.04</v>
      </c>
      <c r="E94" s="1024">
        <f t="shared" si="7"/>
        <v>739395.36</v>
      </c>
      <c r="F94" s="1024">
        <f t="shared" si="8"/>
        <v>739395.49</v>
      </c>
      <c r="G94" s="1025">
        <f t="shared" si="8"/>
        <v>-0.13</v>
      </c>
      <c r="H94" s="1029">
        <v>150992.5</v>
      </c>
      <c r="I94" s="1030">
        <v>13492.82</v>
      </c>
      <c r="J94" s="1030">
        <v>137499.59</v>
      </c>
      <c r="K94" s="1030">
        <v>0</v>
      </c>
      <c r="L94" s="1030">
        <v>-7.0000000000000007E-2</v>
      </c>
      <c r="M94" s="1031">
        <v>301984.84000000003</v>
      </c>
      <c r="N94" s="1029">
        <v>154420.76999999999</v>
      </c>
      <c r="O94" s="1030">
        <v>12652.88</v>
      </c>
      <c r="P94" s="1030">
        <v>141767.87</v>
      </c>
      <c r="Q94" s="1030">
        <v>0</v>
      </c>
      <c r="R94" s="1030">
        <v>-0.06</v>
      </c>
      <c r="S94" s="1031">
        <v>308841.46000000002</v>
      </c>
      <c r="T94" s="1029">
        <v>0</v>
      </c>
      <c r="U94" s="1030">
        <v>0</v>
      </c>
      <c r="V94" s="1030">
        <v>268873.37</v>
      </c>
      <c r="W94" s="1030">
        <v>0</v>
      </c>
      <c r="X94" s="1030">
        <v>0</v>
      </c>
      <c r="Y94" s="1031">
        <v>268873.37</v>
      </c>
      <c r="Z94" s="1032"/>
      <c r="AA94" s="1033"/>
      <c r="AB94" s="1033"/>
      <c r="AC94" s="1033"/>
      <c r="AD94" s="1033"/>
      <c r="AE94" s="1034"/>
      <c r="AF94" s="1029">
        <v>0</v>
      </c>
      <c r="AG94" s="1030">
        <v>0</v>
      </c>
      <c r="AH94" s="1030">
        <v>1232571.21</v>
      </c>
      <c r="AI94" s="1030">
        <v>739395.49</v>
      </c>
      <c r="AJ94" s="1030">
        <v>0</v>
      </c>
      <c r="AK94" s="1031">
        <v>1971966.7</v>
      </c>
    </row>
    <row r="95" spans="1:37">
      <c r="A95" s="1111" t="s">
        <v>235</v>
      </c>
      <c r="B95" s="1040" t="s">
        <v>236</v>
      </c>
      <c r="C95" s="1023">
        <f t="shared" si="5"/>
        <v>366664.56</v>
      </c>
      <c r="D95" s="1024">
        <f t="shared" si="6"/>
        <v>1174858.9300000002</v>
      </c>
      <c r="E95" s="1024">
        <f t="shared" si="7"/>
        <v>271982.38</v>
      </c>
      <c r="F95" s="1024">
        <f t="shared" si="8"/>
        <v>271982.51</v>
      </c>
      <c r="G95" s="1025">
        <f t="shared" si="8"/>
        <v>-0.13</v>
      </c>
      <c r="H95" s="1029">
        <v>254743.51</v>
      </c>
      <c r="I95" s="1030">
        <v>22028.49</v>
      </c>
      <c r="J95" s="1030">
        <v>232714.98</v>
      </c>
      <c r="K95" s="1030">
        <v>0</v>
      </c>
      <c r="L95" s="1030">
        <v>-0.11</v>
      </c>
      <c r="M95" s="1031">
        <v>509486.87</v>
      </c>
      <c r="N95" s="1029">
        <v>84050.74</v>
      </c>
      <c r="O95" s="1030">
        <v>5841.82</v>
      </c>
      <c r="P95" s="1030">
        <v>78208.91</v>
      </c>
      <c r="Q95" s="1030">
        <v>0</v>
      </c>
      <c r="R95" s="1030">
        <v>-0.02</v>
      </c>
      <c r="S95" s="1031">
        <v>168101.45</v>
      </c>
      <c r="T95" s="1029">
        <v>0</v>
      </c>
      <c r="U95" s="1030">
        <v>0</v>
      </c>
      <c r="V95" s="1030">
        <v>94423.9</v>
      </c>
      <c r="W95" s="1030">
        <v>0</v>
      </c>
      <c r="X95" s="1030">
        <v>0</v>
      </c>
      <c r="Y95" s="1031">
        <v>94423.9</v>
      </c>
      <c r="Z95" s="1032"/>
      <c r="AA95" s="1033"/>
      <c r="AB95" s="1033"/>
      <c r="AC95" s="1033"/>
      <c r="AD95" s="1033"/>
      <c r="AE95" s="1034"/>
      <c r="AF95" s="1029">
        <v>0</v>
      </c>
      <c r="AG95" s="1030">
        <v>0</v>
      </c>
      <c r="AH95" s="1030">
        <v>769511.14</v>
      </c>
      <c r="AI95" s="1030">
        <v>271982.51</v>
      </c>
      <c r="AJ95" s="1030">
        <v>0</v>
      </c>
      <c r="AK95" s="1031">
        <v>1041493.65</v>
      </c>
    </row>
    <row r="96" spans="1:37">
      <c r="A96" s="1111" t="s">
        <v>237</v>
      </c>
      <c r="B96" s="1040" t="s">
        <v>238</v>
      </c>
      <c r="C96" s="1023">
        <f t="shared" si="5"/>
        <v>26122.98</v>
      </c>
      <c r="D96" s="1024">
        <f t="shared" si="6"/>
        <v>605374.32000000007</v>
      </c>
      <c r="E96" s="1024">
        <f t="shared" si="7"/>
        <v>222938.50999999998</v>
      </c>
      <c r="F96" s="1024">
        <f t="shared" si="8"/>
        <v>222938.52</v>
      </c>
      <c r="G96" s="1025">
        <f t="shared" si="8"/>
        <v>-0.01</v>
      </c>
      <c r="H96" s="1029">
        <v>7737.14</v>
      </c>
      <c r="I96" s="1030">
        <v>940.6</v>
      </c>
      <c r="J96" s="1030">
        <v>6796.55</v>
      </c>
      <c r="K96" s="1030">
        <v>0</v>
      </c>
      <c r="L96" s="1030">
        <v>-0.01</v>
      </c>
      <c r="M96" s="1031">
        <v>15474.28</v>
      </c>
      <c r="N96" s="1029">
        <v>16081</v>
      </c>
      <c r="O96" s="1030">
        <v>1364.24</v>
      </c>
      <c r="P96" s="1030">
        <v>14716.76</v>
      </c>
      <c r="Q96" s="1030">
        <v>0</v>
      </c>
      <c r="R96" s="1030">
        <v>0</v>
      </c>
      <c r="S96" s="1031">
        <v>32162</v>
      </c>
      <c r="T96" s="1029">
        <v>0</v>
      </c>
      <c r="U96" s="1030">
        <v>0</v>
      </c>
      <c r="V96" s="1030">
        <v>46114</v>
      </c>
      <c r="W96" s="1030">
        <v>0</v>
      </c>
      <c r="X96" s="1030">
        <v>0</v>
      </c>
      <c r="Y96" s="1031">
        <v>46114</v>
      </c>
      <c r="Z96" s="1032"/>
      <c r="AA96" s="1033"/>
      <c r="AB96" s="1033"/>
      <c r="AC96" s="1033"/>
      <c r="AD96" s="1033"/>
      <c r="AE96" s="1034"/>
      <c r="AF96" s="1029">
        <v>0</v>
      </c>
      <c r="AG96" s="1030">
        <v>0</v>
      </c>
      <c r="AH96" s="1030">
        <v>537747.01</v>
      </c>
      <c r="AI96" s="1030">
        <v>222938.52</v>
      </c>
      <c r="AJ96" s="1030">
        <v>0</v>
      </c>
      <c r="AK96" s="1031">
        <v>760685.53</v>
      </c>
    </row>
    <row r="97" spans="1:37">
      <c r="A97" s="1111" t="s">
        <v>243</v>
      </c>
      <c r="B97" s="1040" t="s">
        <v>244</v>
      </c>
      <c r="C97" s="1023">
        <f t="shared" si="5"/>
        <v>661071.67000000004</v>
      </c>
      <c r="D97" s="1024">
        <f t="shared" si="6"/>
        <v>2112041.81</v>
      </c>
      <c r="E97" s="1024">
        <f t="shared" si="7"/>
        <v>428759.11</v>
      </c>
      <c r="F97" s="1024">
        <f t="shared" si="8"/>
        <v>428759.17</v>
      </c>
      <c r="G97" s="1025">
        <f t="shared" si="8"/>
        <v>-0.06</v>
      </c>
      <c r="H97" s="1029">
        <v>272792.63</v>
      </c>
      <c r="I97" s="1030">
        <v>24384.52</v>
      </c>
      <c r="J97" s="1030">
        <v>248408.06</v>
      </c>
      <c r="K97" s="1030">
        <v>0</v>
      </c>
      <c r="L97" s="1030">
        <v>-0.06</v>
      </c>
      <c r="M97" s="1031">
        <v>545585.15</v>
      </c>
      <c r="N97" s="1029">
        <v>337351.61</v>
      </c>
      <c r="O97" s="1030">
        <v>26542.91</v>
      </c>
      <c r="P97" s="1030">
        <v>310808.69</v>
      </c>
      <c r="Q97" s="1030">
        <v>0</v>
      </c>
      <c r="R97" s="1030">
        <v>0</v>
      </c>
      <c r="S97" s="1031">
        <v>674703.21</v>
      </c>
      <c r="T97" s="1029">
        <v>0</v>
      </c>
      <c r="U97" s="1030">
        <v>0</v>
      </c>
      <c r="V97" s="1030">
        <v>275707.05</v>
      </c>
      <c r="W97" s="1030">
        <v>0</v>
      </c>
      <c r="X97" s="1030">
        <v>0</v>
      </c>
      <c r="Y97" s="1031">
        <v>275707.05</v>
      </c>
      <c r="Z97" s="1032"/>
      <c r="AA97" s="1033"/>
      <c r="AB97" s="1033"/>
      <c r="AC97" s="1033"/>
      <c r="AD97" s="1033"/>
      <c r="AE97" s="1034"/>
      <c r="AF97" s="1029">
        <v>0</v>
      </c>
      <c r="AG97" s="1030">
        <v>0</v>
      </c>
      <c r="AH97" s="1030">
        <v>1277118.01</v>
      </c>
      <c r="AI97" s="1030">
        <v>428759.17</v>
      </c>
      <c r="AJ97" s="1030">
        <v>0</v>
      </c>
      <c r="AK97" s="1031">
        <v>1705877.18</v>
      </c>
    </row>
    <row r="98" spans="1:37">
      <c r="A98" s="1111" t="s">
        <v>245</v>
      </c>
      <c r="B98" s="1040" t="s">
        <v>246</v>
      </c>
      <c r="C98" s="1023">
        <f t="shared" si="5"/>
        <v>551310.1</v>
      </c>
      <c r="D98" s="1024">
        <f t="shared" si="6"/>
        <v>2361046.6399999997</v>
      </c>
      <c r="E98" s="1024">
        <f t="shared" si="7"/>
        <v>631855.13</v>
      </c>
      <c r="F98" s="1024">
        <f t="shared" si="8"/>
        <v>631855.21</v>
      </c>
      <c r="G98" s="1025">
        <f t="shared" si="8"/>
        <v>-0.08</v>
      </c>
      <c r="H98" s="1029">
        <v>357065.23</v>
      </c>
      <c r="I98" s="1030">
        <v>27015.24</v>
      </c>
      <c r="J98" s="1030">
        <v>330049.91999999998</v>
      </c>
      <c r="K98" s="1030">
        <v>0</v>
      </c>
      <c r="L98" s="1030">
        <v>-0.08</v>
      </c>
      <c r="M98" s="1031">
        <v>714130.31</v>
      </c>
      <c r="N98" s="1029">
        <v>154905.1</v>
      </c>
      <c r="O98" s="1030">
        <v>12324.53</v>
      </c>
      <c r="P98" s="1030">
        <v>142580.56</v>
      </c>
      <c r="Q98" s="1030">
        <v>0</v>
      </c>
      <c r="R98" s="1030">
        <v>0</v>
      </c>
      <c r="S98" s="1031">
        <v>309810.19</v>
      </c>
      <c r="T98" s="1029">
        <v>0</v>
      </c>
      <c r="U98" s="1030">
        <v>0</v>
      </c>
      <c r="V98" s="1030">
        <v>117983</v>
      </c>
      <c r="W98" s="1030">
        <v>0</v>
      </c>
      <c r="X98" s="1030">
        <v>0</v>
      </c>
      <c r="Y98" s="1031">
        <v>117983</v>
      </c>
      <c r="Z98" s="1032"/>
      <c r="AA98" s="1033"/>
      <c r="AB98" s="1033"/>
      <c r="AC98" s="1033"/>
      <c r="AD98" s="1033"/>
      <c r="AE98" s="1034"/>
      <c r="AF98" s="1029">
        <v>0</v>
      </c>
      <c r="AG98" s="1030">
        <v>0</v>
      </c>
      <c r="AH98" s="1030">
        <v>1770433.16</v>
      </c>
      <c r="AI98" s="1030">
        <v>631855.21</v>
      </c>
      <c r="AJ98" s="1030">
        <v>0</v>
      </c>
      <c r="AK98" s="1031">
        <v>2402288.37</v>
      </c>
    </row>
    <row r="99" spans="1:37">
      <c r="A99" s="1111" t="s">
        <v>247</v>
      </c>
      <c r="B99" s="1040" t="s">
        <v>389</v>
      </c>
      <c r="C99" s="1023">
        <f t="shared" si="5"/>
        <v>143133.71</v>
      </c>
      <c r="D99" s="1024">
        <f t="shared" si="6"/>
        <v>899117.87000000011</v>
      </c>
      <c r="E99" s="1024">
        <f t="shared" si="7"/>
        <v>402900.52999999997</v>
      </c>
      <c r="F99" s="1024">
        <f t="shared" si="8"/>
        <v>398423.23</v>
      </c>
      <c r="G99" s="1025">
        <f t="shared" si="8"/>
        <v>4477.3</v>
      </c>
      <c r="H99" s="1029">
        <v>41821.370000000003</v>
      </c>
      <c r="I99" s="1030">
        <v>3369.75</v>
      </c>
      <c r="J99" s="1030">
        <v>38451.61</v>
      </c>
      <c r="K99" s="1030">
        <v>0</v>
      </c>
      <c r="L99" s="1030">
        <v>33.299999999999997</v>
      </c>
      <c r="M99" s="1031">
        <v>83676.03</v>
      </c>
      <c r="N99" s="1029">
        <v>90555.73</v>
      </c>
      <c r="O99" s="1030">
        <v>7386.86</v>
      </c>
      <c r="P99" s="1030">
        <v>83168.87</v>
      </c>
      <c r="Q99" s="1030">
        <v>0</v>
      </c>
      <c r="R99" s="1030">
        <v>4444</v>
      </c>
      <c r="S99" s="1031">
        <v>185555.46</v>
      </c>
      <c r="T99" s="1029">
        <v>0</v>
      </c>
      <c r="U99" s="1030">
        <v>0</v>
      </c>
      <c r="V99" s="1030">
        <v>52069.2</v>
      </c>
      <c r="W99" s="1030">
        <v>0</v>
      </c>
      <c r="X99" s="1030">
        <v>0</v>
      </c>
      <c r="Y99" s="1031">
        <v>52069.2</v>
      </c>
      <c r="Z99" s="1032"/>
      <c r="AA99" s="1033"/>
      <c r="AB99" s="1033"/>
      <c r="AC99" s="1033"/>
      <c r="AD99" s="1033"/>
      <c r="AE99" s="1034"/>
      <c r="AF99" s="1029">
        <v>0</v>
      </c>
      <c r="AG99" s="1030">
        <v>0</v>
      </c>
      <c r="AH99" s="1030">
        <v>725428.19000000006</v>
      </c>
      <c r="AI99" s="1030">
        <v>398423.23</v>
      </c>
      <c r="AJ99" s="1030">
        <v>0</v>
      </c>
      <c r="AK99" s="1031">
        <v>1123851.4200000002</v>
      </c>
    </row>
    <row r="100" spans="1:37">
      <c r="A100" s="1111" t="s">
        <v>14</v>
      </c>
      <c r="B100" s="1040" t="s">
        <v>15</v>
      </c>
      <c r="C100" s="1023">
        <f t="shared" si="5"/>
        <v>1808357.16</v>
      </c>
      <c r="D100" s="1024">
        <f t="shared" si="6"/>
        <v>7663869.2000000002</v>
      </c>
      <c r="E100" s="1024">
        <f t="shared" si="7"/>
        <v>4538400.38</v>
      </c>
      <c r="F100" s="1024">
        <f t="shared" si="8"/>
        <v>4665480.21</v>
      </c>
      <c r="G100" s="1025">
        <f t="shared" si="8"/>
        <v>-127079.83000000002</v>
      </c>
      <c r="H100" s="1029">
        <v>732137.97</v>
      </c>
      <c r="I100" s="1030">
        <v>57146.02</v>
      </c>
      <c r="J100" s="1030">
        <v>674991.79</v>
      </c>
      <c r="K100" s="1030">
        <v>0</v>
      </c>
      <c r="L100" s="1030">
        <v>-7.0000000000000007E-2</v>
      </c>
      <c r="M100" s="1031">
        <v>1464275.71</v>
      </c>
      <c r="N100" s="1029">
        <v>920439.24</v>
      </c>
      <c r="O100" s="1030">
        <v>98633.93</v>
      </c>
      <c r="P100" s="1030">
        <v>821805.27</v>
      </c>
      <c r="Q100" s="1030">
        <v>0</v>
      </c>
      <c r="R100" s="1030">
        <v>-98876.19</v>
      </c>
      <c r="S100" s="1031">
        <v>1742002.25</v>
      </c>
      <c r="T100" s="1029">
        <v>0</v>
      </c>
      <c r="U100" s="1030">
        <v>0</v>
      </c>
      <c r="V100" s="1030">
        <v>1480483.36</v>
      </c>
      <c r="W100" s="1030">
        <v>0</v>
      </c>
      <c r="X100" s="1030">
        <v>-28203.57</v>
      </c>
      <c r="Y100" s="1031">
        <v>1452279.79</v>
      </c>
      <c r="Z100" s="1032"/>
      <c r="AA100" s="1033"/>
      <c r="AB100" s="1033"/>
      <c r="AC100" s="1033"/>
      <c r="AD100" s="1033"/>
      <c r="AE100" s="1034"/>
      <c r="AF100" s="1029">
        <v>0</v>
      </c>
      <c r="AG100" s="1030">
        <v>0</v>
      </c>
      <c r="AH100" s="1030">
        <v>4686588.78</v>
      </c>
      <c r="AI100" s="1030">
        <v>4665480.21</v>
      </c>
      <c r="AJ100" s="1030">
        <v>0</v>
      </c>
      <c r="AK100" s="1031">
        <v>9352068.9900000002</v>
      </c>
    </row>
    <row r="101" spans="1:37">
      <c r="A101" s="1111" t="s">
        <v>35</v>
      </c>
      <c r="B101" s="1040" t="s">
        <v>36</v>
      </c>
      <c r="C101" s="1023">
        <f t="shared" si="5"/>
        <v>390691.30000000005</v>
      </c>
      <c r="D101" s="1024">
        <f t="shared" si="6"/>
        <v>1405910.55</v>
      </c>
      <c r="E101" s="1024">
        <f t="shared" si="7"/>
        <v>285613.36</v>
      </c>
      <c r="F101" s="1024">
        <f t="shared" si="8"/>
        <v>285613.44</v>
      </c>
      <c r="G101" s="1025">
        <f t="shared" si="8"/>
        <v>-0.08</v>
      </c>
      <c r="H101" s="1029">
        <v>303316.21000000002</v>
      </c>
      <c r="I101" s="1030">
        <v>24669.27</v>
      </c>
      <c r="J101" s="1030">
        <v>278646.90000000002</v>
      </c>
      <c r="K101" s="1030">
        <v>0</v>
      </c>
      <c r="L101" s="1030">
        <v>-0.08</v>
      </c>
      <c r="M101" s="1031">
        <v>606632.30000000005</v>
      </c>
      <c r="N101" s="1029">
        <v>58153.919999999998</v>
      </c>
      <c r="O101" s="1030">
        <v>4551.8999999999996</v>
      </c>
      <c r="P101" s="1030">
        <v>53602.01</v>
      </c>
      <c r="Q101" s="1030">
        <v>0</v>
      </c>
      <c r="R101" s="1030">
        <v>0</v>
      </c>
      <c r="S101" s="1031">
        <v>116307.83</v>
      </c>
      <c r="T101" s="1029">
        <v>0</v>
      </c>
      <c r="U101" s="1030">
        <v>0</v>
      </c>
      <c r="V101" s="1030">
        <v>215787.97</v>
      </c>
      <c r="W101" s="1030">
        <v>0</v>
      </c>
      <c r="X101" s="1030">
        <v>0</v>
      </c>
      <c r="Y101" s="1031">
        <v>215787.97</v>
      </c>
      <c r="Z101" s="1032"/>
      <c r="AA101" s="1033"/>
      <c r="AB101" s="1033"/>
      <c r="AC101" s="1033"/>
      <c r="AD101" s="1033"/>
      <c r="AE101" s="1034"/>
      <c r="AF101" s="1029">
        <v>0</v>
      </c>
      <c r="AG101" s="1030">
        <v>0</v>
      </c>
      <c r="AH101" s="1030">
        <v>857873.67</v>
      </c>
      <c r="AI101" s="1030">
        <v>285613.44</v>
      </c>
      <c r="AJ101" s="1030">
        <v>0</v>
      </c>
      <c r="AK101" s="1031">
        <v>1143487.1100000001</v>
      </c>
    </row>
    <row r="102" spans="1:37">
      <c r="A102" s="1111" t="s">
        <v>53</v>
      </c>
      <c r="B102" s="1040" t="s">
        <v>54</v>
      </c>
      <c r="C102" s="1023">
        <f t="shared" si="5"/>
        <v>1490845.27</v>
      </c>
      <c r="D102" s="1024">
        <f t="shared" si="6"/>
        <v>8102086.7800000003</v>
      </c>
      <c r="E102" s="1024">
        <f t="shared" si="7"/>
        <v>2490586.5099999998</v>
      </c>
      <c r="F102" s="1024">
        <f t="shared" si="8"/>
        <v>2489848.2999999998</v>
      </c>
      <c r="G102" s="1025">
        <f t="shared" si="8"/>
        <v>738.21</v>
      </c>
      <c r="H102" s="1029">
        <v>1054871.32</v>
      </c>
      <c r="I102" s="1030">
        <v>88385.45</v>
      </c>
      <c r="J102" s="1030">
        <v>966485.65</v>
      </c>
      <c r="K102" s="1030">
        <v>0</v>
      </c>
      <c r="L102" s="1030">
        <v>738.26</v>
      </c>
      <c r="M102" s="1031">
        <v>2110480.6800000002</v>
      </c>
      <c r="N102" s="1029">
        <v>322051.8</v>
      </c>
      <c r="O102" s="1030">
        <v>25536.7</v>
      </c>
      <c r="P102" s="1030">
        <v>296515.06</v>
      </c>
      <c r="Q102" s="1030">
        <v>0</v>
      </c>
      <c r="R102" s="1030">
        <v>-0.05</v>
      </c>
      <c r="S102" s="1031">
        <v>644103.51</v>
      </c>
      <c r="T102" s="1029">
        <v>0</v>
      </c>
      <c r="U102" s="1030">
        <v>0</v>
      </c>
      <c r="V102" s="1030">
        <v>924057.17</v>
      </c>
      <c r="W102" s="1030">
        <v>0</v>
      </c>
      <c r="X102" s="1030">
        <v>0</v>
      </c>
      <c r="Y102" s="1031">
        <v>924057.17</v>
      </c>
      <c r="Z102" s="1032"/>
      <c r="AA102" s="1033"/>
      <c r="AB102" s="1033"/>
      <c r="AC102" s="1033"/>
      <c r="AD102" s="1033"/>
      <c r="AE102" s="1034"/>
      <c r="AF102" s="1029">
        <v>0</v>
      </c>
      <c r="AG102" s="1030">
        <v>0</v>
      </c>
      <c r="AH102" s="1030">
        <v>5915028.9000000004</v>
      </c>
      <c r="AI102" s="1030">
        <v>2489848.2999999998</v>
      </c>
      <c r="AJ102" s="1030">
        <v>0</v>
      </c>
      <c r="AK102" s="1031">
        <v>8404877.1999999993</v>
      </c>
    </row>
    <row r="103" spans="1:37">
      <c r="A103" s="1111" t="s">
        <v>55</v>
      </c>
      <c r="B103" s="1040" t="s">
        <v>56</v>
      </c>
      <c r="C103" s="1023">
        <f t="shared" si="5"/>
        <v>866236.21000000008</v>
      </c>
      <c r="D103" s="1024">
        <f t="shared" si="6"/>
        <v>3972426.52</v>
      </c>
      <c r="E103" s="1024">
        <f t="shared" si="7"/>
        <v>1423197.4</v>
      </c>
      <c r="F103" s="1024">
        <f t="shared" si="8"/>
        <v>1423197.47</v>
      </c>
      <c r="G103" s="1025">
        <f t="shared" si="8"/>
        <v>-6.9999999999999993E-2</v>
      </c>
      <c r="H103" s="1029">
        <v>326139.26</v>
      </c>
      <c r="I103" s="1030">
        <v>26656.48</v>
      </c>
      <c r="J103" s="1030">
        <v>299482.67</v>
      </c>
      <c r="K103" s="1030">
        <v>0</v>
      </c>
      <c r="L103" s="1030">
        <v>-0.06</v>
      </c>
      <c r="M103" s="1031">
        <v>652278.35</v>
      </c>
      <c r="N103" s="1029">
        <v>473246.33</v>
      </c>
      <c r="O103" s="1030">
        <v>40194.14</v>
      </c>
      <c r="P103" s="1030">
        <v>433052.18</v>
      </c>
      <c r="Q103" s="1030">
        <v>0</v>
      </c>
      <c r="R103" s="1030">
        <v>-0.01</v>
      </c>
      <c r="S103" s="1031">
        <v>946492.64</v>
      </c>
      <c r="T103" s="1029">
        <v>0</v>
      </c>
      <c r="U103" s="1030">
        <v>0</v>
      </c>
      <c r="V103" s="1030">
        <v>604287.73</v>
      </c>
      <c r="W103" s="1030">
        <v>0</v>
      </c>
      <c r="X103" s="1030">
        <v>0</v>
      </c>
      <c r="Y103" s="1031">
        <v>604287.73</v>
      </c>
      <c r="Z103" s="1032"/>
      <c r="AA103" s="1033"/>
      <c r="AB103" s="1033"/>
      <c r="AC103" s="1033"/>
      <c r="AD103" s="1033"/>
      <c r="AE103" s="1034"/>
      <c r="AF103" s="1029">
        <v>0</v>
      </c>
      <c r="AG103" s="1030">
        <v>0</v>
      </c>
      <c r="AH103" s="1030">
        <v>2635603.94</v>
      </c>
      <c r="AI103" s="1030">
        <v>1423197.47</v>
      </c>
      <c r="AJ103" s="1030">
        <v>0</v>
      </c>
      <c r="AK103" s="1031">
        <v>4058801.41</v>
      </c>
    </row>
    <row r="104" spans="1:37">
      <c r="A104" s="1111" t="s">
        <v>67</v>
      </c>
      <c r="B104" s="1040" t="s">
        <v>68</v>
      </c>
      <c r="C104" s="1023">
        <f t="shared" si="5"/>
        <v>669669.69000000006</v>
      </c>
      <c r="D104" s="1024">
        <f t="shared" si="6"/>
        <v>3208915.88</v>
      </c>
      <c r="E104" s="1024">
        <f t="shared" si="7"/>
        <v>710238.29</v>
      </c>
      <c r="F104" s="1024">
        <f t="shared" si="8"/>
        <v>710238.38</v>
      </c>
      <c r="G104" s="1025">
        <f t="shared" si="8"/>
        <v>-0.09</v>
      </c>
      <c r="H104" s="1029">
        <v>425961.67</v>
      </c>
      <c r="I104" s="1030">
        <v>33490.44</v>
      </c>
      <c r="J104" s="1030">
        <v>392471.17</v>
      </c>
      <c r="K104" s="1030">
        <v>0</v>
      </c>
      <c r="L104" s="1030">
        <v>-0.09</v>
      </c>
      <c r="M104" s="1031">
        <v>851923.19</v>
      </c>
      <c r="N104" s="1029">
        <v>194855.7</v>
      </c>
      <c r="O104" s="1030">
        <v>15361.88</v>
      </c>
      <c r="P104" s="1030">
        <v>179493.82</v>
      </c>
      <c r="Q104" s="1030">
        <v>0</v>
      </c>
      <c r="R104" s="1030">
        <v>0</v>
      </c>
      <c r="S104" s="1031">
        <v>389711.4</v>
      </c>
      <c r="T104" s="1029">
        <v>0</v>
      </c>
      <c r="U104" s="1030">
        <v>0</v>
      </c>
      <c r="V104" s="1030">
        <v>249522</v>
      </c>
      <c r="W104" s="1030">
        <v>0</v>
      </c>
      <c r="X104" s="1030">
        <v>0</v>
      </c>
      <c r="Y104" s="1031">
        <v>249522</v>
      </c>
      <c r="Z104" s="1032"/>
      <c r="AA104" s="1033"/>
      <c r="AB104" s="1033"/>
      <c r="AC104" s="1033"/>
      <c r="AD104" s="1033"/>
      <c r="AE104" s="1034"/>
      <c r="AF104" s="1029">
        <v>0</v>
      </c>
      <c r="AG104" s="1030">
        <v>0</v>
      </c>
      <c r="AH104" s="1030">
        <v>2387428.89</v>
      </c>
      <c r="AI104" s="1030">
        <v>710238.38</v>
      </c>
      <c r="AJ104" s="1030">
        <v>0</v>
      </c>
      <c r="AK104" s="1031">
        <v>3097667.27</v>
      </c>
    </row>
    <row r="105" spans="1:37">
      <c r="A105" s="1111" t="s">
        <v>83</v>
      </c>
      <c r="B105" s="1040" t="s">
        <v>390</v>
      </c>
      <c r="C105" s="1023">
        <f t="shared" si="5"/>
        <v>25254.76</v>
      </c>
      <c r="D105" s="1024">
        <f t="shared" si="6"/>
        <v>226848.68000000002</v>
      </c>
      <c r="E105" s="1024">
        <f t="shared" si="7"/>
        <v>124993.47</v>
      </c>
      <c r="F105" s="1024">
        <f t="shared" si="8"/>
        <v>124993.49</v>
      </c>
      <c r="G105" s="1025">
        <f t="shared" si="8"/>
        <v>-0.02</v>
      </c>
      <c r="H105" s="1029">
        <v>23558.639999999999</v>
      </c>
      <c r="I105" s="1030">
        <v>1696.12</v>
      </c>
      <c r="J105" s="1030">
        <v>21862.48</v>
      </c>
      <c r="K105" s="1030">
        <v>0</v>
      </c>
      <c r="L105" s="1030">
        <v>-0.02</v>
      </c>
      <c r="M105" s="1031">
        <v>47117.22</v>
      </c>
      <c r="N105" s="1032"/>
      <c r="O105" s="1033"/>
      <c r="P105" s="1033"/>
      <c r="Q105" s="1033"/>
      <c r="R105" s="1033"/>
      <c r="S105" s="1034"/>
      <c r="T105" s="1029">
        <v>0</v>
      </c>
      <c r="U105" s="1030">
        <v>0</v>
      </c>
      <c r="V105" s="1030">
        <v>6839</v>
      </c>
      <c r="W105" s="1030">
        <v>0</v>
      </c>
      <c r="X105" s="1030">
        <v>0</v>
      </c>
      <c r="Y105" s="1031">
        <v>6839</v>
      </c>
      <c r="Z105" s="1032"/>
      <c r="AA105" s="1033"/>
      <c r="AB105" s="1033"/>
      <c r="AC105" s="1033"/>
      <c r="AD105" s="1033"/>
      <c r="AE105" s="1034"/>
      <c r="AF105" s="1029">
        <v>0</v>
      </c>
      <c r="AG105" s="1030">
        <v>0</v>
      </c>
      <c r="AH105" s="1030">
        <v>198147.20000000001</v>
      </c>
      <c r="AI105" s="1030">
        <v>124993.49</v>
      </c>
      <c r="AJ105" s="1030">
        <v>0</v>
      </c>
      <c r="AK105" s="1031">
        <v>323140.69</v>
      </c>
    </row>
    <row r="106" spans="1:37">
      <c r="A106" s="1111" t="s">
        <v>89</v>
      </c>
      <c r="B106" s="1040" t="s">
        <v>90</v>
      </c>
      <c r="C106" s="1023">
        <f t="shared" si="5"/>
        <v>372396.46</v>
      </c>
      <c r="D106" s="1024">
        <f t="shared" si="6"/>
        <v>1543762.4100000001</v>
      </c>
      <c r="E106" s="1024">
        <f t="shared" si="7"/>
        <v>488841.63</v>
      </c>
      <c r="F106" s="1024">
        <f t="shared" si="8"/>
        <v>488841.75</v>
      </c>
      <c r="G106" s="1025">
        <f t="shared" si="8"/>
        <v>-0.12</v>
      </c>
      <c r="H106" s="1029">
        <v>170879.76</v>
      </c>
      <c r="I106" s="1030">
        <v>13668.18</v>
      </c>
      <c r="J106" s="1030">
        <v>157211.56</v>
      </c>
      <c r="K106" s="1030">
        <v>0</v>
      </c>
      <c r="L106" s="1030">
        <v>-0.11</v>
      </c>
      <c r="M106" s="1031">
        <v>341759.39</v>
      </c>
      <c r="N106" s="1029">
        <v>174059.32</v>
      </c>
      <c r="O106" s="1030">
        <v>13789.2</v>
      </c>
      <c r="P106" s="1030">
        <v>160270.10999999999</v>
      </c>
      <c r="Q106" s="1030">
        <v>0</v>
      </c>
      <c r="R106" s="1030">
        <v>-0.01</v>
      </c>
      <c r="S106" s="1031">
        <v>348118.62</v>
      </c>
      <c r="T106" s="1029">
        <v>0</v>
      </c>
      <c r="U106" s="1030">
        <v>0</v>
      </c>
      <c r="V106" s="1030">
        <v>194891.46</v>
      </c>
      <c r="W106" s="1030">
        <v>0</v>
      </c>
      <c r="X106" s="1030">
        <v>0</v>
      </c>
      <c r="Y106" s="1031">
        <v>194891.46</v>
      </c>
      <c r="Z106" s="1032"/>
      <c r="AA106" s="1033"/>
      <c r="AB106" s="1033"/>
      <c r="AC106" s="1033"/>
      <c r="AD106" s="1033"/>
      <c r="AE106" s="1034"/>
      <c r="AF106" s="1029">
        <v>0</v>
      </c>
      <c r="AG106" s="1030">
        <v>0</v>
      </c>
      <c r="AH106" s="1030">
        <v>1031389.28</v>
      </c>
      <c r="AI106" s="1030">
        <v>488841.75</v>
      </c>
      <c r="AJ106" s="1030">
        <v>0</v>
      </c>
      <c r="AK106" s="1031">
        <v>1520231.03</v>
      </c>
    </row>
    <row r="107" spans="1:37">
      <c r="A107" s="1111" t="s">
        <v>91</v>
      </c>
      <c r="B107" s="1040" t="s">
        <v>92</v>
      </c>
      <c r="C107" s="1023">
        <f t="shared" si="5"/>
        <v>34584.67</v>
      </c>
      <c r="D107" s="1024">
        <f t="shared" si="6"/>
        <v>208024.53999999998</v>
      </c>
      <c r="E107" s="1024">
        <f t="shared" si="7"/>
        <v>28547.079999999998</v>
      </c>
      <c r="F107" s="1024">
        <f t="shared" si="8"/>
        <v>28547.1</v>
      </c>
      <c r="G107" s="1025">
        <f t="shared" si="8"/>
        <v>-0.02</v>
      </c>
      <c r="H107" s="1029">
        <v>3284.67</v>
      </c>
      <c r="I107" s="1030">
        <v>374.31</v>
      </c>
      <c r="J107" s="1030">
        <v>2910.36</v>
      </c>
      <c r="K107" s="1030">
        <v>0</v>
      </c>
      <c r="L107" s="1030">
        <v>0</v>
      </c>
      <c r="M107" s="1031">
        <v>6569.34</v>
      </c>
      <c r="N107" s="1029">
        <v>28794.639999999999</v>
      </c>
      <c r="O107" s="1030">
        <v>2131.0500000000002</v>
      </c>
      <c r="P107" s="1030">
        <v>26663.56</v>
      </c>
      <c r="Q107" s="1030">
        <v>0</v>
      </c>
      <c r="R107" s="1030">
        <v>-0.02</v>
      </c>
      <c r="S107" s="1031">
        <v>57589.23</v>
      </c>
      <c r="T107" s="1029">
        <v>0</v>
      </c>
      <c r="U107" s="1030">
        <v>0</v>
      </c>
      <c r="V107" s="1030">
        <v>28761.13</v>
      </c>
      <c r="W107" s="1030">
        <v>0</v>
      </c>
      <c r="X107" s="1030">
        <v>0</v>
      </c>
      <c r="Y107" s="1031">
        <v>28761.13</v>
      </c>
      <c r="Z107" s="1032"/>
      <c r="AA107" s="1033"/>
      <c r="AB107" s="1033"/>
      <c r="AC107" s="1033"/>
      <c r="AD107" s="1033"/>
      <c r="AE107" s="1034"/>
      <c r="AF107" s="1029">
        <v>0</v>
      </c>
      <c r="AG107" s="1030">
        <v>0</v>
      </c>
      <c r="AH107" s="1030">
        <v>149689.49</v>
      </c>
      <c r="AI107" s="1030">
        <v>28547.1</v>
      </c>
      <c r="AJ107" s="1030">
        <v>0</v>
      </c>
      <c r="AK107" s="1031">
        <v>178236.59</v>
      </c>
    </row>
    <row r="108" spans="1:37">
      <c r="A108" s="1111" t="s">
        <v>107</v>
      </c>
      <c r="B108" s="1040" t="s">
        <v>108</v>
      </c>
      <c r="C108" s="1023">
        <f t="shared" si="5"/>
        <v>772035.01</v>
      </c>
      <c r="D108" s="1024">
        <f t="shared" si="6"/>
        <v>8158371.6399999997</v>
      </c>
      <c r="E108" s="1024">
        <f t="shared" si="7"/>
        <v>1481761.6</v>
      </c>
      <c r="F108" s="1024">
        <f t="shared" si="8"/>
        <v>1481761.6</v>
      </c>
      <c r="G108" s="1025">
        <f t="shared" si="8"/>
        <v>0</v>
      </c>
      <c r="H108" s="1029">
        <v>126757.51</v>
      </c>
      <c r="I108" s="1030">
        <v>9851.1</v>
      </c>
      <c r="J108" s="1030">
        <v>116906.4</v>
      </c>
      <c r="K108" s="1030">
        <v>0</v>
      </c>
      <c r="L108" s="1030">
        <v>0</v>
      </c>
      <c r="M108" s="1031">
        <v>253515.01</v>
      </c>
      <c r="N108" s="1029">
        <v>586546.02</v>
      </c>
      <c r="O108" s="1030">
        <v>48880.38</v>
      </c>
      <c r="P108" s="1030">
        <v>537665.64</v>
      </c>
      <c r="Q108" s="1030">
        <v>0</v>
      </c>
      <c r="R108" s="1030">
        <v>0</v>
      </c>
      <c r="S108" s="1031">
        <v>1173092.04</v>
      </c>
      <c r="T108" s="1029">
        <v>0</v>
      </c>
      <c r="U108" s="1030">
        <v>0</v>
      </c>
      <c r="V108" s="1030">
        <v>2193112.83</v>
      </c>
      <c r="W108" s="1030">
        <v>0</v>
      </c>
      <c r="X108" s="1030">
        <v>0</v>
      </c>
      <c r="Y108" s="1031">
        <v>2193112.83</v>
      </c>
      <c r="Z108" s="1032"/>
      <c r="AA108" s="1033"/>
      <c r="AB108" s="1033"/>
      <c r="AC108" s="1033"/>
      <c r="AD108" s="1033"/>
      <c r="AE108" s="1034"/>
      <c r="AF108" s="1029">
        <v>0</v>
      </c>
      <c r="AG108" s="1030">
        <v>0</v>
      </c>
      <c r="AH108" s="1030">
        <v>5310686.7699999996</v>
      </c>
      <c r="AI108" s="1030">
        <v>1481761.6</v>
      </c>
      <c r="AJ108" s="1030">
        <v>0</v>
      </c>
      <c r="AK108" s="1031">
        <v>6792448.3699999992</v>
      </c>
    </row>
    <row r="109" spans="1:37">
      <c r="A109" s="1111" t="s">
        <v>117</v>
      </c>
      <c r="B109" s="1040" t="s">
        <v>118</v>
      </c>
      <c r="C109" s="1023">
        <f t="shared" si="5"/>
        <v>321830.52999999997</v>
      </c>
      <c r="D109" s="1024">
        <f t="shared" si="6"/>
        <v>2665403.54</v>
      </c>
      <c r="E109" s="1024">
        <f t="shared" si="7"/>
        <v>752969.31</v>
      </c>
      <c r="F109" s="1024">
        <f t="shared" si="8"/>
        <v>752969.39</v>
      </c>
      <c r="G109" s="1025">
        <f t="shared" si="8"/>
        <v>-0.08</v>
      </c>
      <c r="H109" s="1029">
        <v>187901.98</v>
      </c>
      <c r="I109" s="1030">
        <v>15809.43</v>
      </c>
      <c r="J109" s="1030">
        <v>172092.46</v>
      </c>
      <c r="K109" s="1030">
        <v>0</v>
      </c>
      <c r="L109" s="1030">
        <v>-7.0000000000000007E-2</v>
      </c>
      <c r="M109" s="1031">
        <v>375803.8</v>
      </c>
      <c r="N109" s="1029">
        <v>109366.58</v>
      </c>
      <c r="O109" s="1030">
        <v>8752.5400000000009</v>
      </c>
      <c r="P109" s="1030">
        <v>100614.04</v>
      </c>
      <c r="Q109" s="1030">
        <v>0</v>
      </c>
      <c r="R109" s="1030">
        <v>-0.01</v>
      </c>
      <c r="S109" s="1031">
        <v>218733.15</v>
      </c>
      <c r="T109" s="1029">
        <v>0</v>
      </c>
      <c r="U109" s="1030">
        <v>0</v>
      </c>
      <c r="V109" s="1030">
        <v>30198</v>
      </c>
      <c r="W109" s="1030">
        <v>0</v>
      </c>
      <c r="X109" s="1030">
        <v>0</v>
      </c>
      <c r="Y109" s="1031">
        <v>30198</v>
      </c>
      <c r="Z109" s="1032"/>
      <c r="AA109" s="1033"/>
      <c r="AB109" s="1033"/>
      <c r="AC109" s="1033"/>
      <c r="AD109" s="1033"/>
      <c r="AE109" s="1034"/>
      <c r="AF109" s="1029">
        <v>0</v>
      </c>
      <c r="AG109" s="1030">
        <v>0</v>
      </c>
      <c r="AH109" s="1030">
        <v>2362499.04</v>
      </c>
      <c r="AI109" s="1030">
        <v>752969.39</v>
      </c>
      <c r="AJ109" s="1030">
        <v>0</v>
      </c>
      <c r="AK109" s="1031">
        <v>3115468.43</v>
      </c>
    </row>
    <row r="110" spans="1:37">
      <c r="A110" s="1111" t="s">
        <v>139</v>
      </c>
      <c r="B110" s="1040" t="s">
        <v>140</v>
      </c>
      <c r="C110" s="1023">
        <f t="shared" si="5"/>
        <v>1682892.44</v>
      </c>
      <c r="D110" s="1024">
        <f t="shared" si="6"/>
        <v>6844334.8799999999</v>
      </c>
      <c r="E110" s="1024">
        <f t="shared" si="7"/>
        <v>986599.29999999993</v>
      </c>
      <c r="F110" s="1024">
        <f t="shared" si="8"/>
        <v>1016726.73</v>
      </c>
      <c r="G110" s="1025">
        <f t="shared" si="8"/>
        <v>-30127.43</v>
      </c>
      <c r="H110" s="1029">
        <v>644823.81000000006</v>
      </c>
      <c r="I110" s="1030">
        <v>52454.7</v>
      </c>
      <c r="J110" s="1030">
        <v>592369.05000000005</v>
      </c>
      <c r="K110" s="1030">
        <v>0</v>
      </c>
      <c r="L110" s="1030">
        <v>-0.16</v>
      </c>
      <c r="M110" s="1031">
        <v>1289647.3999999999</v>
      </c>
      <c r="N110" s="1029">
        <v>912263.55</v>
      </c>
      <c r="O110" s="1030">
        <v>73350.38</v>
      </c>
      <c r="P110" s="1030">
        <v>838913.12</v>
      </c>
      <c r="Q110" s="1030">
        <v>0</v>
      </c>
      <c r="R110" s="1030">
        <v>-26210.560000000001</v>
      </c>
      <c r="S110" s="1031">
        <v>1798316.49</v>
      </c>
      <c r="T110" s="1029">
        <v>0</v>
      </c>
      <c r="U110" s="1030">
        <v>0</v>
      </c>
      <c r="V110" s="1030">
        <v>2792836.5</v>
      </c>
      <c r="W110" s="1030">
        <v>0</v>
      </c>
      <c r="X110" s="1030">
        <v>-3916.71</v>
      </c>
      <c r="Y110" s="1031">
        <v>2788919.79</v>
      </c>
      <c r="Z110" s="1032"/>
      <c r="AA110" s="1033"/>
      <c r="AB110" s="1033"/>
      <c r="AC110" s="1033"/>
      <c r="AD110" s="1033"/>
      <c r="AE110" s="1034"/>
      <c r="AF110" s="1029">
        <v>0</v>
      </c>
      <c r="AG110" s="1030">
        <v>0</v>
      </c>
      <c r="AH110" s="1030">
        <v>2620216.21</v>
      </c>
      <c r="AI110" s="1030">
        <v>1016726.73</v>
      </c>
      <c r="AJ110" s="1030">
        <v>0</v>
      </c>
      <c r="AK110" s="1031">
        <v>3636942.94</v>
      </c>
    </row>
    <row r="111" spans="1:37">
      <c r="A111" s="1111" t="s">
        <v>143</v>
      </c>
      <c r="B111" s="1040" t="s">
        <v>144</v>
      </c>
      <c r="C111" s="1023">
        <f t="shared" si="5"/>
        <v>88774.1</v>
      </c>
      <c r="D111" s="1024">
        <f t="shared" si="6"/>
        <v>596095.65999999992</v>
      </c>
      <c r="E111" s="1024">
        <f t="shared" si="7"/>
        <v>361754.83999999997</v>
      </c>
      <c r="F111" s="1024">
        <f t="shared" si="8"/>
        <v>361754.86</v>
      </c>
      <c r="G111" s="1025">
        <f t="shared" si="8"/>
        <v>-0.02</v>
      </c>
      <c r="H111" s="1029">
        <v>27901.59</v>
      </c>
      <c r="I111" s="1030">
        <v>1918.41</v>
      </c>
      <c r="J111" s="1030">
        <v>25983.19</v>
      </c>
      <c r="K111" s="1030">
        <v>0</v>
      </c>
      <c r="L111" s="1030">
        <v>-0.01</v>
      </c>
      <c r="M111" s="1031">
        <v>55803.18</v>
      </c>
      <c r="N111" s="1029">
        <v>54908.83</v>
      </c>
      <c r="O111" s="1030">
        <v>4045.27</v>
      </c>
      <c r="P111" s="1030">
        <v>50863.57</v>
      </c>
      <c r="Q111" s="1030">
        <v>0</v>
      </c>
      <c r="R111" s="1030">
        <v>-0.01</v>
      </c>
      <c r="S111" s="1031">
        <v>109817.66</v>
      </c>
      <c r="T111" s="1029">
        <v>0</v>
      </c>
      <c r="U111" s="1030">
        <v>0</v>
      </c>
      <c r="V111" s="1030">
        <v>59362.68</v>
      </c>
      <c r="W111" s="1030">
        <v>0</v>
      </c>
      <c r="X111" s="1030">
        <v>0</v>
      </c>
      <c r="Y111" s="1031">
        <v>59362.68</v>
      </c>
      <c r="Z111" s="1032"/>
      <c r="AA111" s="1033"/>
      <c r="AB111" s="1033"/>
      <c r="AC111" s="1033"/>
      <c r="AD111" s="1033"/>
      <c r="AE111" s="1034"/>
      <c r="AF111" s="1029">
        <v>0</v>
      </c>
      <c r="AG111" s="1030">
        <v>0</v>
      </c>
      <c r="AH111" s="1030">
        <v>459886.22</v>
      </c>
      <c r="AI111" s="1030">
        <v>361754.86</v>
      </c>
      <c r="AJ111" s="1030">
        <v>0</v>
      </c>
      <c r="AK111" s="1031">
        <v>821641.08</v>
      </c>
    </row>
    <row r="112" spans="1:37">
      <c r="A112" s="1111" t="s">
        <v>145</v>
      </c>
      <c r="B112" s="1040" t="s">
        <v>146</v>
      </c>
      <c r="C112" s="1023">
        <f t="shared" si="5"/>
        <v>26107.18</v>
      </c>
      <c r="D112" s="1024">
        <f t="shared" si="6"/>
        <v>453043.86</v>
      </c>
      <c r="E112" s="1024">
        <f t="shared" si="7"/>
        <v>279560.32000000001</v>
      </c>
      <c r="F112" s="1024">
        <f t="shared" si="8"/>
        <v>279560.32000000001</v>
      </c>
      <c r="G112" s="1025">
        <f t="shared" si="8"/>
        <v>0</v>
      </c>
      <c r="H112" s="1029">
        <v>3746.58</v>
      </c>
      <c r="I112" s="1030">
        <v>327.99</v>
      </c>
      <c r="J112" s="1030">
        <v>3418.62</v>
      </c>
      <c r="K112" s="1030">
        <v>0</v>
      </c>
      <c r="L112" s="1030">
        <v>0</v>
      </c>
      <c r="M112" s="1031">
        <v>7493.19</v>
      </c>
      <c r="N112" s="1029">
        <v>20313</v>
      </c>
      <c r="O112" s="1030">
        <v>1719.61</v>
      </c>
      <c r="P112" s="1030">
        <v>18593.39</v>
      </c>
      <c r="Q112" s="1030">
        <v>0</v>
      </c>
      <c r="R112" s="1030">
        <v>0</v>
      </c>
      <c r="S112" s="1031">
        <v>40626</v>
      </c>
      <c r="T112" s="1029">
        <v>0</v>
      </c>
      <c r="U112" s="1030">
        <v>0</v>
      </c>
      <c r="V112" s="1030">
        <v>6672</v>
      </c>
      <c r="W112" s="1030">
        <v>0</v>
      </c>
      <c r="X112" s="1030">
        <v>0</v>
      </c>
      <c r="Y112" s="1031">
        <v>6672</v>
      </c>
      <c r="Z112" s="1032"/>
      <c r="AA112" s="1033"/>
      <c r="AB112" s="1033"/>
      <c r="AC112" s="1033"/>
      <c r="AD112" s="1033"/>
      <c r="AE112" s="1034"/>
      <c r="AF112" s="1029">
        <v>0</v>
      </c>
      <c r="AG112" s="1030">
        <v>0</v>
      </c>
      <c r="AH112" s="1030">
        <v>424359.85</v>
      </c>
      <c r="AI112" s="1030">
        <v>279560.32000000001</v>
      </c>
      <c r="AJ112" s="1030">
        <v>0</v>
      </c>
      <c r="AK112" s="1031">
        <v>703920.16999999993</v>
      </c>
    </row>
    <row r="113" spans="1:37">
      <c r="A113" s="1111" t="s">
        <v>159</v>
      </c>
      <c r="B113" s="1040" t="s">
        <v>160</v>
      </c>
      <c r="C113" s="1023">
        <f t="shared" si="5"/>
        <v>2375522.46</v>
      </c>
      <c r="D113" s="1024">
        <f t="shared" si="6"/>
        <v>9260843.2800000012</v>
      </c>
      <c r="E113" s="1024">
        <f t="shared" si="7"/>
        <v>1871475.54</v>
      </c>
      <c r="F113" s="1024">
        <f t="shared" si="8"/>
        <v>1871475.69</v>
      </c>
      <c r="G113" s="1025">
        <f t="shared" si="8"/>
        <v>-0.15000000000000002</v>
      </c>
      <c r="H113" s="1029">
        <v>457051.16</v>
      </c>
      <c r="I113" s="1030">
        <v>38994.910000000003</v>
      </c>
      <c r="J113" s="1030">
        <v>418056.14</v>
      </c>
      <c r="K113" s="1030">
        <v>0</v>
      </c>
      <c r="L113" s="1030">
        <v>-0.1</v>
      </c>
      <c r="M113" s="1031">
        <v>914102.11</v>
      </c>
      <c r="N113" s="1029">
        <v>1733320.55</v>
      </c>
      <c r="O113" s="1030">
        <v>146155.84</v>
      </c>
      <c r="P113" s="1030">
        <v>1587164.71</v>
      </c>
      <c r="Q113" s="1030">
        <v>0</v>
      </c>
      <c r="R113" s="1030">
        <v>-0.05</v>
      </c>
      <c r="S113" s="1031">
        <v>3466641.05</v>
      </c>
      <c r="T113" s="1029">
        <v>0</v>
      </c>
      <c r="U113" s="1030">
        <v>0</v>
      </c>
      <c r="V113" s="1030">
        <v>1917673.19</v>
      </c>
      <c r="W113" s="1030">
        <v>0</v>
      </c>
      <c r="X113" s="1030">
        <v>0</v>
      </c>
      <c r="Y113" s="1031">
        <v>1917673.19</v>
      </c>
      <c r="Z113" s="1032"/>
      <c r="AA113" s="1033"/>
      <c r="AB113" s="1033"/>
      <c r="AC113" s="1033"/>
      <c r="AD113" s="1033"/>
      <c r="AE113" s="1034"/>
      <c r="AF113" s="1029">
        <v>0</v>
      </c>
      <c r="AG113" s="1030">
        <v>0</v>
      </c>
      <c r="AH113" s="1030">
        <v>5337949.24</v>
      </c>
      <c r="AI113" s="1030">
        <v>1871475.69</v>
      </c>
      <c r="AJ113" s="1030">
        <v>0</v>
      </c>
      <c r="AK113" s="1031">
        <v>7209424.9299999997</v>
      </c>
    </row>
    <row r="114" spans="1:37">
      <c r="A114" s="1111" t="s">
        <v>161</v>
      </c>
      <c r="B114" s="1040" t="s">
        <v>162</v>
      </c>
      <c r="C114" s="1023">
        <f t="shared" si="5"/>
        <v>2233464.2800000003</v>
      </c>
      <c r="D114" s="1024">
        <f t="shared" si="6"/>
        <v>11099256.76</v>
      </c>
      <c r="E114" s="1024">
        <f t="shared" si="7"/>
        <v>2519692.88</v>
      </c>
      <c r="F114" s="1024">
        <f t="shared" si="8"/>
        <v>2519693.06</v>
      </c>
      <c r="G114" s="1025">
        <f t="shared" si="8"/>
        <v>-0.18</v>
      </c>
      <c r="H114" s="1029">
        <v>1388260.11</v>
      </c>
      <c r="I114" s="1030">
        <v>113551.35</v>
      </c>
      <c r="J114" s="1030">
        <v>1274708.6499999999</v>
      </c>
      <c r="K114" s="1030">
        <v>0</v>
      </c>
      <c r="L114" s="1030">
        <v>-0.12</v>
      </c>
      <c r="M114" s="1031">
        <v>2776519.99</v>
      </c>
      <c r="N114" s="1029">
        <v>675201.37</v>
      </c>
      <c r="O114" s="1030">
        <v>56451.45</v>
      </c>
      <c r="P114" s="1030">
        <v>618749.9</v>
      </c>
      <c r="Q114" s="1030">
        <v>0</v>
      </c>
      <c r="R114" s="1030">
        <v>-0.06</v>
      </c>
      <c r="S114" s="1031">
        <v>1350402.66</v>
      </c>
      <c r="T114" s="1029">
        <v>0</v>
      </c>
      <c r="U114" s="1030">
        <v>0</v>
      </c>
      <c r="V114" s="1030">
        <v>1400527.02</v>
      </c>
      <c r="W114" s="1030">
        <v>0</v>
      </c>
      <c r="X114" s="1030">
        <v>0</v>
      </c>
      <c r="Y114" s="1031">
        <v>1400527.02</v>
      </c>
      <c r="Z114" s="1032"/>
      <c r="AA114" s="1033"/>
      <c r="AB114" s="1033"/>
      <c r="AC114" s="1033"/>
      <c r="AD114" s="1033"/>
      <c r="AE114" s="1034"/>
      <c r="AF114" s="1029">
        <v>0</v>
      </c>
      <c r="AG114" s="1030">
        <v>0</v>
      </c>
      <c r="AH114" s="1030">
        <v>7805271.1900000004</v>
      </c>
      <c r="AI114" s="1030">
        <v>2519693.06</v>
      </c>
      <c r="AJ114" s="1030">
        <v>0</v>
      </c>
      <c r="AK114" s="1031">
        <v>10324964.25</v>
      </c>
    </row>
    <row r="115" spans="1:37">
      <c r="A115" s="1111" t="s">
        <v>167</v>
      </c>
      <c r="B115" s="1040" t="s">
        <v>168</v>
      </c>
      <c r="C115" s="1023">
        <f t="shared" si="5"/>
        <v>44045.109999999993</v>
      </c>
      <c r="D115" s="1024">
        <f t="shared" si="6"/>
        <v>128512.88999999998</v>
      </c>
      <c r="E115" s="1024">
        <f t="shared" si="7"/>
        <v>41178.85</v>
      </c>
      <c r="F115" s="1024">
        <f t="shared" si="8"/>
        <v>41178.879999999997</v>
      </c>
      <c r="G115" s="1025">
        <f t="shared" si="8"/>
        <v>-0.03</v>
      </c>
      <c r="H115" s="1029">
        <v>10186.030000000001</v>
      </c>
      <c r="I115" s="1030">
        <v>776.47</v>
      </c>
      <c r="J115" s="1030">
        <v>9409.56</v>
      </c>
      <c r="K115" s="1030">
        <v>0</v>
      </c>
      <c r="L115" s="1030">
        <v>-0.02</v>
      </c>
      <c r="M115" s="1031">
        <v>20372.04</v>
      </c>
      <c r="N115" s="1029">
        <v>30524.48</v>
      </c>
      <c r="O115" s="1030">
        <v>2558.13</v>
      </c>
      <c r="P115" s="1030">
        <v>27966.35</v>
      </c>
      <c r="Q115" s="1030">
        <v>0</v>
      </c>
      <c r="R115" s="1030">
        <v>-0.01</v>
      </c>
      <c r="S115" s="1031">
        <v>61048.95</v>
      </c>
      <c r="T115" s="1029">
        <v>0</v>
      </c>
      <c r="U115" s="1030">
        <v>0</v>
      </c>
      <c r="V115" s="1030">
        <v>6528</v>
      </c>
      <c r="W115" s="1030">
        <v>0</v>
      </c>
      <c r="X115" s="1030">
        <v>0</v>
      </c>
      <c r="Y115" s="1031">
        <v>6528</v>
      </c>
      <c r="Z115" s="1032"/>
      <c r="AA115" s="1033"/>
      <c r="AB115" s="1033"/>
      <c r="AC115" s="1033"/>
      <c r="AD115" s="1033"/>
      <c r="AE115" s="1034"/>
      <c r="AF115" s="1029">
        <v>0</v>
      </c>
      <c r="AG115" s="1030">
        <v>0</v>
      </c>
      <c r="AH115" s="1030">
        <v>84608.98</v>
      </c>
      <c r="AI115" s="1030">
        <v>41178.879999999997</v>
      </c>
      <c r="AJ115" s="1030">
        <v>0</v>
      </c>
      <c r="AK115" s="1031">
        <v>125787.85999999999</v>
      </c>
    </row>
    <row r="116" spans="1:37">
      <c r="A116" s="1111" t="s">
        <v>177</v>
      </c>
      <c r="B116" s="1040" t="s">
        <v>178</v>
      </c>
      <c r="C116" s="1023">
        <f t="shared" si="5"/>
        <v>952094.02</v>
      </c>
      <c r="D116" s="1024">
        <f t="shared" si="6"/>
        <v>3476045.24</v>
      </c>
      <c r="E116" s="1024">
        <f t="shared" si="7"/>
        <v>1339354.68</v>
      </c>
      <c r="F116" s="1024">
        <f t="shared" si="8"/>
        <v>1339354.72</v>
      </c>
      <c r="G116" s="1025">
        <f t="shared" si="8"/>
        <v>-0.04</v>
      </c>
      <c r="H116" s="1029">
        <v>496432.44</v>
      </c>
      <c r="I116" s="1030">
        <v>44697.88</v>
      </c>
      <c r="J116" s="1030">
        <v>451734.42</v>
      </c>
      <c r="K116" s="1030">
        <v>0</v>
      </c>
      <c r="L116" s="1030">
        <v>-0.03</v>
      </c>
      <c r="M116" s="1031">
        <v>992864.71</v>
      </c>
      <c r="N116" s="1029">
        <v>379285.21</v>
      </c>
      <c r="O116" s="1030">
        <v>31678.49</v>
      </c>
      <c r="P116" s="1030">
        <v>347606.72</v>
      </c>
      <c r="Q116" s="1030">
        <v>0</v>
      </c>
      <c r="R116" s="1030">
        <v>-0.01</v>
      </c>
      <c r="S116" s="1031">
        <v>758570.41</v>
      </c>
      <c r="T116" s="1029">
        <v>0</v>
      </c>
      <c r="U116" s="1030">
        <v>0</v>
      </c>
      <c r="V116" s="1030">
        <v>332794.90000000002</v>
      </c>
      <c r="W116" s="1030">
        <v>0</v>
      </c>
      <c r="X116" s="1030">
        <v>0</v>
      </c>
      <c r="Y116" s="1031">
        <v>332794.90000000002</v>
      </c>
      <c r="Z116" s="1032"/>
      <c r="AA116" s="1033"/>
      <c r="AB116" s="1033"/>
      <c r="AC116" s="1033"/>
      <c r="AD116" s="1033"/>
      <c r="AE116" s="1034"/>
      <c r="AF116" s="1029">
        <v>0</v>
      </c>
      <c r="AG116" s="1030">
        <v>0</v>
      </c>
      <c r="AH116" s="1030">
        <v>2343909.2000000002</v>
      </c>
      <c r="AI116" s="1030">
        <v>1339354.72</v>
      </c>
      <c r="AJ116" s="1030">
        <v>0</v>
      </c>
      <c r="AK116" s="1031">
        <v>3683263.92</v>
      </c>
    </row>
    <row r="117" spans="1:37">
      <c r="A117" s="1111" t="s">
        <v>181</v>
      </c>
      <c r="B117" s="1040" t="s">
        <v>182</v>
      </c>
      <c r="C117" s="1023">
        <f t="shared" si="5"/>
        <v>1005313.25</v>
      </c>
      <c r="D117" s="1024">
        <f t="shared" si="6"/>
        <v>5719250.7100000009</v>
      </c>
      <c r="E117" s="1024">
        <f t="shared" si="7"/>
        <v>1307954.5</v>
      </c>
      <c r="F117" s="1024">
        <f t="shared" si="8"/>
        <v>1302636.6000000001</v>
      </c>
      <c r="G117" s="1025">
        <f t="shared" si="8"/>
        <v>5317.9000000000005</v>
      </c>
      <c r="H117" s="1029">
        <v>479786.54</v>
      </c>
      <c r="I117" s="1030">
        <v>39745.78</v>
      </c>
      <c r="J117" s="1030">
        <v>440040.73</v>
      </c>
      <c r="K117" s="1030">
        <v>0</v>
      </c>
      <c r="L117" s="1030">
        <v>-0.11</v>
      </c>
      <c r="M117" s="1031">
        <v>959572.94</v>
      </c>
      <c r="N117" s="1029">
        <v>448753.91</v>
      </c>
      <c r="O117" s="1030">
        <v>37027.019999999997</v>
      </c>
      <c r="P117" s="1030">
        <v>411726.88</v>
      </c>
      <c r="Q117" s="1030">
        <v>0</v>
      </c>
      <c r="R117" s="1030">
        <v>5130.7</v>
      </c>
      <c r="S117" s="1031">
        <v>902638.51</v>
      </c>
      <c r="T117" s="1029">
        <v>0</v>
      </c>
      <c r="U117" s="1030">
        <v>0</v>
      </c>
      <c r="V117" s="1030">
        <v>1070089.3600000001</v>
      </c>
      <c r="W117" s="1030">
        <v>0</v>
      </c>
      <c r="X117" s="1030">
        <v>187.31</v>
      </c>
      <c r="Y117" s="1031">
        <v>1070276.67</v>
      </c>
      <c r="Z117" s="1032"/>
      <c r="AA117" s="1033"/>
      <c r="AB117" s="1033"/>
      <c r="AC117" s="1033"/>
      <c r="AD117" s="1033"/>
      <c r="AE117" s="1034"/>
      <c r="AF117" s="1029">
        <v>0</v>
      </c>
      <c r="AG117" s="1030">
        <v>0</v>
      </c>
      <c r="AH117" s="1030">
        <v>3797393.74</v>
      </c>
      <c r="AI117" s="1030">
        <v>1302636.6000000001</v>
      </c>
      <c r="AJ117" s="1030">
        <v>0</v>
      </c>
      <c r="AK117" s="1031">
        <v>5100030.34</v>
      </c>
    </row>
    <row r="118" spans="1:37">
      <c r="A118" s="1111" t="s">
        <v>193</v>
      </c>
      <c r="B118" s="1040" t="s">
        <v>194</v>
      </c>
      <c r="C118" s="1023">
        <f t="shared" si="5"/>
        <v>93837.37999999999</v>
      </c>
      <c r="D118" s="1024">
        <f t="shared" si="6"/>
        <v>677526.07000000007</v>
      </c>
      <c r="E118" s="1024">
        <f t="shared" si="7"/>
        <v>114670.2</v>
      </c>
      <c r="F118" s="1024">
        <f t="shared" si="8"/>
        <v>114670.12</v>
      </c>
      <c r="G118" s="1025">
        <f t="shared" si="8"/>
        <v>0.08</v>
      </c>
      <c r="H118" s="1029">
        <v>52849.55</v>
      </c>
      <c r="I118" s="1030">
        <v>3906.33</v>
      </c>
      <c r="J118" s="1030">
        <v>48943.19</v>
      </c>
      <c r="K118" s="1030">
        <v>0</v>
      </c>
      <c r="L118" s="1030">
        <v>0.1</v>
      </c>
      <c r="M118" s="1031">
        <v>105699.17</v>
      </c>
      <c r="N118" s="1029">
        <v>34109.519999999997</v>
      </c>
      <c r="O118" s="1030">
        <v>2971.98</v>
      </c>
      <c r="P118" s="1030">
        <v>31137.54</v>
      </c>
      <c r="Q118" s="1030">
        <v>0</v>
      </c>
      <c r="R118" s="1030">
        <v>-0.02</v>
      </c>
      <c r="S118" s="1031">
        <v>68219.02</v>
      </c>
      <c r="T118" s="1029">
        <v>0</v>
      </c>
      <c r="U118" s="1030">
        <v>0</v>
      </c>
      <c r="V118" s="1030">
        <v>138625.26</v>
      </c>
      <c r="W118" s="1030">
        <v>0</v>
      </c>
      <c r="X118" s="1030">
        <v>0</v>
      </c>
      <c r="Y118" s="1031">
        <v>138625.26</v>
      </c>
      <c r="Z118" s="1032"/>
      <c r="AA118" s="1033"/>
      <c r="AB118" s="1033"/>
      <c r="AC118" s="1033"/>
      <c r="AD118" s="1033"/>
      <c r="AE118" s="1034"/>
      <c r="AF118" s="1029">
        <v>0</v>
      </c>
      <c r="AG118" s="1030">
        <v>0</v>
      </c>
      <c r="AH118" s="1030">
        <v>458820.08</v>
      </c>
      <c r="AI118" s="1030">
        <v>114670.12</v>
      </c>
      <c r="AJ118" s="1030">
        <v>0</v>
      </c>
      <c r="AK118" s="1031">
        <v>573490.19999999995</v>
      </c>
    </row>
    <row r="119" spans="1:37">
      <c r="A119" s="1111" t="s">
        <v>197</v>
      </c>
      <c r="B119" s="1040" t="s">
        <v>391</v>
      </c>
      <c r="C119" s="1023">
        <f t="shared" si="5"/>
        <v>4056501.04</v>
      </c>
      <c r="D119" s="1024">
        <f t="shared" si="6"/>
        <v>17828687.170000002</v>
      </c>
      <c r="E119" s="1024">
        <f t="shared" si="7"/>
        <v>5584261.3599999994</v>
      </c>
      <c r="F119" s="1024">
        <f t="shared" si="8"/>
        <v>5779271.3499999996</v>
      </c>
      <c r="G119" s="1025">
        <f t="shared" si="8"/>
        <v>-195009.99</v>
      </c>
      <c r="H119" s="1029">
        <v>2033243.74</v>
      </c>
      <c r="I119" s="1030">
        <v>159997.26</v>
      </c>
      <c r="J119" s="1030">
        <v>1873246.35</v>
      </c>
      <c r="K119" s="1030">
        <v>0</v>
      </c>
      <c r="L119" s="1030">
        <v>-0.22</v>
      </c>
      <c r="M119" s="1031">
        <v>4066487.13</v>
      </c>
      <c r="N119" s="1029">
        <v>1717250.52</v>
      </c>
      <c r="O119" s="1030">
        <v>146009.51999999999</v>
      </c>
      <c r="P119" s="1030">
        <v>1571240.99</v>
      </c>
      <c r="Q119" s="1030">
        <v>0</v>
      </c>
      <c r="R119" s="1030">
        <v>-195009.77</v>
      </c>
      <c r="S119" s="1031">
        <v>3239491.26</v>
      </c>
      <c r="T119" s="1029">
        <v>0</v>
      </c>
      <c r="U119" s="1030">
        <v>0</v>
      </c>
      <c r="V119" s="1030">
        <v>3566529.74</v>
      </c>
      <c r="W119" s="1030">
        <v>0</v>
      </c>
      <c r="X119" s="1030">
        <v>0</v>
      </c>
      <c r="Y119" s="1031">
        <v>3566529.74</v>
      </c>
      <c r="Z119" s="1032"/>
      <c r="AA119" s="1033"/>
      <c r="AB119" s="1033"/>
      <c r="AC119" s="1033"/>
      <c r="AD119" s="1033"/>
      <c r="AE119" s="1034"/>
      <c r="AF119" s="1029">
        <v>0</v>
      </c>
      <c r="AG119" s="1030">
        <v>0</v>
      </c>
      <c r="AH119" s="1030">
        <v>10817670.09</v>
      </c>
      <c r="AI119" s="1030">
        <v>5779271.3499999996</v>
      </c>
      <c r="AJ119" s="1030">
        <v>0</v>
      </c>
      <c r="AK119" s="1031">
        <v>16596941.439999999</v>
      </c>
    </row>
    <row r="120" spans="1:37">
      <c r="A120" s="1111" t="s">
        <v>201</v>
      </c>
      <c r="B120" s="1040" t="s">
        <v>392</v>
      </c>
      <c r="C120" s="1023">
        <f t="shared" si="5"/>
        <v>2790210.3000000003</v>
      </c>
      <c r="D120" s="1024">
        <f t="shared" si="6"/>
        <v>12737390.15</v>
      </c>
      <c r="E120" s="1024">
        <f t="shared" si="7"/>
        <v>3024311.27</v>
      </c>
      <c r="F120" s="1024">
        <f t="shared" si="8"/>
        <v>3024311.52</v>
      </c>
      <c r="G120" s="1025">
        <f t="shared" si="8"/>
        <v>-0.25</v>
      </c>
      <c r="H120" s="1029">
        <v>1688762.82</v>
      </c>
      <c r="I120" s="1030">
        <v>139437.1</v>
      </c>
      <c r="J120" s="1030">
        <v>1549325.56</v>
      </c>
      <c r="K120" s="1030">
        <v>0</v>
      </c>
      <c r="L120" s="1030">
        <v>-0.23</v>
      </c>
      <c r="M120" s="1031">
        <v>3377525.25</v>
      </c>
      <c r="N120" s="1029">
        <v>890077.55</v>
      </c>
      <c r="O120" s="1030">
        <v>71932.83</v>
      </c>
      <c r="P120" s="1030">
        <v>818144.7</v>
      </c>
      <c r="Q120" s="1030">
        <v>0</v>
      </c>
      <c r="R120" s="1030">
        <v>-0.02</v>
      </c>
      <c r="S120" s="1031">
        <v>1780155.06</v>
      </c>
      <c r="T120" s="1029">
        <v>0</v>
      </c>
      <c r="U120" s="1030">
        <v>0</v>
      </c>
      <c r="V120" s="1030">
        <v>3214954.49</v>
      </c>
      <c r="W120" s="1030">
        <v>0</v>
      </c>
      <c r="X120" s="1030">
        <v>0</v>
      </c>
      <c r="Y120" s="1031">
        <v>3214954.49</v>
      </c>
      <c r="Z120" s="1032"/>
      <c r="AA120" s="1033"/>
      <c r="AB120" s="1033"/>
      <c r="AC120" s="1033"/>
      <c r="AD120" s="1033"/>
      <c r="AE120" s="1034"/>
      <c r="AF120" s="1029">
        <v>0</v>
      </c>
      <c r="AG120" s="1030">
        <v>0</v>
      </c>
      <c r="AH120" s="1030">
        <v>7154965.4000000004</v>
      </c>
      <c r="AI120" s="1030">
        <v>3024311.52</v>
      </c>
      <c r="AJ120" s="1030">
        <v>0</v>
      </c>
      <c r="AK120" s="1031">
        <v>10179276.92</v>
      </c>
    </row>
    <row r="121" spans="1:37">
      <c r="A121" s="1111" t="s">
        <v>223</v>
      </c>
      <c r="B121" s="1040" t="s">
        <v>224</v>
      </c>
      <c r="C121" s="1023">
        <f t="shared" si="5"/>
        <v>305865.33</v>
      </c>
      <c r="D121" s="1024">
        <f t="shared" si="6"/>
        <v>1448189</v>
      </c>
      <c r="E121" s="1024">
        <f t="shared" si="7"/>
        <v>302883</v>
      </c>
      <c r="F121" s="1024">
        <f t="shared" si="8"/>
        <v>302883.07</v>
      </c>
      <c r="G121" s="1025">
        <f t="shared" si="8"/>
        <v>-7.0000000000000007E-2</v>
      </c>
      <c r="H121" s="1029">
        <v>200566.73</v>
      </c>
      <c r="I121" s="1030">
        <v>13586.58</v>
      </c>
      <c r="J121" s="1030">
        <v>186980.11</v>
      </c>
      <c r="K121" s="1030">
        <v>0</v>
      </c>
      <c r="L121" s="1030">
        <v>-7.0000000000000007E-2</v>
      </c>
      <c r="M121" s="1031">
        <v>401133.35</v>
      </c>
      <c r="N121" s="1029">
        <v>84476.33</v>
      </c>
      <c r="O121" s="1030">
        <v>7235.69</v>
      </c>
      <c r="P121" s="1030">
        <v>77240.639999999999</v>
      </c>
      <c r="Q121" s="1030">
        <v>0</v>
      </c>
      <c r="R121" s="1030">
        <v>0</v>
      </c>
      <c r="S121" s="1031">
        <v>168952.66</v>
      </c>
      <c r="T121" s="1029">
        <v>0</v>
      </c>
      <c r="U121" s="1030">
        <v>0</v>
      </c>
      <c r="V121" s="1030">
        <v>234775.89</v>
      </c>
      <c r="W121" s="1030">
        <v>0</v>
      </c>
      <c r="X121" s="1030">
        <v>0</v>
      </c>
      <c r="Y121" s="1031">
        <v>234775.89</v>
      </c>
      <c r="Z121" s="1032"/>
      <c r="AA121" s="1033"/>
      <c r="AB121" s="1033"/>
      <c r="AC121" s="1033"/>
      <c r="AD121" s="1033"/>
      <c r="AE121" s="1034"/>
      <c r="AF121" s="1029">
        <v>0</v>
      </c>
      <c r="AG121" s="1030">
        <v>0</v>
      </c>
      <c r="AH121" s="1030">
        <v>949192.36</v>
      </c>
      <c r="AI121" s="1030">
        <v>302883.07</v>
      </c>
      <c r="AJ121" s="1030">
        <v>0</v>
      </c>
      <c r="AK121" s="1031">
        <v>1252075.43</v>
      </c>
    </row>
    <row r="122" spans="1:37">
      <c r="A122" s="1111" t="s">
        <v>231</v>
      </c>
      <c r="B122" s="1040" t="s">
        <v>232</v>
      </c>
      <c r="C122" s="1023">
        <f t="shared" si="5"/>
        <v>2352731.3099999996</v>
      </c>
      <c r="D122" s="1024">
        <f t="shared" si="6"/>
        <v>12321049.870000001</v>
      </c>
      <c r="E122" s="1024">
        <f t="shared" si="7"/>
        <v>4565153.6900000004</v>
      </c>
      <c r="F122" s="1024">
        <f t="shared" si="8"/>
        <v>4565153.99</v>
      </c>
      <c r="G122" s="1025">
        <f t="shared" si="8"/>
        <v>-0.3</v>
      </c>
      <c r="H122" s="1029">
        <v>1539044.5</v>
      </c>
      <c r="I122" s="1030">
        <v>127670.38</v>
      </c>
      <c r="J122" s="1030">
        <v>1411373.93</v>
      </c>
      <c r="K122" s="1030">
        <v>0</v>
      </c>
      <c r="L122" s="1030">
        <v>-0.24</v>
      </c>
      <c r="M122" s="1031">
        <v>3078088.57</v>
      </c>
      <c r="N122" s="1029">
        <v>634577.92000000004</v>
      </c>
      <c r="O122" s="1030">
        <v>51438.51</v>
      </c>
      <c r="P122" s="1030">
        <v>583139.4</v>
      </c>
      <c r="Q122" s="1030">
        <v>0</v>
      </c>
      <c r="R122" s="1030">
        <v>-0.06</v>
      </c>
      <c r="S122" s="1031">
        <v>1269155.77</v>
      </c>
      <c r="T122" s="1029">
        <v>0</v>
      </c>
      <c r="U122" s="1030">
        <v>0</v>
      </c>
      <c r="V122" s="1030">
        <v>2499618.0499999998</v>
      </c>
      <c r="W122" s="1030">
        <v>0</v>
      </c>
      <c r="X122" s="1030">
        <v>0</v>
      </c>
      <c r="Y122" s="1031">
        <v>2499618.0499999998</v>
      </c>
      <c r="Z122" s="1032"/>
      <c r="AA122" s="1033"/>
      <c r="AB122" s="1033"/>
      <c r="AC122" s="1033"/>
      <c r="AD122" s="1033"/>
      <c r="AE122" s="1034"/>
      <c r="AF122" s="1029">
        <v>0</v>
      </c>
      <c r="AG122" s="1030">
        <v>0</v>
      </c>
      <c r="AH122" s="1030">
        <v>7826918.4900000002</v>
      </c>
      <c r="AI122" s="1030">
        <v>4565153.99</v>
      </c>
      <c r="AJ122" s="1030">
        <v>0</v>
      </c>
      <c r="AK122" s="1031">
        <v>12392072.48</v>
      </c>
    </row>
    <row r="123" spans="1:37">
      <c r="A123" s="1111" t="s">
        <v>239</v>
      </c>
      <c r="B123" s="1040" t="s">
        <v>240</v>
      </c>
      <c r="C123" s="1023">
        <f t="shared" si="5"/>
        <v>71631.460000000006</v>
      </c>
      <c r="D123" s="1024">
        <f t="shared" si="6"/>
        <v>177556.44</v>
      </c>
      <c r="E123" s="1024">
        <f t="shared" si="7"/>
        <v>102810.76999999999</v>
      </c>
      <c r="F123" s="1024">
        <f t="shared" si="8"/>
        <v>92198.29</v>
      </c>
      <c r="G123" s="1025">
        <f t="shared" si="8"/>
        <v>10612.48</v>
      </c>
      <c r="H123" s="1029">
        <v>33655.300000000003</v>
      </c>
      <c r="I123" s="1030">
        <v>2478.9299999999998</v>
      </c>
      <c r="J123" s="1030">
        <v>31176.35</v>
      </c>
      <c r="K123" s="1030">
        <v>0</v>
      </c>
      <c r="L123" s="1030">
        <v>10612.48</v>
      </c>
      <c r="M123" s="1031">
        <v>77923.06</v>
      </c>
      <c r="N123" s="1029">
        <v>32756.28</v>
      </c>
      <c r="O123" s="1030">
        <v>2740.95</v>
      </c>
      <c r="P123" s="1030">
        <v>30015.33</v>
      </c>
      <c r="Q123" s="1030">
        <v>0</v>
      </c>
      <c r="R123" s="1030">
        <v>0</v>
      </c>
      <c r="S123" s="1031">
        <v>65512.56</v>
      </c>
      <c r="T123" s="1029">
        <v>0</v>
      </c>
      <c r="U123" s="1030">
        <v>0</v>
      </c>
      <c r="V123" s="1030">
        <v>2442</v>
      </c>
      <c r="W123" s="1030">
        <v>0</v>
      </c>
      <c r="X123" s="1030">
        <v>0</v>
      </c>
      <c r="Y123" s="1031">
        <v>2442</v>
      </c>
      <c r="Z123" s="1032"/>
      <c r="AA123" s="1033"/>
      <c r="AB123" s="1033"/>
      <c r="AC123" s="1033"/>
      <c r="AD123" s="1033"/>
      <c r="AE123" s="1034"/>
      <c r="AF123" s="1029">
        <v>0</v>
      </c>
      <c r="AG123" s="1030">
        <v>0</v>
      </c>
      <c r="AH123" s="1030">
        <v>113922.76</v>
      </c>
      <c r="AI123" s="1030">
        <v>92198.29</v>
      </c>
      <c r="AJ123" s="1030">
        <v>0</v>
      </c>
      <c r="AK123" s="1031">
        <v>206121.05</v>
      </c>
    </row>
    <row r="124" spans="1:37">
      <c r="A124" s="1111" t="s">
        <v>241</v>
      </c>
      <c r="B124" s="1040" t="s">
        <v>242</v>
      </c>
      <c r="C124" s="1023">
        <f t="shared" si="5"/>
        <v>237844.34</v>
      </c>
      <c r="D124" s="1024">
        <f t="shared" si="6"/>
        <v>1423860.8599999999</v>
      </c>
      <c r="E124" s="1024">
        <f t="shared" si="7"/>
        <v>716796.91999999993</v>
      </c>
      <c r="F124" s="1024">
        <f t="shared" si="8"/>
        <v>716796.97</v>
      </c>
      <c r="G124" s="1025">
        <f t="shared" si="8"/>
        <v>-0.05</v>
      </c>
      <c r="H124" s="1029">
        <v>63850.53</v>
      </c>
      <c r="I124" s="1030">
        <v>4328.59</v>
      </c>
      <c r="J124" s="1030">
        <v>59521.919999999998</v>
      </c>
      <c r="K124" s="1030">
        <v>0</v>
      </c>
      <c r="L124" s="1030">
        <v>-0.04</v>
      </c>
      <c r="M124" s="1031">
        <v>127701</v>
      </c>
      <c r="N124" s="1029">
        <v>156571.92000000001</v>
      </c>
      <c r="O124" s="1030">
        <v>13093.3</v>
      </c>
      <c r="P124" s="1030">
        <v>143478.57999999999</v>
      </c>
      <c r="Q124" s="1030">
        <v>0</v>
      </c>
      <c r="R124" s="1030">
        <v>-0.01</v>
      </c>
      <c r="S124" s="1031">
        <v>313143.78999999998</v>
      </c>
      <c r="T124" s="1029">
        <v>0</v>
      </c>
      <c r="U124" s="1030">
        <v>0</v>
      </c>
      <c r="V124" s="1030">
        <v>204359.02</v>
      </c>
      <c r="W124" s="1030">
        <v>0</v>
      </c>
      <c r="X124" s="1030">
        <v>0</v>
      </c>
      <c r="Y124" s="1031">
        <v>204359.02</v>
      </c>
      <c r="Z124" s="1032"/>
      <c r="AA124" s="1033"/>
      <c r="AB124" s="1033"/>
      <c r="AC124" s="1033"/>
      <c r="AD124" s="1033"/>
      <c r="AE124" s="1034"/>
      <c r="AF124" s="1029">
        <v>0</v>
      </c>
      <c r="AG124" s="1030">
        <v>0</v>
      </c>
      <c r="AH124" s="1030">
        <v>1016501.34</v>
      </c>
      <c r="AI124" s="1030">
        <v>716796.97</v>
      </c>
      <c r="AJ124" s="1030">
        <v>0</v>
      </c>
      <c r="AK124" s="1031">
        <v>1733298.31</v>
      </c>
    </row>
    <row r="126" spans="1:37" s="538" customFormat="1">
      <c r="A126" s="538" t="s">
        <v>1026</v>
      </c>
      <c r="B126" s="836"/>
      <c r="C126" s="540"/>
    </row>
    <row r="127" spans="1:37" s="538" customFormat="1"/>
    <row r="128" spans="1:37" s="519" customFormat="1">
      <c r="A128" s="519" t="s">
        <v>250</v>
      </c>
    </row>
    <row r="129" spans="1:2">
      <c r="A129" s="536" t="s">
        <v>251</v>
      </c>
      <c r="B129" s="407" t="s">
        <v>252</v>
      </c>
    </row>
  </sheetData>
  <hyperlinks>
    <hyperlink ref="B129"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E136"/>
  <sheetViews>
    <sheetView workbookViewId="0">
      <pane ySplit="3" topLeftCell="A4" activePane="bottomLeft" state="frozen"/>
      <selection pane="bottomLeft" activeCell="E4" sqref="E4:E123"/>
    </sheetView>
  </sheetViews>
  <sheetFormatPr defaultRowHeight="12.75"/>
  <cols>
    <col min="1" max="1" width="4.25" style="702" customWidth="1"/>
    <col min="2" max="2" width="27.625" style="695" customWidth="1"/>
    <col min="3" max="3" width="39.375" style="695" customWidth="1"/>
    <col min="4" max="4" width="12" style="701" bestFit="1" customWidth="1"/>
    <col min="5" max="5" width="27.875" style="695" customWidth="1"/>
    <col min="6" max="16384" width="9" style="695"/>
  </cols>
  <sheetData>
    <row r="1" spans="1:5" ht="15.75">
      <c r="A1" s="1301" t="s">
        <v>1009</v>
      </c>
      <c r="B1" s="1301"/>
      <c r="C1" s="1301"/>
      <c r="D1" s="1301"/>
    </row>
    <row r="2" spans="1:5">
      <c r="A2" s="704"/>
      <c r="B2" s="704"/>
      <c r="C2" s="704"/>
      <c r="D2" s="704"/>
    </row>
    <row r="3" spans="1:5" s="699" customFormat="1" ht="21.75" customHeight="1">
      <c r="A3" s="696" t="s">
        <v>4</v>
      </c>
      <c r="B3" s="697" t="s">
        <v>879</v>
      </c>
      <c r="C3" s="697" t="s">
        <v>253</v>
      </c>
      <c r="D3" s="698" t="s">
        <v>880</v>
      </c>
      <c r="E3" s="699" t="s">
        <v>891</v>
      </c>
    </row>
    <row r="4" spans="1:5" ht="16.5" customHeight="1">
      <c r="A4" s="700" t="s">
        <v>10</v>
      </c>
      <c r="B4" s="669" t="s">
        <v>11</v>
      </c>
      <c r="C4" s="695" t="s">
        <v>272</v>
      </c>
      <c r="D4" s="701" t="s">
        <v>881</v>
      </c>
      <c r="E4" s="695" t="s">
        <v>1160</v>
      </c>
    </row>
    <row r="5" spans="1:5" ht="16.5" customHeight="1">
      <c r="A5" s="700" t="s">
        <v>12</v>
      </c>
      <c r="B5" s="669" t="s">
        <v>13</v>
      </c>
      <c r="C5" s="695" t="s">
        <v>273</v>
      </c>
      <c r="D5" s="1130" t="s">
        <v>1125</v>
      </c>
      <c r="E5" s="695" t="s">
        <v>1161</v>
      </c>
    </row>
    <row r="6" spans="1:5" s="699" customFormat="1" ht="16.5" customHeight="1">
      <c r="A6" s="700" t="s">
        <v>16</v>
      </c>
      <c r="B6" s="669" t="s">
        <v>868</v>
      </c>
      <c r="C6" s="695" t="s">
        <v>273</v>
      </c>
      <c r="D6" s="1130" t="s">
        <v>1126</v>
      </c>
      <c r="E6" s="695" t="s">
        <v>1161</v>
      </c>
    </row>
    <row r="7" spans="1:5" ht="16.5" customHeight="1">
      <c r="A7" s="700" t="s">
        <v>18</v>
      </c>
      <c r="B7" s="669" t="s">
        <v>19</v>
      </c>
      <c r="C7" s="695" t="s">
        <v>275</v>
      </c>
      <c r="D7" s="701" t="s">
        <v>881</v>
      </c>
      <c r="E7" s="695" t="s">
        <v>1160</v>
      </c>
    </row>
    <row r="8" spans="1:5" ht="16.5" customHeight="1">
      <c r="A8" s="700" t="s">
        <v>20</v>
      </c>
      <c r="B8" s="669" t="s">
        <v>21</v>
      </c>
      <c r="C8" s="695" t="s">
        <v>273</v>
      </c>
      <c r="D8" s="701" t="s">
        <v>881</v>
      </c>
      <c r="E8" s="695" t="s">
        <v>1160</v>
      </c>
    </row>
    <row r="9" spans="1:5" ht="16.5" customHeight="1">
      <c r="A9" s="700" t="s">
        <v>22</v>
      </c>
      <c r="B9" s="669" t="s">
        <v>23</v>
      </c>
      <c r="C9" s="695" t="s">
        <v>273</v>
      </c>
      <c r="D9" s="1130" t="s">
        <v>1126</v>
      </c>
      <c r="E9" s="695" t="s">
        <v>1161</v>
      </c>
    </row>
    <row r="10" spans="1:5" ht="16.5" customHeight="1">
      <c r="A10" s="700" t="s">
        <v>24</v>
      </c>
      <c r="B10" s="669" t="s">
        <v>25</v>
      </c>
      <c r="C10" s="695" t="s">
        <v>276</v>
      </c>
      <c r="D10" s="701" t="s">
        <v>882</v>
      </c>
      <c r="E10" s="695" t="s">
        <v>1162</v>
      </c>
    </row>
    <row r="11" spans="1:5" ht="16.5" customHeight="1">
      <c r="A11" s="700" t="s">
        <v>26</v>
      </c>
      <c r="B11" s="669" t="s">
        <v>1114</v>
      </c>
      <c r="C11" s="695" t="s">
        <v>273</v>
      </c>
      <c r="D11" s="1130" t="s">
        <v>1125</v>
      </c>
      <c r="E11" s="695" t="s">
        <v>1161</v>
      </c>
    </row>
    <row r="12" spans="1:5" ht="16.5" customHeight="1">
      <c r="A12" s="700" t="s">
        <v>27</v>
      </c>
      <c r="B12" s="669" t="s">
        <v>28</v>
      </c>
      <c r="C12" s="695" t="s">
        <v>273</v>
      </c>
      <c r="D12" s="701" t="s">
        <v>881</v>
      </c>
      <c r="E12" s="695" t="s">
        <v>1160</v>
      </c>
    </row>
    <row r="13" spans="1:5" ht="16.5" customHeight="1">
      <c r="A13" s="700" t="s">
        <v>29</v>
      </c>
      <c r="B13" s="669" t="s">
        <v>886</v>
      </c>
      <c r="C13" s="695" t="s">
        <v>273</v>
      </c>
      <c r="D13" s="1130" t="s">
        <v>1125</v>
      </c>
      <c r="E13" s="695" t="s">
        <v>1161</v>
      </c>
    </row>
    <row r="14" spans="1:5" ht="16.5" customHeight="1">
      <c r="A14" s="700" t="s">
        <v>31</v>
      </c>
      <c r="B14" s="669" t="s">
        <v>32</v>
      </c>
      <c r="C14" s="695" t="s">
        <v>278</v>
      </c>
      <c r="D14" s="701" t="s">
        <v>881</v>
      </c>
      <c r="E14" s="695" t="s">
        <v>1160</v>
      </c>
    </row>
    <row r="15" spans="1:5" ht="16.5" customHeight="1">
      <c r="A15" s="700" t="s">
        <v>33</v>
      </c>
      <c r="B15" s="669" t="s">
        <v>34</v>
      </c>
      <c r="C15" s="695" t="s">
        <v>273</v>
      </c>
      <c r="D15" s="701" t="s">
        <v>881</v>
      </c>
      <c r="E15" s="695" t="s">
        <v>1160</v>
      </c>
    </row>
    <row r="16" spans="1:5" ht="16.5" customHeight="1">
      <c r="A16" s="700" t="s">
        <v>37</v>
      </c>
      <c r="B16" s="669" t="s">
        <v>38</v>
      </c>
      <c r="C16" s="695" t="s">
        <v>272</v>
      </c>
      <c r="D16" s="701" t="s">
        <v>881</v>
      </c>
      <c r="E16" s="695" t="s">
        <v>1160</v>
      </c>
    </row>
    <row r="17" spans="1:5" ht="16.5" customHeight="1">
      <c r="A17" s="700" t="s">
        <v>39</v>
      </c>
      <c r="B17" s="669" t="s">
        <v>40</v>
      </c>
      <c r="C17" s="695" t="s">
        <v>278</v>
      </c>
      <c r="D17" s="1130" t="s">
        <v>1126</v>
      </c>
      <c r="E17" s="695" t="s">
        <v>1161</v>
      </c>
    </row>
    <row r="18" spans="1:5" ht="16.5" customHeight="1">
      <c r="A18" s="700" t="s">
        <v>41</v>
      </c>
      <c r="B18" s="669" t="s">
        <v>42</v>
      </c>
      <c r="C18" s="695" t="s">
        <v>275</v>
      </c>
      <c r="D18" s="1130" t="s">
        <v>1126</v>
      </c>
      <c r="E18" s="695" t="s">
        <v>1161</v>
      </c>
    </row>
    <row r="19" spans="1:5" ht="16.5" customHeight="1">
      <c r="A19" s="700" t="s">
        <v>43</v>
      </c>
      <c r="B19" s="669" t="s">
        <v>44</v>
      </c>
      <c r="C19" s="695" t="s">
        <v>273</v>
      </c>
      <c r="D19" s="1130" t="s">
        <v>1126</v>
      </c>
      <c r="E19" s="695" t="s">
        <v>1161</v>
      </c>
    </row>
    <row r="20" spans="1:5" ht="16.5" customHeight="1">
      <c r="A20" s="700" t="s">
        <v>45</v>
      </c>
      <c r="B20" s="669" t="s">
        <v>46</v>
      </c>
      <c r="C20" s="695" t="s">
        <v>275</v>
      </c>
      <c r="D20" s="1130" t="s">
        <v>1126</v>
      </c>
      <c r="E20" s="695" t="s">
        <v>1161</v>
      </c>
    </row>
    <row r="21" spans="1:5" ht="16.5" customHeight="1">
      <c r="A21" s="700" t="s">
        <v>47</v>
      </c>
      <c r="B21" s="669" t="s">
        <v>48</v>
      </c>
      <c r="C21" s="695" t="s">
        <v>278</v>
      </c>
      <c r="D21" s="1130" t="s">
        <v>1126</v>
      </c>
      <c r="E21" s="695" t="s">
        <v>1161</v>
      </c>
    </row>
    <row r="22" spans="1:5" ht="16.5" customHeight="1">
      <c r="A22" s="700" t="s">
        <v>49</v>
      </c>
      <c r="B22" s="669" t="s">
        <v>279</v>
      </c>
      <c r="C22" s="695" t="s">
        <v>275</v>
      </c>
      <c r="D22" s="1130" t="s">
        <v>1126</v>
      </c>
      <c r="E22" s="695" t="s">
        <v>1161</v>
      </c>
    </row>
    <row r="23" spans="1:5" ht="16.5" customHeight="1">
      <c r="A23" s="700" t="s">
        <v>51</v>
      </c>
      <c r="B23" s="669" t="s">
        <v>52</v>
      </c>
      <c r="C23" s="695" t="s">
        <v>273</v>
      </c>
      <c r="D23" s="1130" t="s">
        <v>1126</v>
      </c>
      <c r="E23" s="695" t="s">
        <v>1161</v>
      </c>
    </row>
    <row r="24" spans="1:5" ht="16.5" customHeight="1">
      <c r="A24" s="700" t="s">
        <v>57</v>
      </c>
      <c r="B24" s="669" t="s">
        <v>362</v>
      </c>
      <c r="C24" s="695" t="s">
        <v>275</v>
      </c>
      <c r="D24" s="701" t="s">
        <v>882</v>
      </c>
      <c r="E24" s="695" t="s">
        <v>1162</v>
      </c>
    </row>
    <row r="25" spans="1:5" ht="16.5" customHeight="1">
      <c r="A25" s="700" t="s">
        <v>59</v>
      </c>
      <c r="B25" s="669" t="s">
        <v>60</v>
      </c>
      <c r="C25" s="695" t="s">
        <v>276</v>
      </c>
      <c r="D25" s="701" t="s">
        <v>881</v>
      </c>
      <c r="E25" s="695" t="s">
        <v>1160</v>
      </c>
    </row>
    <row r="26" spans="1:5" ht="16.5" customHeight="1">
      <c r="A26" s="700" t="s">
        <v>61</v>
      </c>
      <c r="B26" s="669" t="s">
        <v>62</v>
      </c>
      <c r="C26" s="695" t="s">
        <v>273</v>
      </c>
      <c r="D26" s="701" t="s">
        <v>881</v>
      </c>
      <c r="E26" s="695" t="s">
        <v>1160</v>
      </c>
    </row>
    <row r="27" spans="1:5" ht="16.5" customHeight="1">
      <c r="A27" s="700" t="s">
        <v>63</v>
      </c>
      <c r="B27" s="669" t="s">
        <v>64</v>
      </c>
      <c r="C27" s="695" t="s">
        <v>276</v>
      </c>
      <c r="D27" s="1130" t="s">
        <v>1126</v>
      </c>
      <c r="E27" s="695" t="s">
        <v>1161</v>
      </c>
    </row>
    <row r="28" spans="1:5" ht="16.5" customHeight="1">
      <c r="A28" s="700" t="s">
        <v>65</v>
      </c>
      <c r="B28" s="669" t="s">
        <v>66</v>
      </c>
      <c r="C28" s="695" t="s">
        <v>275</v>
      </c>
      <c r="D28" s="1130" t="s">
        <v>1126</v>
      </c>
      <c r="E28" s="695" t="s">
        <v>1161</v>
      </c>
    </row>
    <row r="29" spans="1:5" ht="16.5" customHeight="1">
      <c r="A29" s="700" t="s">
        <v>69</v>
      </c>
      <c r="B29" s="669" t="s">
        <v>70</v>
      </c>
      <c r="C29" s="695" t="s">
        <v>278</v>
      </c>
      <c r="D29" s="701" t="s">
        <v>881</v>
      </c>
      <c r="E29" s="695" t="s">
        <v>1160</v>
      </c>
    </row>
    <row r="30" spans="1:5" ht="16.5" customHeight="1">
      <c r="A30" s="700" t="s">
        <v>71</v>
      </c>
      <c r="B30" s="669" t="s">
        <v>72</v>
      </c>
      <c r="C30" s="695" t="s">
        <v>272</v>
      </c>
      <c r="D30" s="1130" t="s">
        <v>1126</v>
      </c>
      <c r="E30" s="695" t="s">
        <v>1161</v>
      </c>
    </row>
    <row r="31" spans="1:5" ht="16.5" customHeight="1">
      <c r="A31" s="700" t="s">
        <v>73</v>
      </c>
      <c r="B31" s="669" t="s">
        <v>74</v>
      </c>
      <c r="C31" s="695" t="s">
        <v>275</v>
      </c>
      <c r="D31" s="1130" t="s">
        <v>1126</v>
      </c>
      <c r="E31" s="695" t="s">
        <v>1161</v>
      </c>
    </row>
    <row r="32" spans="1:5" ht="16.5" customHeight="1">
      <c r="A32" s="700" t="s">
        <v>75</v>
      </c>
      <c r="B32" s="669" t="s">
        <v>885</v>
      </c>
      <c r="C32" s="695" t="s">
        <v>276</v>
      </c>
      <c r="D32" s="701" t="s">
        <v>882</v>
      </c>
      <c r="E32" s="695" t="s">
        <v>1162</v>
      </c>
    </row>
    <row r="33" spans="1:5" ht="16.5" customHeight="1">
      <c r="A33" s="700" t="s">
        <v>77</v>
      </c>
      <c r="B33" s="669" t="s">
        <v>78</v>
      </c>
      <c r="C33" s="695" t="s">
        <v>276</v>
      </c>
      <c r="D33" s="701" t="s">
        <v>882</v>
      </c>
      <c r="E33" s="695" t="s">
        <v>1162</v>
      </c>
    </row>
    <row r="34" spans="1:5" ht="16.5" customHeight="1">
      <c r="A34" s="700" t="s">
        <v>79</v>
      </c>
      <c r="B34" s="669" t="s">
        <v>80</v>
      </c>
      <c r="C34" s="695" t="s">
        <v>278</v>
      </c>
      <c r="D34" s="701" t="s">
        <v>881</v>
      </c>
      <c r="E34" s="695" t="s">
        <v>1160</v>
      </c>
    </row>
    <row r="35" spans="1:5" ht="16.5" customHeight="1">
      <c r="A35" s="700" t="s">
        <v>81</v>
      </c>
      <c r="B35" s="669" t="s">
        <v>82</v>
      </c>
      <c r="C35" s="695" t="s">
        <v>275</v>
      </c>
      <c r="D35" s="1130" t="s">
        <v>1126</v>
      </c>
      <c r="E35" s="695" t="s">
        <v>1161</v>
      </c>
    </row>
    <row r="36" spans="1:5" ht="16.5" customHeight="1">
      <c r="A36" s="700" t="s">
        <v>85</v>
      </c>
      <c r="B36" s="669" t="s">
        <v>387</v>
      </c>
      <c r="C36" s="695" t="s">
        <v>273</v>
      </c>
      <c r="D36" s="1130" t="s">
        <v>881</v>
      </c>
      <c r="E36" s="695" t="s">
        <v>1160</v>
      </c>
    </row>
    <row r="37" spans="1:5" ht="16.5" customHeight="1">
      <c r="A37" s="700" t="s">
        <v>87</v>
      </c>
      <c r="B37" s="669" t="s">
        <v>88</v>
      </c>
      <c r="C37" s="695" t="s">
        <v>276</v>
      </c>
      <c r="D37" s="1130" t="s">
        <v>1126</v>
      </c>
      <c r="E37" s="695" t="s">
        <v>1161</v>
      </c>
    </row>
    <row r="38" spans="1:5" ht="16.5" customHeight="1">
      <c r="A38" s="700" t="s">
        <v>93</v>
      </c>
      <c r="B38" s="669" t="s">
        <v>94</v>
      </c>
      <c r="C38" s="695" t="s">
        <v>278</v>
      </c>
      <c r="D38" s="1130" t="s">
        <v>1126</v>
      </c>
      <c r="E38" s="695" t="s">
        <v>1161</v>
      </c>
    </row>
    <row r="39" spans="1:5" ht="16.5" customHeight="1">
      <c r="A39" s="700" t="s">
        <v>95</v>
      </c>
      <c r="B39" s="669" t="s">
        <v>96</v>
      </c>
      <c r="C39" s="695" t="s">
        <v>272</v>
      </c>
      <c r="D39" s="1130" t="s">
        <v>1127</v>
      </c>
      <c r="E39" s="695" t="s">
        <v>1161</v>
      </c>
    </row>
    <row r="40" spans="1:5" ht="16.5" customHeight="1">
      <c r="A40" s="700" t="s">
        <v>97</v>
      </c>
      <c r="B40" s="669" t="s">
        <v>98</v>
      </c>
      <c r="C40" s="695" t="s">
        <v>275</v>
      </c>
      <c r="D40" s="701" t="s">
        <v>881</v>
      </c>
      <c r="E40" s="695" t="s">
        <v>1160</v>
      </c>
    </row>
    <row r="41" spans="1:5" ht="16.5" customHeight="1">
      <c r="A41" s="700" t="s">
        <v>99</v>
      </c>
      <c r="B41" s="669" t="s">
        <v>100</v>
      </c>
      <c r="C41" s="695" t="s">
        <v>278</v>
      </c>
      <c r="D41" s="1130" t="s">
        <v>1126</v>
      </c>
      <c r="E41" s="695" t="s">
        <v>1161</v>
      </c>
    </row>
    <row r="42" spans="1:5" ht="16.5" customHeight="1">
      <c r="A42" s="700" t="s">
        <v>101</v>
      </c>
      <c r="B42" s="669" t="s">
        <v>102</v>
      </c>
      <c r="C42" s="695" t="s">
        <v>276</v>
      </c>
      <c r="D42" s="1130" t="s">
        <v>1126</v>
      </c>
      <c r="E42" s="695" t="s">
        <v>1161</v>
      </c>
    </row>
    <row r="43" spans="1:5" ht="16.5" customHeight="1">
      <c r="A43" s="700" t="s">
        <v>103</v>
      </c>
      <c r="B43" s="669" t="s">
        <v>329</v>
      </c>
      <c r="C43" s="695" t="s">
        <v>272</v>
      </c>
      <c r="D43" s="1130" t="s">
        <v>1126</v>
      </c>
      <c r="E43" s="695" t="s">
        <v>1161</v>
      </c>
    </row>
    <row r="44" spans="1:5" ht="16.5" customHeight="1">
      <c r="A44" s="700" t="s">
        <v>105</v>
      </c>
      <c r="B44" s="669" t="s">
        <v>871</v>
      </c>
      <c r="C44" s="695" t="s">
        <v>273</v>
      </c>
      <c r="D44" s="701" t="s">
        <v>881</v>
      </c>
      <c r="E44" s="695" t="s">
        <v>1160</v>
      </c>
    </row>
    <row r="45" spans="1:5" ht="16.5" customHeight="1">
      <c r="A45" s="700" t="s">
        <v>109</v>
      </c>
      <c r="B45" s="669" t="s">
        <v>110</v>
      </c>
      <c r="C45" s="695" t="s">
        <v>275</v>
      </c>
      <c r="D45" s="701" t="s">
        <v>882</v>
      </c>
      <c r="E45" s="695" t="s">
        <v>1162</v>
      </c>
    </row>
    <row r="46" spans="1:5" ht="16.5" customHeight="1">
      <c r="A46" s="700" t="s">
        <v>111</v>
      </c>
      <c r="B46" s="669" t="s">
        <v>112</v>
      </c>
      <c r="C46" s="695" t="s">
        <v>275</v>
      </c>
      <c r="D46" s="1130" t="s">
        <v>882</v>
      </c>
      <c r="E46" s="695" t="s">
        <v>1162</v>
      </c>
    </row>
    <row r="47" spans="1:5" ht="16.5" customHeight="1">
      <c r="A47" s="700" t="s">
        <v>113</v>
      </c>
      <c r="B47" s="669" t="s">
        <v>367</v>
      </c>
      <c r="C47" s="695" t="s">
        <v>273</v>
      </c>
      <c r="D47" s="1130" t="s">
        <v>881</v>
      </c>
      <c r="E47" s="695" t="s">
        <v>1160</v>
      </c>
    </row>
    <row r="48" spans="1:5" ht="16.5" customHeight="1">
      <c r="A48" s="700" t="s">
        <v>115</v>
      </c>
      <c r="B48" s="669" t="s">
        <v>116</v>
      </c>
      <c r="C48" s="695" t="s">
        <v>273</v>
      </c>
      <c r="D48" s="1130" t="s">
        <v>881</v>
      </c>
      <c r="E48" s="695" t="s">
        <v>1160</v>
      </c>
    </row>
    <row r="49" spans="1:5" ht="16.5" customHeight="1">
      <c r="A49" s="700" t="s">
        <v>119</v>
      </c>
      <c r="B49" s="669" t="s">
        <v>120</v>
      </c>
      <c r="C49" s="695" t="s">
        <v>272</v>
      </c>
      <c r="D49" s="1130" t="s">
        <v>1126</v>
      </c>
      <c r="E49" s="695" t="s">
        <v>1161</v>
      </c>
    </row>
    <row r="50" spans="1:5" ht="16.5" customHeight="1">
      <c r="A50" s="700" t="s">
        <v>121</v>
      </c>
      <c r="B50" s="669" t="s">
        <v>122</v>
      </c>
      <c r="C50" s="695" t="s">
        <v>272</v>
      </c>
      <c r="D50" s="1130" t="s">
        <v>882</v>
      </c>
      <c r="E50" s="695" t="s">
        <v>1162</v>
      </c>
    </row>
    <row r="51" spans="1:5" ht="16.5" customHeight="1">
      <c r="A51" s="700" t="s">
        <v>123</v>
      </c>
      <c r="B51" s="669" t="s">
        <v>284</v>
      </c>
      <c r="C51" s="695" t="s">
        <v>275</v>
      </c>
      <c r="D51" s="1130" t="s">
        <v>1126</v>
      </c>
      <c r="E51" s="695" t="s">
        <v>1161</v>
      </c>
    </row>
    <row r="52" spans="1:5" ht="16.5" customHeight="1">
      <c r="A52" s="700" t="s">
        <v>125</v>
      </c>
      <c r="B52" s="669" t="s">
        <v>126</v>
      </c>
      <c r="C52" s="695" t="s">
        <v>276</v>
      </c>
      <c r="D52" s="1130" t="s">
        <v>1126</v>
      </c>
      <c r="E52" s="695" t="s">
        <v>1161</v>
      </c>
    </row>
    <row r="53" spans="1:5" ht="16.5" customHeight="1">
      <c r="A53" s="700" t="s">
        <v>127</v>
      </c>
      <c r="B53" s="669" t="s">
        <v>128</v>
      </c>
      <c r="C53" s="695" t="s">
        <v>275</v>
      </c>
      <c r="D53" s="1130" t="s">
        <v>1127</v>
      </c>
      <c r="E53" s="695" t="s">
        <v>1161</v>
      </c>
    </row>
    <row r="54" spans="1:5" ht="16.5" customHeight="1">
      <c r="A54" s="700" t="s">
        <v>129</v>
      </c>
      <c r="B54" s="669" t="s">
        <v>130</v>
      </c>
      <c r="C54" s="695" t="s">
        <v>275</v>
      </c>
      <c r="D54" s="1130" t="s">
        <v>1126</v>
      </c>
      <c r="E54" s="695" t="s">
        <v>1161</v>
      </c>
    </row>
    <row r="55" spans="1:5" ht="16.5" customHeight="1">
      <c r="A55" s="700" t="s">
        <v>131</v>
      </c>
      <c r="B55" s="669" t="s">
        <v>132</v>
      </c>
      <c r="C55" s="695" t="s">
        <v>278</v>
      </c>
      <c r="D55" s="1130" t="s">
        <v>881</v>
      </c>
      <c r="E55" s="695" t="s">
        <v>1160</v>
      </c>
    </row>
    <row r="56" spans="1:5" ht="16.5" customHeight="1">
      <c r="A56" s="700" t="s">
        <v>133</v>
      </c>
      <c r="B56" s="669" t="s">
        <v>134</v>
      </c>
      <c r="C56" s="695" t="s">
        <v>276</v>
      </c>
      <c r="D56" s="1130" t="s">
        <v>882</v>
      </c>
      <c r="E56" s="695" t="s">
        <v>1162</v>
      </c>
    </row>
    <row r="57" spans="1:5" ht="16.5" customHeight="1">
      <c r="A57" s="700" t="s">
        <v>135</v>
      </c>
      <c r="B57" s="669" t="s">
        <v>136</v>
      </c>
      <c r="C57" s="695" t="s">
        <v>276</v>
      </c>
      <c r="D57" s="1130" t="s">
        <v>882</v>
      </c>
      <c r="E57" s="695" t="s">
        <v>1162</v>
      </c>
    </row>
    <row r="58" spans="1:5" ht="16.5" customHeight="1">
      <c r="A58" s="700" t="s">
        <v>137</v>
      </c>
      <c r="B58" s="669" t="s">
        <v>138</v>
      </c>
      <c r="C58" s="695" t="s">
        <v>275</v>
      </c>
      <c r="D58" s="1130" t="s">
        <v>881</v>
      </c>
      <c r="E58" s="695" t="s">
        <v>1160</v>
      </c>
    </row>
    <row r="59" spans="1:5" ht="16.5" customHeight="1">
      <c r="A59" s="700" t="s">
        <v>141</v>
      </c>
      <c r="B59" s="669" t="s">
        <v>142</v>
      </c>
      <c r="C59" s="695" t="s">
        <v>276</v>
      </c>
      <c r="D59" s="1130" t="s">
        <v>1126</v>
      </c>
      <c r="E59" s="695" t="s">
        <v>1161</v>
      </c>
    </row>
    <row r="60" spans="1:5" ht="16.5" customHeight="1">
      <c r="A60" s="700" t="s">
        <v>147</v>
      </c>
      <c r="B60" s="669" t="s">
        <v>148</v>
      </c>
      <c r="C60" s="695" t="s">
        <v>272</v>
      </c>
      <c r="D60" s="1130" t="s">
        <v>1126</v>
      </c>
      <c r="E60" s="695" t="s">
        <v>1161</v>
      </c>
    </row>
    <row r="61" spans="1:5" ht="16.5" customHeight="1">
      <c r="A61" s="700" t="s">
        <v>149</v>
      </c>
      <c r="B61" s="669" t="s">
        <v>150</v>
      </c>
      <c r="C61" s="695" t="s">
        <v>273</v>
      </c>
      <c r="D61" s="1130" t="s">
        <v>1126</v>
      </c>
      <c r="E61" s="695" t="s">
        <v>1161</v>
      </c>
    </row>
    <row r="62" spans="1:5" ht="16.5" customHeight="1">
      <c r="A62" s="700" t="s">
        <v>151</v>
      </c>
      <c r="B62" s="669" t="s">
        <v>152</v>
      </c>
      <c r="C62" s="695" t="s">
        <v>275</v>
      </c>
      <c r="D62" s="1130" t="s">
        <v>1126</v>
      </c>
      <c r="E62" s="695" t="s">
        <v>1161</v>
      </c>
    </row>
    <row r="63" spans="1:5" ht="16.5" customHeight="1">
      <c r="A63" s="700" t="s">
        <v>153</v>
      </c>
      <c r="B63" s="669" t="s">
        <v>154</v>
      </c>
      <c r="C63" s="695" t="s">
        <v>278</v>
      </c>
      <c r="D63" s="1130" t="s">
        <v>882</v>
      </c>
      <c r="E63" s="695" t="s">
        <v>1162</v>
      </c>
    </row>
    <row r="64" spans="1:5" ht="16.5" customHeight="1">
      <c r="A64" s="700" t="s">
        <v>155</v>
      </c>
      <c r="B64" s="669" t="s">
        <v>156</v>
      </c>
      <c r="C64" s="695" t="s">
        <v>273</v>
      </c>
      <c r="D64" s="1130" t="s">
        <v>881</v>
      </c>
      <c r="E64" s="695" t="s">
        <v>1160</v>
      </c>
    </row>
    <row r="65" spans="1:5" ht="16.5" customHeight="1">
      <c r="A65" s="700" t="s">
        <v>157</v>
      </c>
      <c r="B65" s="669" t="s">
        <v>158</v>
      </c>
      <c r="C65" s="695" t="s">
        <v>275</v>
      </c>
      <c r="D65" s="1130" t="s">
        <v>1126</v>
      </c>
      <c r="E65" s="695" t="s">
        <v>1161</v>
      </c>
    </row>
    <row r="66" spans="1:5" ht="16.5" customHeight="1">
      <c r="A66" s="700" t="s">
        <v>163</v>
      </c>
      <c r="B66" s="669" t="s">
        <v>164</v>
      </c>
      <c r="C66" s="695" t="s">
        <v>272</v>
      </c>
      <c r="D66" s="1130" t="s">
        <v>1126</v>
      </c>
      <c r="E66" s="695" t="s">
        <v>1161</v>
      </c>
    </row>
    <row r="67" spans="1:5" ht="16.5" customHeight="1">
      <c r="A67" s="700" t="s">
        <v>165</v>
      </c>
      <c r="B67" s="669" t="s">
        <v>166</v>
      </c>
      <c r="C67" s="695" t="s">
        <v>275</v>
      </c>
      <c r="D67" s="1130" t="s">
        <v>881</v>
      </c>
      <c r="E67" s="695" t="s">
        <v>1160</v>
      </c>
    </row>
    <row r="68" spans="1:5" ht="16.5" customHeight="1">
      <c r="A68" s="700" t="s">
        <v>169</v>
      </c>
      <c r="B68" s="669" t="s">
        <v>170</v>
      </c>
      <c r="C68" s="695" t="s">
        <v>275</v>
      </c>
      <c r="D68" s="1130" t="s">
        <v>1126</v>
      </c>
      <c r="E68" s="695" t="s">
        <v>1161</v>
      </c>
    </row>
    <row r="69" spans="1:5" ht="16.5" customHeight="1">
      <c r="A69" s="700" t="s">
        <v>171</v>
      </c>
      <c r="B69" s="669" t="s">
        <v>172</v>
      </c>
      <c r="C69" s="695" t="s">
        <v>276</v>
      </c>
      <c r="D69" s="1130" t="s">
        <v>1126</v>
      </c>
      <c r="E69" s="695" t="s">
        <v>1161</v>
      </c>
    </row>
    <row r="70" spans="1:5" ht="16.5" customHeight="1">
      <c r="A70" s="700" t="s">
        <v>173</v>
      </c>
      <c r="B70" s="669" t="s">
        <v>174</v>
      </c>
      <c r="C70" s="695" t="s">
        <v>276</v>
      </c>
      <c r="D70" s="1130" t="s">
        <v>881</v>
      </c>
      <c r="E70" s="695" t="s">
        <v>1160</v>
      </c>
    </row>
    <row r="71" spans="1:5" ht="16.5" customHeight="1">
      <c r="A71" s="700" t="s">
        <v>175</v>
      </c>
      <c r="B71" s="669" t="s">
        <v>176</v>
      </c>
      <c r="C71" s="695" t="s">
        <v>278</v>
      </c>
      <c r="D71" s="1130" t="s">
        <v>881</v>
      </c>
      <c r="E71" s="695" t="s">
        <v>1160</v>
      </c>
    </row>
    <row r="72" spans="1:5" ht="16.5" customHeight="1">
      <c r="A72" s="700" t="s">
        <v>179</v>
      </c>
      <c r="B72" s="669" t="s">
        <v>180</v>
      </c>
      <c r="C72" s="695" t="s">
        <v>273</v>
      </c>
      <c r="D72" s="1130" t="s">
        <v>881</v>
      </c>
      <c r="E72" s="695" t="s">
        <v>1160</v>
      </c>
    </row>
    <row r="73" spans="1:5" ht="16.5" customHeight="1">
      <c r="A73" s="700" t="s">
        <v>183</v>
      </c>
      <c r="B73" s="669" t="s">
        <v>184</v>
      </c>
      <c r="C73" s="695" t="s">
        <v>275</v>
      </c>
      <c r="D73" s="1130" t="s">
        <v>1126</v>
      </c>
      <c r="E73" s="695" t="s">
        <v>1161</v>
      </c>
    </row>
    <row r="74" spans="1:5" ht="16.5" customHeight="1">
      <c r="A74" s="700" t="s">
        <v>185</v>
      </c>
      <c r="B74" s="669" t="s">
        <v>186</v>
      </c>
      <c r="C74" s="695" t="s">
        <v>275</v>
      </c>
      <c r="D74" s="1130" t="s">
        <v>1125</v>
      </c>
      <c r="E74" s="695" t="s">
        <v>1161</v>
      </c>
    </row>
    <row r="75" spans="1:5" ht="16.5" customHeight="1">
      <c r="A75" s="700" t="s">
        <v>187</v>
      </c>
      <c r="B75" s="669" t="s">
        <v>188</v>
      </c>
      <c r="C75" s="695" t="s">
        <v>272</v>
      </c>
      <c r="D75" s="1130" t="s">
        <v>882</v>
      </c>
      <c r="E75" s="695" t="s">
        <v>1162</v>
      </c>
    </row>
    <row r="76" spans="1:5" ht="16.5" customHeight="1">
      <c r="A76" s="700" t="s">
        <v>189</v>
      </c>
      <c r="B76" s="669" t="s">
        <v>190</v>
      </c>
      <c r="C76" s="695" t="s">
        <v>276</v>
      </c>
      <c r="D76" s="1130" t="s">
        <v>882</v>
      </c>
      <c r="E76" s="695" t="s">
        <v>1162</v>
      </c>
    </row>
    <row r="77" spans="1:5" ht="16.5" customHeight="1">
      <c r="A77" s="700" t="s">
        <v>191</v>
      </c>
      <c r="B77" s="669" t="s">
        <v>192</v>
      </c>
      <c r="C77" s="695" t="s">
        <v>278</v>
      </c>
      <c r="D77" s="1130" t="s">
        <v>1126</v>
      </c>
      <c r="E77" s="695" t="s">
        <v>1161</v>
      </c>
    </row>
    <row r="78" spans="1:5" ht="16.5" customHeight="1">
      <c r="A78" s="700" t="s">
        <v>195</v>
      </c>
      <c r="B78" s="669" t="s">
        <v>196</v>
      </c>
      <c r="C78" s="695" t="s">
        <v>276</v>
      </c>
      <c r="D78" s="1130" t="s">
        <v>881</v>
      </c>
      <c r="E78" s="695" t="s">
        <v>1160</v>
      </c>
    </row>
    <row r="79" spans="1:5" ht="16.5" customHeight="1">
      <c r="A79" s="700" t="s">
        <v>199</v>
      </c>
      <c r="B79" s="669" t="s">
        <v>200</v>
      </c>
      <c r="C79" s="695" t="s">
        <v>275</v>
      </c>
      <c r="D79" s="1130" t="s">
        <v>1126</v>
      </c>
      <c r="E79" s="695" t="s">
        <v>1161</v>
      </c>
    </row>
    <row r="80" spans="1:5" ht="16.5" customHeight="1">
      <c r="A80" s="700" t="s">
        <v>203</v>
      </c>
      <c r="B80" s="669" t="s">
        <v>887</v>
      </c>
      <c r="C80" s="695" t="s">
        <v>273</v>
      </c>
      <c r="D80" s="1130" t="s">
        <v>882</v>
      </c>
      <c r="E80" s="695" t="s">
        <v>1162</v>
      </c>
    </row>
    <row r="81" spans="1:5" ht="16.5" customHeight="1">
      <c r="A81" s="700" t="s">
        <v>205</v>
      </c>
      <c r="B81" s="669" t="s">
        <v>359</v>
      </c>
      <c r="C81" s="695" t="s">
        <v>273</v>
      </c>
      <c r="D81" s="1130" t="s">
        <v>1126</v>
      </c>
      <c r="E81" s="695" t="s">
        <v>1161</v>
      </c>
    </row>
    <row r="82" spans="1:5" ht="16.5" customHeight="1">
      <c r="A82" s="700" t="s">
        <v>207</v>
      </c>
      <c r="B82" s="669" t="s">
        <v>360</v>
      </c>
      <c r="C82" s="695" t="s">
        <v>276</v>
      </c>
      <c r="D82" s="1130" t="s">
        <v>1126</v>
      </c>
      <c r="E82" s="695" t="s">
        <v>1161</v>
      </c>
    </row>
    <row r="83" spans="1:5" ht="16.5" customHeight="1">
      <c r="A83" s="700" t="s">
        <v>209</v>
      </c>
      <c r="B83" s="669" t="s">
        <v>210</v>
      </c>
      <c r="C83" s="695" t="s">
        <v>278</v>
      </c>
      <c r="D83" s="1130" t="s">
        <v>1126</v>
      </c>
      <c r="E83" s="695" t="s">
        <v>1161</v>
      </c>
    </row>
    <row r="84" spans="1:5" ht="16.5" customHeight="1">
      <c r="A84" s="700" t="s">
        <v>211</v>
      </c>
      <c r="B84" s="669" t="s">
        <v>212</v>
      </c>
      <c r="C84" s="695" t="s">
        <v>278</v>
      </c>
      <c r="D84" s="1130" t="s">
        <v>881</v>
      </c>
      <c r="E84" s="695" t="s">
        <v>1160</v>
      </c>
    </row>
    <row r="85" spans="1:5" ht="16.5" customHeight="1">
      <c r="A85" s="700" t="s">
        <v>213</v>
      </c>
      <c r="B85" s="669" t="s">
        <v>214</v>
      </c>
      <c r="C85" s="695" t="s">
        <v>276</v>
      </c>
      <c r="D85" s="1130" t="s">
        <v>1126</v>
      </c>
      <c r="E85" s="695" t="s">
        <v>1161</v>
      </c>
    </row>
    <row r="86" spans="1:5" ht="16.5" customHeight="1">
      <c r="A86" s="700" t="s">
        <v>215</v>
      </c>
      <c r="B86" s="669" t="s">
        <v>216</v>
      </c>
      <c r="C86" s="695" t="s">
        <v>278</v>
      </c>
      <c r="D86" s="1130" t="s">
        <v>881</v>
      </c>
      <c r="E86" s="695" t="s">
        <v>1160</v>
      </c>
    </row>
    <row r="87" spans="1:5" ht="16.5" customHeight="1">
      <c r="A87" s="700" t="s">
        <v>217</v>
      </c>
      <c r="B87" s="669" t="s">
        <v>218</v>
      </c>
      <c r="C87" s="695" t="s">
        <v>272</v>
      </c>
      <c r="D87" s="1130" t="s">
        <v>881</v>
      </c>
      <c r="E87" s="695" t="s">
        <v>1160</v>
      </c>
    </row>
    <row r="88" spans="1:5" ht="16.5" customHeight="1">
      <c r="A88" s="700" t="s">
        <v>219</v>
      </c>
      <c r="B88" s="669" t="s">
        <v>220</v>
      </c>
      <c r="C88" s="695" t="s">
        <v>276</v>
      </c>
      <c r="D88" s="1130" t="s">
        <v>1125</v>
      </c>
      <c r="E88" s="695" t="s">
        <v>1161</v>
      </c>
    </row>
    <row r="89" spans="1:5" ht="16.5" customHeight="1">
      <c r="A89" s="700" t="s">
        <v>221</v>
      </c>
      <c r="B89" s="669" t="s">
        <v>222</v>
      </c>
      <c r="C89" s="695" t="s">
        <v>276</v>
      </c>
      <c r="D89" s="1130" t="s">
        <v>1127</v>
      </c>
      <c r="E89" s="695" t="s">
        <v>1161</v>
      </c>
    </row>
    <row r="90" spans="1:5" s="699" customFormat="1" ht="16.5" customHeight="1">
      <c r="A90" s="700" t="s">
        <v>225</v>
      </c>
      <c r="B90" s="669" t="s">
        <v>226</v>
      </c>
      <c r="C90" s="695" t="s">
        <v>272</v>
      </c>
      <c r="D90" s="1130" t="s">
        <v>1126</v>
      </c>
      <c r="E90" s="695" t="s">
        <v>1161</v>
      </c>
    </row>
    <row r="91" spans="1:5" ht="16.5" customHeight="1">
      <c r="A91" s="700" t="s">
        <v>227</v>
      </c>
      <c r="B91" s="669" t="s">
        <v>228</v>
      </c>
      <c r="C91" s="695" t="s">
        <v>272</v>
      </c>
      <c r="D91" s="1130" t="s">
        <v>1126</v>
      </c>
      <c r="E91" s="695" t="s">
        <v>1161</v>
      </c>
    </row>
    <row r="92" spans="1:5" ht="16.5" customHeight="1">
      <c r="A92" s="700" t="s">
        <v>229</v>
      </c>
      <c r="B92" s="669" t="s">
        <v>230</v>
      </c>
      <c r="C92" s="695" t="s">
        <v>278</v>
      </c>
      <c r="D92" s="1132" t="s">
        <v>1126</v>
      </c>
      <c r="E92" s="695" t="s">
        <v>1161</v>
      </c>
    </row>
    <row r="93" spans="1:5" ht="16.5" customHeight="1">
      <c r="A93" s="700" t="s">
        <v>233</v>
      </c>
      <c r="B93" s="669" t="s">
        <v>234</v>
      </c>
      <c r="C93" s="695" t="s">
        <v>276</v>
      </c>
      <c r="D93" s="1132" t="s">
        <v>881</v>
      </c>
      <c r="E93" s="695" t="s">
        <v>1160</v>
      </c>
    </row>
    <row r="94" spans="1:5" ht="16.5" customHeight="1">
      <c r="A94" s="700" t="s">
        <v>235</v>
      </c>
      <c r="B94" s="669" t="s">
        <v>236</v>
      </c>
      <c r="C94" s="695" t="s">
        <v>278</v>
      </c>
      <c r="D94" s="1132" t="s">
        <v>881</v>
      </c>
      <c r="E94" s="695" t="s">
        <v>1160</v>
      </c>
    </row>
    <row r="95" spans="1:5" ht="16.5" customHeight="1">
      <c r="A95" s="700" t="s">
        <v>237</v>
      </c>
      <c r="B95" s="669" t="s">
        <v>238</v>
      </c>
      <c r="C95" s="695" t="s">
        <v>275</v>
      </c>
      <c r="D95" s="1132" t="s">
        <v>881</v>
      </c>
      <c r="E95" s="695" t="s">
        <v>1160</v>
      </c>
    </row>
    <row r="96" spans="1:5" ht="16.5" customHeight="1">
      <c r="A96" s="700" t="s">
        <v>243</v>
      </c>
      <c r="B96" s="669" t="s">
        <v>244</v>
      </c>
      <c r="C96" s="695" t="s">
        <v>278</v>
      </c>
      <c r="D96" s="1132" t="s">
        <v>881</v>
      </c>
      <c r="E96" s="695" t="s">
        <v>1160</v>
      </c>
    </row>
    <row r="97" spans="1:5" ht="16.5" customHeight="1">
      <c r="A97" s="700" t="s">
        <v>245</v>
      </c>
      <c r="B97" s="669" t="s">
        <v>246</v>
      </c>
      <c r="C97" s="695" t="s">
        <v>278</v>
      </c>
      <c r="D97" s="1132" t="s">
        <v>881</v>
      </c>
      <c r="E97" s="695" t="s">
        <v>1160</v>
      </c>
    </row>
    <row r="98" spans="1:5" ht="16.5" customHeight="1">
      <c r="A98" s="700" t="s">
        <v>247</v>
      </c>
      <c r="B98" s="669" t="s">
        <v>248</v>
      </c>
      <c r="C98" s="695" t="s">
        <v>272</v>
      </c>
      <c r="D98" s="1132" t="s">
        <v>1126</v>
      </c>
      <c r="E98" s="695" t="s">
        <v>1161</v>
      </c>
    </row>
    <row r="99" spans="1:5" ht="16.5" customHeight="1">
      <c r="A99" s="700" t="s">
        <v>14</v>
      </c>
      <c r="B99" s="669" t="s">
        <v>15</v>
      </c>
      <c r="C99" s="695" t="s">
        <v>276</v>
      </c>
      <c r="D99" s="1132" t="s">
        <v>1125</v>
      </c>
      <c r="E99" s="695" t="s">
        <v>1161</v>
      </c>
    </row>
    <row r="100" spans="1:5" ht="16.5" customHeight="1">
      <c r="A100" s="700" t="s">
        <v>35</v>
      </c>
      <c r="B100" s="669" t="s">
        <v>36</v>
      </c>
      <c r="C100" s="695" t="s">
        <v>278</v>
      </c>
      <c r="D100" s="1132" t="s">
        <v>1126</v>
      </c>
      <c r="E100" s="695" t="s">
        <v>1161</v>
      </c>
    </row>
    <row r="101" spans="1:5" ht="16.5" customHeight="1">
      <c r="A101" s="700" t="s">
        <v>53</v>
      </c>
      <c r="B101" s="669" t="s">
        <v>54</v>
      </c>
      <c r="C101" s="695" t="s">
        <v>273</v>
      </c>
      <c r="D101" s="1132" t="s">
        <v>882</v>
      </c>
      <c r="E101" s="695" t="s">
        <v>1162</v>
      </c>
    </row>
    <row r="102" spans="1:5" ht="16.5" customHeight="1">
      <c r="A102" s="700" t="s">
        <v>55</v>
      </c>
      <c r="B102" s="669" t="s">
        <v>56</v>
      </c>
      <c r="C102" s="695" t="s">
        <v>272</v>
      </c>
      <c r="D102" s="1132" t="s">
        <v>882</v>
      </c>
      <c r="E102" s="695" t="s">
        <v>1162</v>
      </c>
    </row>
    <row r="103" spans="1:5" ht="16.5" customHeight="1">
      <c r="A103" s="700" t="s">
        <v>67</v>
      </c>
      <c r="B103" s="669" t="s">
        <v>68</v>
      </c>
      <c r="C103" s="695" t="s">
        <v>273</v>
      </c>
      <c r="D103" s="1132" t="s">
        <v>882</v>
      </c>
      <c r="E103" s="695" t="s">
        <v>1162</v>
      </c>
    </row>
    <row r="104" spans="1:5" ht="16.5" customHeight="1">
      <c r="A104" s="700" t="s">
        <v>83</v>
      </c>
      <c r="B104" s="669" t="s">
        <v>390</v>
      </c>
      <c r="C104" s="695" t="s">
        <v>272</v>
      </c>
      <c r="D104" s="1132" t="s">
        <v>1126</v>
      </c>
      <c r="E104" s="695" t="s">
        <v>1161</v>
      </c>
    </row>
    <row r="105" spans="1:5" ht="16.5" customHeight="1">
      <c r="A105" s="700" t="s">
        <v>89</v>
      </c>
      <c r="B105" s="669" t="s">
        <v>90</v>
      </c>
      <c r="C105" s="695" t="s">
        <v>276</v>
      </c>
      <c r="D105" s="1132" t="s">
        <v>1125</v>
      </c>
      <c r="E105" s="695" t="s">
        <v>1161</v>
      </c>
    </row>
    <row r="106" spans="1:5" ht="16.5" customHeight="1">
      <c r="A106" s="700" t="s">
        <v>91</v>
      </c>
      <c r="B106" s="669" t="s">
        <v>92</v>
      </c>
      <c r="C106" s="695" t="s">
        <v>278</v>
      </c>
      <c r="D106" s="1132" t="s">
        <v>1126</v>
      </c>
      <c r="E106" s="695" t="s">
        <v>1161</v>
      </c>
    </row>
    <row r="107" spans="1:5" ht="16.5" customHeight="1">
      <c r="A107" s="700" t="s">
        <v>107</v>
      </c>
      <c r="B107" s="669" t="s">
        <v>108</v>
      </c>
      <c r="C107" s="695" t="s">
        <v>272</v>
      </c>
      <c r="D107" s="1132" t="s">
        <v>882</v>
      </c>
      <c r="E107" s="695" t="s">
        <v>1162</v>
      </c>
    </row>
    <row r="108" spans="1:5" ht="16.5" customHeight="1">
      <c r="A108" s="700" t="s">
        <v>117</v>
      </c>
      <c r="B108" s="669" t="s">
        <v>118</v>
      </c>
      <c r="C108" s="695" t="s">
        <v>275</v>
      </c>
      <c r="D108" s="1132" t="s">
        <v>1126</v>
      </c>
      <c r="E108" s="695" t="s">
        <v>1161</v>
      </c>
    </row>
    <row r="109" spans="1:5" ht="16.5" customHeight="1">
      <c r="A109" s="700" t="s">
        <v>139</v>
      </c>
      <c r="B109" s="669" t="s">
        <v>140</v>
      </c>
      <c r="C109" s="695" t="s">
        <v>273</v>
      </c>
      <c r="D109" s="1132" t="s">
        <v>882</v>
      </c>
      <c r="E109" s="695" t="s">
        <v>1162</v>
      </c>
    </row>
    <row r="110" spans="1:5" ht="16.5" customHeight="1">
      <c r="A110" s="700" t="s">
        <v>143</v>
      </c>
      <c r="B110" s="669" t="s">
        <v>144</v>
      </c>
      <c r="C110" s="695" t="s">
        <v>276</v>
      </c>
      <c r="D110" s="1132" t="s">
        <v>1125</v>
      </c>
      <c r="E110" s="695" t="s">
        <v>1161</v>
      </c>
    </row>
    <row r="111" spans="1:5" ht="16.5" customHeight="1">
      <c r="A111" s="700" t="s">
        <v>145</v>
      </c>
      <c r="B111" s="669" t="s">
        <v>146</v>
      </c>
      <c r="C111" s="695" t="s">
        <v>276</v>
      </c>
      <c r="D111" s="1132" t="s">
        <v>1127</v>
      </c>
      <c r="E111" s="695" t="s">
        <v>1161</v>
      </c>
    </row>
    <row r="112" spans="1:5" ht="16.5" customHeight="1">
      <c r="A112" s="700" t="s">
        <v>159</v>
      </c>
      <c r="B112" s="669" t="s">
        <v>160</v>
      </c>
      <c r="C112" s="695" t="s">
        <v>272</v>
      </c>
      <c r="D112" s="1132" t="s">
        <v>882</v>
      </c>
      <c r="E112" s="695" t="s">
        <v>1162</v>
      </c>
    </row>
    <row r="113" spans="1:5" ht="16.5" customHeight="1">
      <c r="A113" s="700" t="s">
        <v>161</v>
      </c>
      <c r="B113" s="669" t="s">
        <v>162</v>
      </c>
      <c r="C113" s="695" t="s">
        <v>272</v>
      </c>
      <c r="D113" s="1132" t="s">
        <v>882</v>
      </c>
      <c r="E113" s="695" t="s">
        <v>1162</v>
      </c>
    </row>
    <row r="114" spans="1:5" ht="16.5" customHeight="1">
      <c r="A114" s="700" t="s">
        <v>167</v>
      </c>
      <c r="B114" s="669" t="s">
        <v>168</v>
      </c>
      <c r="C114" s="695" t="s">
        <v>278</v>
      </c>
      <c r="D114" s="1132" t="s">
        <v>881</v>
      </c>
      <c r="E114" s="695" t="s">
        <v>1160</v>
      </c>
    </row>
    <row r="115" spans="1:5" ht="16.5" customHeight="1">
      <c r="A115" s="700" t="s">
        <v>177</v>
      </c>
      <c r="B115" s="669" t="s">
        <v>178</v>
      </c>
      <c r="C115" s="695" t="s">
        <v>275</v>
      </c>
      <c r="D115" s="1132" t="s">
        <v>1126</v>
      </c>
      <c r="E115" s="695" t="s">
        <v>1161</v>
      </c>
    </row>
    <row r="116" spans="1:5" ht="16.5" customHeight="1">
      <c r="A116" s="700" t="s">
        <v>181</v>
      </c>
      <c r="B116" s="669" t="s">
        <v>182</v>
      </c>
      <c r="C116" s="695" t="s">
        <v>272</v>
      </c>
      <c r="D116" s="1132" t="s">
        <v>882</v>
      </c>
      <c r="E116" s="695" t="s">
        <v>1162</v>
      </c>
    </row>
    <row r="117" spans="1:5" ht="16.5" customHeight="1">
      <c r="A117" s="700" t="s">
        <v>193</v>
      </c>
      <c r="B117" s="669" t="s">
        <v>194</v>
      </c>
      <c r="C117" s="695" t="s">
        <v>278</v>
      </c>
      <c r="D117" s="1132" t="s">
        <v>881</v>
      </c>
      <c r="E117" s="695" t="s">
        <v>1160</v>
      </c>
    </row>
    <row r="118" spans="1:5" ht="16.5" customHeight="1">
      <c r="A118" s="700" t="s">
        <v>197</v>
      </c>
      <c r="B118" s="669" t="s">
        <v>391</v>
      </c>
      <c r="C118" s="695" t="s">
        <v>275</v>
      </c>
      <c r="D118" s="1132" t="s">
        <v>882</v>
      </c>
      <c r="E118" s="695" t="s">
        <v>1162</v>
      </c>
    </row>
    <row r="119" spans="1:5" ht="16.5" customHeight="1">
      <c r="A119" s="700" t="s">
        <v>201</v>
      </c>
      <c r="B119" s="669" t="s">
        <v>392</v>
      </c>
      <c r="C119" s="695" t="s">
        <v>273</v>
      </c>
      <c r="D119" s="1132" t="s">
        <v>882</v>
      </c>
      <c r="E119" s="695" t="s">
        <v>1162</v>
      </c>
    </row>
    <row r="120" spans="1:5" ht="16.5" customHeight="1">
      <c r="A120" s="700" t="s">
        <v>223</v>
      </c>
      <c r="B120" s="669" t="s">
        <v>224</v>
      </c>
      <c r="C120" s="695" t="s">
        <v>272</v>
      </c>
      <c r="D120" s="1132" t="s">
        <v>1125</v>
      </c>
      <c r="E120" s="695" t="s">
        <v>1161</v>
      </c>
    </row>
    <row r="121" spans="1:5" ht="16.5" customHeight="1">
      <c r="A121" s="700" t="s">
        <v>231</v>
      </c>
      <c r="B121" s="669" t="s">
        <v>232</v>
      </c>
      <c r="C121" s="695" t="s">
        <v>272</v>
      </c>
      <c r="D121" s="1132" t="s">
        <v>882</v>
      </c>
      <c r="E121" s="695" t="s">
        <v>1162</v>
      </c>
    </row>
    <row r="122" spans="1:5" ht="16.5" customHeight="1">
      <c r="A122" s="700" t="s">
        <v>239</v>
      </c>
      <c r="B122" s="669" t="s">
        <v>240</v>
      </c>
      <c r="C122" s="695" t="s">
        <v>272</v>
      </c>
      <c r="D122" s="1132" t="s">
        <v>1125</v>
      </c>
      <c r="E122" s="695" t="s">
        <v>1161</v>
      </c>
    </row>
    <row r="123" spans="1:5" ht="16.5" customHeight="1">
      <c r="A123" s="700" t="s">
        <v>241</v>
      </c>
      <c r="B123" s="669" t="s">
        <v>242</v>
      </c>
      <c r="C123" s="695" t="s">
        <v>276</v>
      </c>
      <c r="D123" s="1132" t="s">
        <v>882</v>
      </c>
      <c r="E123" s="695" t="s">
        <v>1162</v>
      </c>
    </row>
    <row r="125" spans="1:5">
      <c r="C125" s="692" t="s">
        <v>883</v>
      </c>
      <c r="D125" s="703">
        <f>COUNTIF(D4:D123,"ND")</f>
        <v>34</v>
      </c>
    </row>
    <row r="126" spans="1:5">
      <c r="C126" s="692" t="s">
        <v>884</v>
      </c>
      <c r="D126" s="703">
        <f>COUNTIF(D3:D123,"JW")</f>
        <v>25</v>
      </c>
    </row>
    <row r="127" spans="1:5">
      <c r="C127" s="692" t="s">
        <v>1128</v>
      </c>
      <c r="D127" s="703">
        <f>COUNTIF(D3:D123,"P")</f>
        <v>47</v>
      </c>
    </row>
    <row r="128" spans="1:5">
      <c r="C128" s="699" t="s">
        <v>1130</v>
      </c>
      <c r="D128" s="703">
        <f>COUNTIF(D3:D123,"PC")</f>
        <v>4</v>
      </c>
    </row>
    <row r="129" spans="1:4">
      <c r="C129" s="692" t="s">
        <v>1129</v>
      </c>
      <c r="D129" s="703">
        <f>COUNTIF(D3:D123,"PCC")</f>
        <v>10</v>
      </c>
    </row>
    <row r="130" spans="1:4">
      <c r="D130" s="703"/>
    </row>
    <row r="131" spans="1:4">
      <c r="D131" s="703"/>
    </row>
    <row r="133" spans="1:4">
      <c r="A133" s="705" t="s">
        <v>1010</v>
      </c>
    </row>
    <row r="135" spans="1:4" s="519" customFormat="1">
      <c r="A135" s="519" t="s">
        <v>250</v>
      </c>
    </row>
    <row r="136" spans="1:4" s="519" customFormat="1">
      <c r="A136" s="536" t="s">
        <v>251</v>
      </c>
      <c r="B136" s="407" t="s">
        <v>252</v>
      </c>
    </row>
  </sheetData>
  <mergeCells count="1">
    <mergeCell ref="A1:D1"/>
  </mergeCells>
  <hyperlinks>
    <hyperlink ref="B136" r:id="rId1"/>
  </hyperlinks>
  <pageMargins left="0.7" right="0.7" top="0.75" bottom="0.75" header="0.3" footer="0.3"/>
  <pageSetup orientation="portrait" r:id="rId2"/>
</worksheet>
</file>

<file path=xl/worksheets/sheet30.xml><?xml version="1.0" encoding="utf-8"?>
<worksheet xmlns="http://schemas.openxmlformats.org/spreadsheetml/2006/main" xmlns:r="http://schemas.openxmlformats.org/officeDocument/2006/relationships">
  <dimension ref="A1:D129"/>
  <sheetViews>
    <sheetView workbookViewId="0">
      <pane ySplit="4" topLeftCell="A5" activePane="bottomLeft" state="frozen"/>
      <selection pane="bottomLeft" activeCell="K43" sqref="K43"/>
    </sheetView>
  </sheetViews>
  <sheetFormatPr defaultRowHeight="12.75"/>
  <cols>
    <col min="1" max="1" width="8.375" style="654" customWidth="1"/>
    <col min="2" max="2" width="28.625" style="654" customWidth="1"/>
    <col min="3" max="4" width="11.625" style="654" bestFit="1" customWidth="1"/>
    <col min="5" max="16384" width="9" style="654"/>
  </cols>
  <sheetData>
    <row r="1" spans="1:4" ht="15.75">
      <c r="A1" s="108" t="s">
        <v>1101</v>
      </c>
      <c r="C1" s="844"/>
    </row>
    <row r="2" spans="1:4">
      <c r="C2" s="844"/>
    </row>
    <row r="3" spans="1:4" ht="26.25" customHeight="1">
      <c r="A3" s="1112" t="s">
        <v>372</v>
      </c>
      <c r="B3" s="1035" t="s">
        <v>373</v>
      </c>
      <c r="C3" s="1035" t="s">
        <v>562</v>
      </c>
      <c r="D3" s="1035" t="s">
        <v>563</v>
      </c>
    </row>
    <row r="4" spans="1:4">
      <c r="A4" s="1110">
        <v>999</v>
      </c>
      <c r="B4" s="1038" t="s">
        <v>9</v>
      </c>
      <c r="C4" s="1114">
        <f>SUM(C5:C124)</f>
        <v>57416869.320000008</v>
      </c>
      <c r="D4" s="1114">
        <f>SUM(D5:D124)</f>
        <v>57416869.320000008</v>
      </c>
    </row>
    <row r="5" spans="1:4">
      <c r="A5" s="1111" t="s">
        <v>10</v>
      </c>
      <c r="B5" s="1036" t="s">
        <v>11</v>
      </c>
      <c r="C5" s="1037">
        <v>993972.28999999992</v>
      </c>
      <c r="D5" s="1037">
        <v>993972.28999999992</v>
      </c>
    </row>
    <row r="6" spans="1:4">
      <c r="A6" s="1111" t="s">
        <v>12</v>
      </c>
      <c r="B6" s="1036" t="s">
        <v>13</v>
      </c>
      <c r="C6" s="1037">
        <v>375655.49</v>
      </c>
      <c r="D6" s="1037">
        <v>375655.49</v>
      </c>
    </row>
    <row r="7" spans="1:4">
      <c r="A7" s="1111" t="s">
        <v>16</v>
      </c>
      <c r="B7" s="1036" t="s">
        <v>364</v>
      </c>
      <c r="C7" s="1037">
        <v>418799.61000000004</v>
      </c>
      <c r="D7" s="1037">
        <v>418799.61000000004</v>
      </c>
    </row>
    <row r="8" spans="1:4">
      <c r="A8" s="1111" t="s">
        <v>18</v>
      </c>
      <c r="B8" s="1036" t="s">
        <v>19</v>
      </c>
      <c r="C8" s="1037">
        <v>175119.25000000003</v>
      </c>
      <c r="D8" s="1037">
        <v>175119.25000000003</v>
      </c>
    </row>
    <row r="9" spans="1:4">
      <c r="A9" s="1111" t="s">
        <v>20</v>
      </c>
      <c r="B9" s="1036" t="s">
        <v>21</v>
      </c>
      <c r="C9" s="1037">
        <v>444373.47000000003</v>
      </c>
      <c r="D9" s="1037">
        <v>444373.47000000003</v>
      </c>
    </row>
    <row r="10" spans="1:4">
      <c r="A10" s="1111" t="s">
        <v>22</v>
      </c>
      <c r="B10" s="1036" t="s">
        <v>23</v>
      </c>
      <c r="C10" s="1037">
        <v>271110.60000000003</v>
      </c>
      <c r="D10" s="1037">
        <v>271110.60000000003</v>
      </c>
    </row>
    <row r="11" spans="1:4">
      <c r="A11" s="1111" t="s">
        <v>24</v>
      </c>
      <c r="B11" s="1036" t="s">
        <v>25</v>
      </c>
      <c r="C11" s="1037">
        <v>182882.9</v>
      </c>
      <c r="D11" s="1037">
        <v>182882.9</v>
      </c>
    </row>
    <row r="12" spans="1:4">
      <c r="A12" s="1111" t="s">
        <v>26</v>
      </c>
      <c r="B12" s="1036" t="s">
        <v>1114</v>
      </c>
      <c r="C12" s="1037">
        <v>1248253.67</v>
      </c>
      <c r="D12" s="1037">
        <v>1248253.67</v>
      </c>
    </row>
    <row r="13" spans="1:4">
      <c r="A13" s="1111" t="s">
        <v>27</v>
      </c>
      <c r="B13" s="1036" t="s">
        <v>28</v>
      </c>
      <c r="C13" s="1037">
        <v>50809.26</v>
      </c>
      <c r="D13" s="1037">
        <v>50809.259999999995</v>
      </c>
    </row>
    <row r="14" spans="1:4">
      <c r="A14" s="1111" t="s">
        <v>29</v>
      </c>
      <c r="B14" s="1036" t="s">
        <v>386</v>
      </c>
      <c r="C14" s="1037">
        <v>505985.47</v>
      </c>
      <c r="D14" s="1037">
        <v>505985.47</v>
      </c>
    </row>
    <row r="15" spans="1:4">
      <c r="A15" s="1111" t="s">
        <v>31</v>
      </c>
      <c r="B15" s="1036" t="s">
        <v>32</v>
      </c>
      <c r="C15" s="1037">
        <v>87381.64</v>
      </c>
      <c r="D15" s="1037">
        <v>87381.64</v>
      </c>
    </row>
    <row r="16" spans="1:4">
      <c r="A16" s="1111" t="s">
        <v>33</v>
      </c>
      <c r="B16" s="1036" t="s">
        <v>34</v>
      </c>
      <c r="C16" s="1037">
        <v>136452.38</v>
      </c>
      <c r="D16" s="1037">
        <v>136452.38</v>
      </c>
    </row>
    <row r="17" spans="1:4">
      <c r="A17" s="1111" t="s">
        <v>37</v>
      </c>
      <c r="B17" s="1036" t="s">
        <v>38</v>
      </c>
      <c r="C17" s="1037">
        <v>551189.97</v>
      </c>
      <c r="D17" s="1037">
        <v>551189.97</v>
      </c>
    </row>
    <row r="18" spans="1:4">
      <c r="A18" s="1111" t="s">
        <v>39</v>
      </c>
      <c r="B18" s="1036" t="s">
        <v>40</v>
      </c>
      <c r="C18" s="1037">
        <v>1093492.48</v>
      </c>
      <c r="D18" s="1037">
        <v>1093492.48</v>
      </c>
    </row>
    <row r="19" spans="1:4">
      <c r="A19" s="1111" t="s">
        <v>41</v>
      </c>
      <c r="B19" s="1036" t="s">
        <v>42</v>
      </c>
      <c r="C19" s="1037">
        <v>341958.39</v>
      </c>
      <c r="D19" s="1037">
        <v>341958.39</v>
      </c>
    </row>
    <row r="20" spans="1:4">
      <c r="A20" s="1111" t="s">
        <v>43</v>
      </c>
      <c r="B20" s="1036" t="s">
        <v>44</v>
      </c>
      <c r="C20" s="1037">
        <v>865341.38</v>
      </c>
      <c r="D20" s="1037">
        <v>865341.38</v>
      </c>
    </row>
    <row r="21" spans="1:4">
      <c r="A21" s="1111" t="s">
        <v>45</v>
      </c>
      <c r="B21" s="1036" t="s">
        <v>46</v>
      </c>
      <c r="C21" s="1037">
        <v>212815.61000000002</v>
      </c>
      <c r="D21" s="1037">
        <v>212815.61000000002</v>
      </c>
    </row>
    <row r="22" spans="1:4">
      <c r="A22" s="1111" t="s">
        <v>47</v>
      </c>
      <c r="B22" s="1036" t="s">
        <v>48</v>
      </c>
      <c r="C22" s="1037">
        <v>714994.99000000011</v>
      </c>
      <c r="D22" s="1037">
        <v>714994.99000000011</v>
      </c>
    </row>
    <row r="23" spans="1:4">
      <c r="A23" s="1111" t="s">
        <v>49</v>
      </c>
      <c r="B23" s="1036" t="s">
        <v>279</v>
      </c>
      <c r="C23" s="1037">
        <v>83823.73000000001</v>
      </c>
      <c r="D23" s="1037">
        <v>83823.73000000001</v>
      </c>
    </row>
    <row r="24" spans="1:4">
      <c r="A24" s="1111" t="s">
        <v>51</v>
      </c>
      <c r="B24" s="1036" t="s">
        <v>52</v>
      </c>
      <c r="C24" s="1037">
        <v>314351.63</v>
      </c>
      <c r="D24" s="1037">
        <v>314351.63</v>
      </c>
    </row>
    <row r="25" spans="1:4">
      <c r="A25" s="1111" t="s">
        <v>57</v>
      </c>
      <c r="B25" s="1036" t="s">
        <v>362</v>
      </c>
      <c r="C25" s="1037">
        <v>953437.88</v>
      </c>
      <c r="D25" s="1037">
        <v>953437.88</v>
      </c>
    </row>
    <row r="26" spans="1:4">
      <c r="A26" s="1111" t="s">
        <v>59</v>
      </c>
      <c r="B26" s="1036" t="s">
        <v>60</v>
      </c>
      <c r="C26" s="1037">
        <v>38725.810000000005</v>
      </c>
      <c r="D26" s="1037">
        <v>38725.810000000005</v>
      </c>
    </row>
    <row r="27" spans="1:4">
      <c r="A27" s="1111" t="s">
        <v>61</v>
      </c>
      <c r="B27" s="1036" t="s">
        <v>62</v>
      </c>
      <c r="C27" s="1037">
        <v>91168.090000000011</v>
      </c>
      <c r="D27" s="1037">
        <v>91168.090000000011</v>
      </c>
    </row>
    <row r="28" spans="1:4">
      <c r="A28" s="1111" t="s">
        <v>63</v>
      </c>
      <c r="B28" s="1036" t="s">
        <v>64</v>
      </c>
      <c r="C28" s="1037">
        <v>278405.93</v>
      </c>
      <c r="D28" s="1037">
        <v>278405.93</v>
      </c>
    </row>
    <row r="29" spans="1:4">
      <c r="A29" s="1111" t="s">
        <v>65</v>
      </c>
      <c r="B29" s="1036" t="s">
        <v>66</v>
      </c>
      <c r="C29" s="1037">
        <v>192790.72</v>
      </c>
      <c r="D29" s="1037">
        <v>192790.72</v>
      </c>
    </row>
    <row r="30" spans="1:4">
      <c r="A30" s="1111" t="s">
        <v>69</v>
      </c>
      <c r="B30" s="1036" t="s">
        <v>70</v>
      </c>
      <c r="C30" s="1037">
        <v>629362.11</v>
      </c>
      <c r="D30" s="1037">
        <v>629362.11</v>
      </c>
    </row>
    <row r="31" spans="1:4">
      <c r="A31" s="1111" t="s">
        <v>71</v>
      </c>
      <c r="B31" s="1036" t="s">
        <v>72</v>
      </c>
      <c r="C31" s="1037">
        <v>449465.48</v>
      </c>
      <c r="D31" s="1037">
        <v>449465.48</v>
      </c>
    </row>
    <row r="32" spans="1:4">
      <c r="A32" s="1111" t="s">
        <v>73</v>
      </c>
      <c r="B32" s="1036" t="s">
        <v>74</v>
      </c>
      <c r="C32" s="1037">
        <v>211089.37</v>
      </c>
      <c r="D32" s="1037">
        <v>211089.37</v>
      </c>
    </row>
    <row r="33" spans="1:4">
      <c r="A33" s="1111" t="s">
        <v>75</v>
      </c>
      <c r="B33" s="1036" t="s">
        <v>369</v>
      </c>
      <c r="C33" s="1037">
        <v>497033.54</v>
      </c>
      <c r="D33" s="1037">
        <v>497033.54</v>
      </c>
    </row>
    <row r="34" spans="1:4">
      <c r="A34" s="1111" t="s">
        <v>77</v>
      </c>
      <c r="B34" s="1036" t="s">
        <v>78</v>
      </c>
      <c r="C34" s="1037">
        <v>145331.84</v>
      </c>
      <c r="D34" s="1037">
        <v>145331.84</v>
      </c>
    </row>
    <row r="35" spans="1:4">
      <c r="A35" s="1111" t="s">
        <v>79</v>
      </c>
      <c r="B35" s="1036" t="s">
        <v>80</v>
      </c>
      <c r="C35" s="1037">
        <v>263698.94</v>
      </c>
      <c r="D35" s="1037">
        <v>263698.94</v>
      </c>
    </row>
    <row r="36" spans="1:4">
      <c r="A36" s="1111" t="s">
        <v>81</v>
      </c>
      <c r="B36" s="1036" t="s">
        <v>82</v>
      </c>
      <c r="C36" s="1037">
        <v>146819.44</v>
      </c>
      <c r="D36" s="1037">
        <v>146819.44</v>
      </c>
    </row>
    <row r="37" spans="1:4">
      <c r="A37" s="1111" t="s">
        <v>85</v>
      </c>
      <c r="B37" s="1036" t="s">
        <v>387</v>
      </c>
      <c r="C37" s="1037">
        <v>777878.1100000001</v>
      </c>
      <c r="D37" s="1037">
        <v>777878.1100000001</v>
      </c>
    </row>
    <row r="38" spans="1:4">
      <c r="A38" s="1111" t="s">
        <v>87</v>
      </c>
      <c r="B38" s="1036" t="s">
        <v>88</v>
      </c>
      <c r="C38" s="1037">
        <v>330599.76999999996</v>
      </c>
      <c r="D38" s="1037">
        <v>330599.76999999996</v>
      </c>
    </row>
    <row r="39" spans="1:4">
      <c r="A39" s="1111" t="s">
        <v>93</v>
      </c>
      <c r="B39" s="1036" t="s">
        <v>94</v>
      </c>
      <c r="C39" s="1037">
        <v>325295.76</v>
      </c>
      <c r="D39" s="1037">
        <v>325295.76</v>
      </c>
    </row>
    <row r="40" spans="1:4">
      <c r="A40" s="1111" t="s">
        <v>95</v>
      </c>
      <c r="B40" s="1036" t="s">
        <v>96</v>
      </c>
      <c r="C40" s="1037">
        <v>238113.65000000002</v>
      </c>
      <c r="D40" s="1037">
        <v>238113.65000000002</v>
      </c>
    </row>
    <row r="41" spans="1:4">
      <c r="A41" s="1111" t="s">
        <v>97</v>
      </c>
      <c r="B41" s="1036" t="s">
        <v>98</v>
      </c>
      <c r="C41" s="1037">
        <v>116871.61</v>
      </c>
      <c r="D41" s="1037">
        <v>116871.61</v>
      </c>
    </row>
    <row r="42" spans="1:4">
      <c r="A42" s="1111" t="s">
        <v>99</v>
      </c>
      <c r="B42" s="1036" t="s">
        <v>100</v>
      </c>
      <c r="C42" s="1037">
        <v>479715.36</v>
      </c>
      <c r="D42" s="1037">
        <v>479715.36</v>
      </c>
    </row>
    <row r="43" spans="1:4">
      <c r="A43" s="1111" t="s">
        <v>101</v>
      </c>
      <c r="B43" s="1036" t="s">
        <v>102</v>
      </c>
      <c r="C43" s="1037">
        <v>143496.26999999999</v>
      </c>
      <c r="D43" s="1037">
        <v>143496.26999999999</v>
      </c>
    </row>
    <row r="44" spans="1:4">
      <c r="A44" s="1111" t="s">
        <v>103</v>
      </c>
      <c r="B44" s="1036" t="s">
        <v>104</v>
      </c>
      <c r="C44" s="1037">
        <v>359237.39</v>
      </c>
      <c r="D44" s="1037">
        <v>359237.39</v>
      </c>
    </row>
    <row r="45" spans="1:4">
      <c r="A45" s="1111" t="s">
        <v>105</v>
      </c>
      <c r="B45" s="1036" t="s">
        <v>388</v>
      </c>
      <c r="C45" s="1037">
        <v>1133204.77</v>
      </c>
      <c r="D45" s="1037">
        <v>1133204.77</v>
      </c>
    </row>
    <row r="46" spans="1:4">
      <c r="A46" s="1111" t="s">
        <v>109</v>
      </c>
      <c r="B46" s="1036" t="s">
        <v>110</v>
      </c>
      <c r="C46" s="1037">
        <v>326877.44000000006</v>
      </c>
      <c r="D46" s="1037">
        <v>326877.44000000006</v>
      </c>
    </row>
    <row r="47" spans="1:4">
      <c r="A47" s="1111" t="s">
        <v>111</v>
      </c>
      <c r="B47" s="1036" t="s">
        <v>112</v>
      </c>
      <c r="C47" s="1037">
        <v>1441637.36</v>
      </c>
      <c r="D47" s="1037">
        <v>1441637.36</v>
      </c>
    </row>
    <row r="48" spans="1:4">
      <c r="A48" s="1111" t="s">
        <v>113</v>
      </c>
      <c r="B48" s="1036" t="s">
        <v>367</v>
      </c>
      <c r="C48" s="1037">
        <v>1603264.1199999999</v>
      </c>
      <c r="D48" s="1037">
        <v>1603264.1199999999</v>
      </c>
    </row>
    <row r="49" spans="1:4">
      <c r="A49" s="1111" t="s">
        <v>115</v>
      </c>
      <c r="B49" s="1036" t="s">
        <v>116</v>
      </c>
      <c r="C49" s="1037">
        <v>23493.65</v>
      </c>
      <c r="D49" s="1037">
        <v>23493.65</v>
      </c>
    </row>
    <row r="50" spans="1:4">
      <c r="A50" s="1111" t="s">
        <v>119</v>
      </c>
      <c r="B50" s="1036" t="s">
        <v>120</v>
      </c>
      <c r="C50" s="1037">
        <v>263733.23</v>
      </c>
      <c r="D50" s="1037">
        <v>263733.23</v>
      </c>
    </row>
    <row r="51" spans="1:4">
      <c r="A51" s="1111" t="s">
        <v>121</v>
      </c>
      <c r="B51" s="1036" t="s">
        <v>122</v>
      </c>
      <c r="C51" s="1037">
        <v>203830.55</v>
      </c>
      <c r="D51" s="1037">
        <v>203830.55</v>
      </c>
    </row>
    <row r="52" spans="1:4">
      <c r="A52" s="1111" t="s">
        <v>123</v>
      </c>
      <c r="B52" s="1036" t="s">
        <v>284</v>
      </c>
      <c r="C52" s="1037">
        <v>111222.95</v>
      </c>
      <c r="D52" s="1037">
        <v>111222.95</v>
      </c>
    </row>
    <row r="53" spans="1:4">
      <c r="A53" s="1111" t="s">
        <v>125</v>
      </c>
      <c r="B53" s="1036" t="s">
        <v>126</v>
      </c>
      <c r="C53" s="1037">
        <v>159636.49</v>
      </c>
      <c r="D53" s="1037">
        <v>159636.49</v>
      </c>
    </row>
    <row r="54" spans="1:4">
      <c r="A54" s="1111" t="s">
        <v>127</v>
      </c>
      <c r="B54" s="1036" t="s">
        <v>128</v>
      </c>
      <c r="C54" s="1037">
        <v>98077.61</v>
      </c>
      <c r="D54" s="1037">
        <v>98077.61</v>
      </c>
    </row>
    <row r="55" spans="1:4">
      <c r="A55" s="1111" t="s">
        <v>129</v>
      </c>
      <c r="B55" s="1036" t="s">
        <v>130</v>
      </c>
      <c r="C55" s="1037">
        <v>207825.26</v>
      </c>
      <c r="D55" s="1037">
        <v>207825.26</v>
      </c>
    </row>
    <row r="56" spans="1:4">
      <c r="A56" s="1111" t="s">
        <v>131</v>
      </c>
      <c r="B56" s="1036" t="s">
        <v>132</v>
      </c>
      <c r="C56" s="1037">
        <v>1100590.69</v>
      </c>
      <c r="D56" s="1037">
        <v>1100590.69</v>
      </c>
    </row>
    <row r="57" spans="1:4">
      <c r="A57" s="1111" t="s">
        <v>133</v>
      </c>
      <c r="B57" s="1036" t="s">
        <v>134</v>
      </c>
      <c r="C57" s="1037">
        <v>134628.39000000001</v>
      </c>
      <c r="D57" s="1037">
        <v>134628.39000000001</v>
      </c>
    </row>
    <row r="58" spans="1:4">
      <c r="A58" s="1111" t="s">
        <v>135</v>
      </c>
      <c r="B58" s="1036" t="s">
        <v>136</v>
      </c>
      <c r="C58" s="1037">
        <v>361703.3</v>
      </c>
      <c r="D58" s="1037">
        <v>361703.3</v>
      </c>
    </row>
    <row r="59" spans="1:4">
      <c r="A59" s="1111" t="s">
        <v>137</v>
      </c>
      <c r="B59" s="1036" t="s">
        <v>138</v>
      </c>
      <c r="C59" s="1037">
        <v>351409.11</v>
      </c>
      <c r="D59" s="1037">
        <v>351409.11</v>
      </c>
    </row>
    <row r="60" spans="1:4">
      <c r="A60" s="1111" t="s">
        <v>141</v>
      </c>
      <c r="B60" s="1036" t="s">
        <v>142</v>
      </c>
      <c r="C60" s="1037">
        <v>111346.40999999999</v>
      </c>
      <c r="D60" s="1037">
        <v>111346.40999999999</v>
      </c>
    </row>
    <row r="61" spans="1:4">
      <c r="A61" s="1111" t="s">
        <v>147</v>
      </c>
      <c r="B61" s="1036" t="s">
        <v>148</v>
      </c>
      <c r="C61" s="1037">
        <v>84965.01999999999</v>
      </c>
      <c r="D61" s="1037">
        <v>84965.01999999999</v>
      </c>
    </row>
    <row r="62" spans="1:4">
      <c r="A62" s="1111" t="s">
        <v>149</v>
      </c>
      <c r="B62" s="1036" t="s">
        <v>150</v>
      </c>
      <c r="C62" s="1037">
        <v>913100.69</v>
      </c>
      <c r="D62" s="1037">
        <v>913100.69</v>
      </c>
    </row>
    <row r="63" spans="1:4">
      <c r="A63" s="1111" t="s">
        <v>151</v>
      </c>
      <c r="B63" s="1036" t="s">
        <v>152</v>
      </c>
      <c r="C63" s="1037">
        <v>132734.74</v>
      </c>
      <c r="D63" s="1037">
        <v>132734.74</v>
      </c>
    </row>
    <row r="64" spans="1:4">
      <c r="A64" s="1111" t="s">
        <v>153</v>
      </c>
      <c r="B64" s="1036" t="s">
        <v>154</v>
      </c>
      <c r="C64" s="1037">
        <v>808749.80999999994</v>
      </c>
      <c r="D64" s="1037">
        <v>808749.80999999994</v>
      </c>
    </row>
    <row r="65" spans="1:4">
      <c r="A65" s="1111" t="s">
        <v>155</v>
      </c>
      <c r="B65" s="1036" t="s">
        <v>156</v>
      </c>
      <c r="C65" s="1037">
        <v>283766.39</v>
      </c>
      <c r="D65" s="1037">
        <v>283766.39</v>
      </c>
    </row>
    <row r="66" spans="1:4">
      <c r="A66" s="1111" t="s">
        <v>157</v>
      </c>
      <c r="B66" s="1036" t="s">
        <v>158</v>
      </c>
      <c r="C66" s="1037">
        <v>49900.549999999996</v>
      </c>
      <c r="D66" s="1037">
        <v>49900.549999999996</v>
      </c>
    </row>
    <row r="67" spans="1:4">
      <c r="A67" s="1111" t="s">
        <v>163</v>
      </c>
      <c r="B67" s="1036" t="s">
        <v>164</v>
      </c>
      <c r="C67" s="1037">
        <v>458447.48</v>
      </c>
      <c r="D67" s="1037">
        <v>458447.48</v>
      </c>
    </row>
    <row r="68" spans="1:4">
      <c r="A68" s="1111" t="s">
        <v>165</v>
      </c>
      <c r="B68" s="1036" t="s">
        <v>166</v>
      </c>
      <c r="C68" s="1037">
        <v>195658.28000000003</v>
      </c>
      <c r="D68" s="1037">
        <v>195658.28000000003</v>
      </c>
    </row>
    <row r="69" spans="1:4">
      <c r="A69" s="1111" t="s">
        <v>169</v>
      </c>
      <c r="B69" s="1036" t="s">
        <v>170</v>
      </c>
      <c r="C69" s="1037">
        <v>339579.68</v>
      </c>
      <c r="D69" s="1037">
        <v>339579.68</v>
      </c>
    </row>
    <row r="70" spans="1:4">
      <c r="A70" s="1111" t="s">
        <v>171</v>
      </c>
      <c r="B70" s="1036" t="s">
        <v>172</v>
      </c>
      <c r="C70" s="1037">
        <v>221753.83999999997</v>
      </c>
      <c r="D70" s="1037">
        <v>221753.83999999997</v>
      </c>
    </row>
    <row r="71" spans="1:4">
      <c r="A71" s="1111" t="s">
        <v>173</v>
      </c>
      <c r="B71" s="1036" t="s">
        <v>174</v>
      </c>
      <c r="C71" s="1037">
        <v>369011.68</v>
      </c>
      <c r="D71" s="1037">
        <v>369011.68</v>
      </c>
    </row>
    <row r="72" spans="1:4">
      <c r="A72" s="1111" t="s">
        <v>175</v>
      </c>
      <c r="B72" s="1036" t="s">
        <v>176</v>
      </c>
      <c r="C72" s="1037">
        <v>544920.22</v>
      </c>
      <c r="D72" s="1037">
        <v>544920.22</v>
      </c>
    </row>
    <row r="73" spans="1:4">
      <c r="A73" s="1111" t="s">
        <v>179</v>
      </c>
      <c r="B73" s="1036" t="s">
        <v>180</v>
      </c>
      <c r="C73" s="1037">
        <v>1225633.98</v>
      </c>
      <c r="D73" s="1037">
        <v>1225633.98</v>
      </c>
    </row>
    <row r="74" spans="1:4">
      <c r="A74" s="1111" t="s">
        <v>183</v>
      </c>
      <c r="B74" s="1036" t="s">
        <v>184</v>
      </c>
      <c r="C74" s="1037">
        <v>98628.69</v>
      </c>
      <c r="D74" s="1037">
        <v>98628.69</v>
      </c>
    </row>
    <row r="75" spans="1:4">
      <c r="A75" s="1111" t="s">
        <v>185</v>
      </c>
      <c r="B75" s="1036" t="s">
        <v>186</v>
      </c>
      <c r="C75" s="1037">
        <v>347161.52</v>
      </c>
      <c r="D75" s="1037">
        <v>347161.52</v>
      </c>
    </row>
    <row r="76" spans="1:4">
      <c r="A76" s="1111" t="s">
        <v>187</v>
      </c>
      <c r="B76" s="1036" t="s">
        <v>188</v>
      </c>
      <c r="C76" s="1037">
        <v>128785.04999999999</v>
      </c>
      <c r="D76" s="1037">
        <v>128785.04999999999</v>
      </c>
    </row>
    <row r="77" spans="1:4">
      <c r="A77" s="1111" t="s">
        <v>189</v>
      </c>
      <c r="B77" s="1036" t="s">
        <v>190</v>
      </c>
      <c r="C77" s="1037">
        <v>427346.55</v>
      </c>
      <c r="D77" s="1037">
        <v>427346.55</v>
      </c>
    </row>
    <row r="78" spans="1:4">
      <c r="A78" s="1111" t="s">
        <v>191</v>
      </c>
      <c r="B78" s="1036" t="s">
        <v>192</v>
      </c>
      <c r="C78" s="1037">
        <v>836041.76</v>
      </c>
      <c r="D78" s="1037">
        <v>836041.76</v>
      </c>
    </row>
    <row r="79" spans="1:4">
      <c r="A79" s="1111" t="s">
        <v>195</v>
      </c>
      <c r="B79" s="1036" t="s">
        <v>196</v>
      </c>
      <c r="C79" s="1037">
        <v>38926.629999999997</v>
      </c>
      <c r="D79" s="1037">
        <v>38926.629999999997</v>
      </c>
    </row>
    <row r="80" spans="1:4">
      <c r="A80" s="1111" t="s">
        <v>199</v>
      </c>
      <c r="B80" s="1036" t="s">
        <v>200</v>
      </c>
      <c r="C80" s="1037">
        <v>155434.91</v>
      </c>
      <c r="D80" s="1037">
        <v>155434.91</v>
      </c>
    </row>
    <row r="81" spans="1:4">
      <c r="A81" s="1111" t="s">
        <v>203</v>
      </c>
      <c r="B81" s="1036" t="s">
        <v>204</v>
      </c>
      <c r="C81" s="1037">
        <v>479147.83</v>
      </c>
      <c r="D81" s="1037">
        <v>479147.83</v>
      </c>
    </row>
    <row r="82" spans="1:4">
      <c r="A82" s="1111" t="s">
        <v>205</v>
      </c>
      <c r="B82" s="1036" t="s">
        <v>206</v>
      </c>
      <c r="C82" s="1037">
        <v>558091.74</v>
      </c>
      <c r="D82" s="1037">
        <v>558091.74</v>
      </c>
    </row>
    <row r="83" spans="1:4">
      <c r="A83" s="1111" t="s">
        <v>207</v>
      </c>
      <c r="B83" s="1036" t="s">
        <v>208</v>
      </c>
      <c r="C83" s="1037">
        <v>782347.87</v>
      </c>
      <c r="D83" s="1037">
        <v>782347.87</v>
      </c>
    </row>
    <row r="84" spans="1:4">
      <c r="A84" s="1111" t="s">
        <v>209</v>
      </c>
      <c r="B84" s="1036" t="s">
        <v>210</v>
      </c>
      <c r="C84" s="1037">
        <v>949354.25</v>
      </c>
      <c r="D84" s="1037">
        <v>949354.25</v>
      </c>
    </row>
    <row r="85" spans="1:4">
      <c r="A85" s="1111" t="s">
        <v>211</v>
      </c>
      <c r="B85" s="1036" t="s">
        <v>212</v>
      </c>
      <c r="C85" s="1037">
        <v>673125.34</v>
      </c>
      <c r="D85" s="1037">
        <v>673125.34</v>
      </c>
    </row>
    <row r="86" spans="1:4">
      <c r="A86" s="1111" t="s">
        <v>213</v>
      </c>
      <c r="B86" s="1036" t="s">
        <v>214</v>
      </c>
      <c r="C86" s="1037">
        <v>340195.16</v>
      </c>
      <c r="D86" s="1037">
        <v>340195.16</v>
      </c>
    </row>
    <row r="87" spans="1:4">
      <c r="A87" s="1111" t="s">
        <v>215</v>
      </c>
      <c r="B87" s="1036" t="s">
        <v>216</v>
      </c>
      <c r="C87" s="1037">
        <v>1085178.49</v>
      </c>
      <c r="D87" s="1037">
        <v>1085178.49</v>
      </c>
    </row>
    <row r="88" spans="1:4">
      <c r="A88" s="1111" t="s">
        <v>217</v>
      </c>
      <c r="B88" s="1036" t="s">
        <v>218</v>
      </c>
      <c r="C88" s="1037">
        <v>287921.14</v>
      </c>
      <c r="D88" s="1037">
        <v>287921.14</v>
      </c>
    </row>
    <row r="89" spans="1:4">
      <c r="A89" s="1111" t="s">
        <v>219</v>
      </c>
      <c r="B89" s="1036" t="s">
        <v>220</v>
      </c>
      <c r="C89" s="1037">
        <v>320743.42</v>
      </c>
      <c r="D89" s="1037">
        <v>320743.42</v>
      </c>
    </row>
    <row r="90" spans="1:4">
      <c r="A90" s="1111" t="s">
        <v>221</v>
      </c>
      <c r="B90" s="1036" t="s">
        <v>222</v>
      </c>
      <c r="C90" s="1037">
        <v>195413.03</v>
      </c>
      <c r="D90" s="1037">
        <v>195413.03</v>
      </c>
    </row>
    <row r="91" spans="1:4">
      <c r="A91" s="1111" t="s">
        <v>225</v>
      </c>
      <c r="B91" s="1036" t="s">
        <v>226</v>
      </c>
      <c r="C91" s="1037">
        <v>92444.790000000008</v>
      </c>
      <c r="D91" s="1037">
        <v>92444.790000000008</v>
      </c>
    </row>
    <row r="92" spans="1:4">
      <c r="A92" s="1111" t="s">
        <v>227</v>
      </c>
      <c r="B92" s="1036" t="s">
        <v>228</v>
      </c>
      <c r="C92" s="1037">
        <v>190110.44</v>
      </c>
      <c r="D92" s="1037">
        <v>190110.44</v>
      </c>
    </row>
    <row r="93" spans="1:4">
      <c r="A93" s="1111" t="s">
        <v>229</v>
      </c>
      <c r="B93" s="1036" t="s">
        <v>230</v>
      </c>
      <c r="C93" s="1037">
        <v>1246863.78</v>
      </c>
      <c r="D93" s="1037">
        <v>1246863.78</v>
      </c>
    </row>
    <row r="94" spans="1:4">
      <c r="A94" s="1111" t="s">
        <v>233</v>
      </c>
      <c r="B94" s="1036" t="s">
        <v>234</v>
      </c>
      <c r="C94" s="1037">
        <v>270352.38</v>
      </c>
      <c r="D94" s="1037">
        <v>270352.38</v>
      </c>
    </row>
    <row r="95" spans="1:4">
      <c r="A95" s="1111" t="s">
        <v>235</v>
      </c>
      <c r="B95" s="1036" t="s">
        <v>236</v>
      </c>
      <c r="C95" s="1037">
        <v>947496.85</v>
      </c>
      <c r="D95" s="1037">
        <v>947496.85</v>
      </c>
    </row>
    <row r="96" spans="1:4">
      <c r="A96" s="1111" t="s">
        <v>237</v>
      </c>
      <c r="B96" s="1036" t="s">
        <v>238</v>
      </c>
      <c r="C96" s="1037">
        <v>308116.82999999996</v>
      </c>
      <c r="D96" s="1037">
        <v>308116.82999999996</v>
      </c>
    </row>
    <row r="97" spans="1:4">
      <c r="A97" s="1111" t="s">
        <v>243</v>
      </c>
      <c r="B97" s="1036" t="s">
        <v>244</v>
      </c>
      <c r="C97" s="1037">
        <v>1111884.6399999999</v>
      </c>
      <c r="D97" s="1037">
        <v>1111884.6399999999</v>
      </c>
    </row>
    <row r="98" spans="1:4">
      <c r="A98" s="1111" t="s">
        <v>245</v>
      </c>
      <c r="B98" s="1036" t="s">
        <v>246</v>
      </c>
      <c r="C98" s="1037">
        <v>526498.29</v>
      </c>
      <c r="D98" s="1037">
        <v>526498.29</v>
      </c>
    </row>
    <row r="99" spans="1:4">
      <c r="A99" s="1111" t="s">
        <v>247</v>
      </c>
      <c r="B99" s="1036" t="s">
        <v>389</v>
      </c>
      <c r="C99" s="1037">
        <v>132328.41</v>
      </c>
      <c r="D99" s="1037">
        <v>132328.41</v>
      </c>
    </row>
    <row r="100" spans="1:4">
      <c r="A100" s="1111" t="s">
        <v>14</v>
      </c>
      <c r="B100" s="1036" t="s">
        <v>15</v>
      </c>
      <c r="C100" s="1037">
        <v>228365.38</v>
      </c>
      <c r="D100" s="1037">
        <v>228365.38</v>
      </c>
    </row>
    <row r="101" spans="1:4">
      <c r="A101" s="1111" t="s">
        <v>35</v>
      </c>
      <c r="B101" s="1036" t="s">
        <v>36</v>
      </c>
      <c r="C101" s="1037">
        <v>318877.52999999997</v>
      </c>
      <c r="D101" s="1037">
        <v>318877.52999999997</v>
      </c>
    </row>
    <row r="102" spans="1:4">
      <c r="A102" s="1111" t="s">
        <v>53</v>
      </c>
      <c r="B102" s="1036" t="s">
        <v>54</v>
      </c>
      <c r="C102" s="1037">
        <v>272186.01</v>
      </c>
      <c r="D102" s="1037">
        <v>272186.01</v>
      </c>
    </row>
    <row r="103" spans="1:4">
      <c r="A103" s="1111" t="s">
        <v>55</v>
      </c>
      <c r="B103" s="1036" t="s">
        <v>56</v>
      </c>
      <c r="C103" s="1037">
        <v>793515.41999999993</v>
      </c>
      <c r="D103" s="1037">
        <v>793515.41999999993</v>
      </c>
    </row>
    <row r="104" spans="1:4">
      <c r="A104" s="1111" t="s">
        <v>67</v>
      </c>
      <c r="B104" s="1036" t="s">
        <v>68</v>
      </c>
      <c r="C104" s="1037">
        <v>1042196.8700000001</v>
      </c>
      <c r="D104" s="1037">
        <v>1042196.8700000001</v>
      </c>
    </row>
    <row r="105" spans="1:4">
      <c r="A105" s="1111" t="s">
        <v>83</v>
      </c>
      <c r="B105" s="1036" t="s">
        <v>390</v>
      </c>
      <c r="C105" s="1037">
        <v>208324.42</v>
      </c>
      <c r="D105" s="1037">
        <v>208324.42</v>
      </c>
    </row>
    <row r="106" spans="1:4">
      <c r="A106" s="1111" t="s">
        <v>89</v>
      </c>
      <c r="B106" s="1036" t="s">
        <v>90</v>
      </c>
      <c r="C106" s="1037">
        <v>169251.13</v>
      </c>
      <c r="D106" s="1037">
        <v>169251.13</v>
      </c>
    </row>
    <row r="107" spans="1:4">
      <c r="A107" s="1111" t="s">
        <v>91</v>
      </c>
      <c r="B107" s="1036" t="s">
        <v>92</v>
      </c>
      <c r="C107" s="1037">
        <v>261493.07</v>
      </c>
      <c r="D107" s="1037">
        <v>261493.07</v>
      </c>
    </row>
    <row r="108" spans="1:4">
      <c r="A108" s="1111" t="s">
        <v>107</v>
      </c>
      <c r="B108" s="1036" t="s">
        <v>108</v>
      </c>
      <c r="C108" s="1037">
        <v>756074.17</v>
      </c>
      <c r="D108" s="1037">
        <v>756074.17</v>
      </c>
    </row>
    <row r="109" spans="1:4">
      <c r="A109" s="1111" t="s">
        <v>117</v>
      </c>
      <c r="B109" s="1036" t="s">
        <v>118</v>
      </c>
      <c r="C109" s="1037">
        <v>313023.09000000003</v>
      </c>
      <c r="D109" s="1037">
        <v>313023.09000000003</v>
      </c>
    </row>
    <row r="110" spans="1:4">
      <c r="A110" s="1111" t="s">
        <v>139</v>
      </c>
      <c r="B110" s="1036" t="s">
        <v>140</v>
      </c>
      <c r="C110" s="1037">
        <v>1234735.76</v>
      </c>
      <c r="D110" s="1037">
        <v>1234735.76</v>
      </c>
    </row>
    <row r="111" spans="1:4">
      <c r="A111" s="1111" t="s">
        <v>143</v>
      </c>
      <c r="B111" s="1036" t="s">
        <v>144</v>
      </c>
      <c r="C111" s="1037">
        <v>63533.9</v>
      </c>
      <c r="D111" s="1037">
        <v>63533.9</v>
      </c>
    </row>
    <row r="112" spans="1:4">
      <c r="A112" s="1111" t="s">
        <v>145</v>
      </c>
      <c r="B112" s="1036" t="s">
        <v>146</v>
      </c>
      <c r="C112" s="1037">
        <v>22372.25</v>
      </c>
      <c r="D112" s="1037">
        <v>22372.25</v>
      </c>
    </row>
    <row r="113" spans="1:4">
      <c r="A113" s="1111" t="s">
        <v>159</v>
      </c>
      <c r="B113" s="1036" t="s">
        <v>160</v>
      </c>
      <c r="C113" s="1037">
        <v>1310347.3799999999</v>
      </c>
      <c r="D113" s="1037">
        <v>1310347.3799999999</v>
      </c>
    </row>
    <row r="114" spans="1:4">
      <c r="A114" s="1111" t="s">
        <v>161</v>
      </c>
      <c r="B114" s="1036" t="s">
        <v>162</v>
      </c>
      <c r="C114" s="1037">
        <v>1618045.74</v>
      </c>
      <c r="D114" s="1037">
        <v>1618045.74</v>
      </c>
    </row>
    <row r="115" spans="1:4">
      <c r="A115" s="1111" t="s">
        <v>167</v>
      </c>
      <c r="B115" s="1036" t="s">
        <v>168</v>
      </c>
      <c r="C115" s="1037">
        <v>137205.82</v>
      </c>
      <c r="D115" s="1037">
        <v>137205.82</v>
      </c>
    </row>
    <row r="116" spans="1:4">
      <c r="A116" s="1111" t="s">
        <v>177</v>
      </c>
      <c r="B116" s="1036" t="s">
        <v>178</v>
      </c>
      <c r="C116" s="1037">
        <v>746324.64999999991</v>
      </c>
      <c r="D116" s="1037">
        <v>746324.64999999991</v>
      </c>
    </row>
    <row r="117" spans="1:4">
      <c r="A117" s="1111" t="s">
        <v>181</v>
      </c>
      <c r="B117" s="1036" t="s">
        <v>182</v>
      </c>
      <c r="C117" s="1037">
        <v>670041.43999999994</v>
      </c>
      <c r="D117" s="1037">
        <v>670041.43999999994</v>
      </c>
    </row>
    <row r="118" spans="1:4">
      <c r="A118" s="1111" t="s">
        <v>193</v>
      </c>
      <c r="B118" s="1036" t="s">
        <v>194</v>
      </c>
      <c r="C118" s="1037">
        <v>215546.66</v>
      </c>
      <c r="D118" s="1037">
        <v>215546.66</v>
      </c>
    </row>
    <row r="119" spans="1:4">
      <c r="A119" s="1111" t="s">
        <v>197</v>
      </c>
      <c r="B119" s="1036" t="s">
        <v>391</v>
      </c>
      <c r="C119" s="1037">
        <v>2321788.4499999997</v>
      </c>
      <c r="D119" s="1037">
        <v>2321788.4499999997</v>
      </c>
    </row>
    <row r="120" spans="1:4">
      <c r="A120" s="1111" t="s">
        <v>201</v>
      </c>
      <c r="B120" s="1036" t="s">
        <v>392</v>
      </c>
      <c r="C120" s="1037">
        <v>1373226.54</v>
      </c>
      <c r="D120" s="1037">
        <v>1373226.54</v>
      </c>
    </row>
    <row r="121" spans="1:4">
      <c r="A121" s="1111" t="s">
        <v>223</v>
      </c>
      <c r="B121" s="1036" t="s">
        <v>224</v>
      </c>
      <c r="C121" s="1037">
        <v>719296.61</v>
      </c>
      <c r="D121" s="1037">
        <v>719296.61</v>
      </c>
    </row>
    <row r="122" spans="1:4">
      <c r="A122" s="1111" t="s">
        <v>231</v>
      </c>
      <c r="B122" s="1036" t="s">
        <v>232</v>
      </c>
      <c r="C122" s="1037">
        <v>871489.93</v>
      </c>
      <c r="D122" s="1037">
        <v>871489.93</v>
      </c>
    </row>
    <row r="123" spans="1:4">
      <c r="A123" s="1111" t="s">
        <v>239</v>
      </c>
      <c r="B123" s="1036" t="s">
        <v>240</v>
      </c>
      <c r="C123" s="1037">
        <v>19091.060000000001</v>
      </c>
      <c r="D123" s="1037">
        <v>19091.060000000001</v>
      </c>
    </row>
    <row r="124" spans="1:4">
      <c r="A124" s="1111" t="s">
        <v>241</v>
      </c>
      <c r="B124" s="1036" t="s">
        <v>242</v>
      </c>
      <c r="C124" s="1037">
        <v>202571.28</v>
      </c>
      <c r="D124" s="1037">
        <v>202571.28</v>
      </c>
    </row>
    <row r="126" spans="1:4" s="538" customFormat="1">
      <c r="A126" s="538" t="s">
        <v>1026</v>
      </c>
      <c r="B126" s="836"/>
      <c r="C126" s="540"/>
    </row>
    <row r="127" spans="1:4" s="538" customFormat="1"/>
    <row r="128" spans="1:4" s="519" customFormat="1">
      <c r="A128" s="519" t="s">
        <v>250</v>
      </c>
    </row>
    <row r="129" spans="1:2">
      <c r="A129" s="536" t="s">
        <v>251</v>
      </c>
      <c r="B129" s="407" t="s">
        <v>252</v>
      </c>
    </row>
  </sheetData>
  <hyperlinks>
    <hyperlink ref="B129" r:id="rId1"/>
  </hyperlinks>
  <pageMargins left="0.7" right="0.7" top="0.75" bottom="0.75" header="0.3" footer="0.3"/>
  <pageSetup orientation="portrait" r:id="rId2"/>
</worksheet>
</file>

<file path=xl/worksheets/sheet31.xml><?xml version="1.0" encoding="utf-8"?>
<worksheet xmlns="http://schemas.openxmlformats.org/spreadsheetml/2006/main" xmlns:r="http://schemas.openxmlformats.org/officeDocument/2006/relationships">
  <dimension ref="A1:AQ130"/>
  <sheetViews>
    <sheetView zoomScale="98" zoomScaleNormal="98" workbookViewId="0">
      <pane ySplit="4" topLeftCell="A92" activePane="bottomLeft" state="frozen"/>
      <selection activeCell="C109" sqref="C109"/>
      <selection pane="bottomLeft" activeCell="B12" sqref="B12"/>
    </sheetView>
  </sheetViews>
  <sheetFormatPr defaultRowHeight="12.75"/>
  <cols>
    <col min="1" max="1" width="13.375" style="654" bestFit="1" customWidth="1"/>
    <col min="2" max="2" width="28.75" style="654" customWidth="1"/>
    <col min="3" max="4" width="13.875" style="654" customWidth="1"/>
    <col min="5" max="5" width="19.5" style="654" customWidth="1"/>
    <col min="6" max="7" width="13.875" style="654" customWidth="1"/>
    <col min="8" max="8" width="12.25" style="654" bestFit="1" customWidth="1"/>
    <col min="9" max="9" width="10.25" style="654" bestFit="1" customWidth="1"/>
    <col min="10" max="10" width="12.25" style="654" bestFit="1" customWidth="1"/>
    <col min="11" max="11" width="9.25" style="654" bestFit="1" customWidth="1"/>
    <col min="12" max="12" width="10.25" style="654" bestFit="1" customWidth="1"/>
    <col min="13" max="13" width="12.25" style="654" bestFit="1" customWidth="1"/>
    <col min="14" max="14" width="9" style="654" bestFit="1" customWidth="1"/>
    <col min="15" max="15" width="10.25" style="654" bestFit="1" customWidth="1"/>
    <col min="16" max="16" width="9" style="654" bestFit="1" customWidth="1"/>
    <col min="17" max="17" width="9.25" style="654" bestFit="1" customWidth="1"/>
    <col min="18" max="18" width="9" style="654" bestFit="1" customWidth="1"/>
    <col min="19" max="19" width="10" style="654" bestFit="1" customWidth="1"/>
    <col min="20" max="20" width="8" style="654" bestFit="1" customWidth="1"/>
    <col min="21" max="22" width="10.25" style="654" bestFit="1" customWidth="1"/>
    <col min="23" max="23" width="9.25" style="654" bestFit="1" customWidth="1"/>
    <col min="24" max="24" width="9" style="654" bestFit="1" customWidth="1"/>
    <col min="25" max="25" width="10.25" style="654" bestFit="1" customWidth="1"/>
    <col min="26" max="26" width="10" style="654" bestFit="1" customWidth="1"/>
    <col min="27" max="27" width="10.25" style="654" bestFit="1" customWidth="1"/>
    <col min="28" max="28" width="8.875" style="654" bestFit="1" customWidth="1"/>
    <col min="29" max="29" width="10" style="654" bestFit="1" customWidth="1"/>
    <col min="30" max="30" width="10.25" style="654" bestFit="1" customWidth="1"/>
    <col min="31" max="31" width="11" style="654" bestFit="1" customWidth="1"/>
    <col min="32" max="32" width="12.5" style="654" bestFit="1" customWidth="1"/>
    <col min="33" max="33" width="10.25" style="654" bestFit="1" customWidth="1"/>
    <col min="34" max="34" width="10" style="654" bestFit="1" customWidth="1"/>
    <col min="35" max="35" width="9.25" style="654" bestFit="1" customWidth="1"/>
    <col min="36" max="36" width="10" style="654" bestFit="1" customWidth="1"/>
    <col min="37" max="37" width="12.5" style="654" bestFit="1" customWidth="1"/>
    <col min="38" max="38" width="13.625" style="654" bestFit="1" customWidth="1"/>
    <col min="39" max="39" width="12.375" style="654" bestFit="1" customWidth="1"/>
    <col min="40" max="40" width="13.625" style="654" bestFit="1" customWidth="1"/>
    <col min="41" max="41" width="14.625" style="654" bestFit="1" customWidth="1"/>
    <col min="42" max="42" width="9" style="654"/>
    <col min="43" max="43" width="15.125" style="654" bestFit="1" customWidth="1"/>
    <col min="44" max="16384" width="9" style="654"/>
  </cols>
  <sheetData>
    <row r="1" spans="1:43" ht="15.75">
      <c r="A1" s="108" t="s">
        <v>1100</v>
      </c>
      <c r="F1" s="832"/>
      <c r="G1" s="832"/>
      <c r="AQ1" s="832"/>
    </row>
    <row r="2" spans="1:43">
      <c r="D2" s="844"/>
      <c r="E2" s="844"/>
      <c r="F2" s="844"/>
      <c r="G2" s="844"/>
      <c r="H2" s="844"/>
      <c r="I2" s="844"/>
      <c r="J2" s="844"/>
      <c r="K2" s="844"/>
      <c r="L2" s="844"/>
      <c r="N2" s="844"/>
      <c r="O2" s="844"/>
      <c r="P2" s="844"/>
      <c r="Q2" s="844"/>
      <c r="R2" s="844"/>
      <c r="T2" s="844"/>
      <c r="U2" s="844"/>
      <c r="V2" s="844"/>
      <c r="W2" s="844"/>
      <c r="X2" s="844"/>
      <c r="Z2" s="844"/>
      <c r="AA2" s="844"/>
      <c r="AB2" s="844"/>
      <c r="AC2" s="844"/>
      <c r="AD2" s="844"/>
      <c r="AF2" s="844"/>
      <c r="AG2" s="844"/>
      <c r="AH2" s="844"/>
      <c r="AI2" s="844"/>
      <c r="AJ2" s="844"/>
      <c r="AL2" s="844"/>
      <c r="AM2" s="844"/>
      <c r="AN2" s="844"/>
      <c r="AO2" s="844"/>
    </row>
    <row r="3" spans="1:43">
      <c r="A3" s="1011" t="s">
        <v>372</v>
      </c>
      <c r="B3" s="1012" t="s">
        <v>373</v>
      </c>
      <c r="C3" s="1013" t="s">
        <v>393</v>
      </c>
      <c r="D3" s="1014" t="s">
        <v>394</v>
      </c>
      <c r="E3" s="1014" t="s">
        <v>555</v>
      </c>
      <c r="F3" s="1014" t="s">
        <v>395</v>
      </c>
      <c r="G3" s="1015" t="s">
        <v>595</v>
      </c>
      <c r="H3" s="1013" t="s">
        <v>599</v>
      </c>
      <c r="I3" s="1014" t="s">
        <v>600</v>
      </c>
      <c r="J3" s="1014" t="s">
        <v>601</v>
      </c>
      <c r="K3" s="1014" t="s">
        <v>602</v>
      </c>
      <c r="L3" s="1014" t="s">
        <v>603</v>
      </c>
      <c r="M3" s="1015" t="s">
        <v>604</v>
      </c>
      <c r="N3" s="1013" t="s">
        <v>605</v>
      </c>
      <c r="O3" s="1014" t="s">
        <v>606</v>
      </c>
      <c r="P3" s="1014" t="s">
        <v>607</v>
      </c>
      <c r="Q3" s="1014" t="s">
        <v>608</v>
      </c>
      <c r="R3" s="1014" t="s">
        <v>609</v>
      </c>
      <c r="S3" s="1015" t="s">
        <v>610</v>
      </c>
      <c r="T3" s="1013" t="s">
        <v>611</v>
      </c>
      <c r="U3" s="1014" t="s">
        <v>612</v>
      </c>
      <c r="V3" s="1014" t="s">
        <v>613</v>
      </c>
      <c r="W3" s="1014" t="s">
        <v>614</v>
      </c>
      <c r="X3" s="1014" t="s">
        <v>615</v>
      </c>
      <c r="Y3" s="1015" t="s">
        <v>616</v>
      </c>
      <c r="Z3" s="1013" t="s">
        <v>617</v>
      </c>
      <c r="AA3" s="1014" t="s">
        <v>618</v>
      </c>
      <c r="AB3" s="1014" t="s">
        <v>619</v>
      </c>
      <c r="AC3" s="1014" t="s">
        <v>620</v>
      </c>
      <c r="AD3" s="1014" t="s">
        <v>621</v>
      </c>
      <c r="AE3" s="1015" t="s">
        <v>622</v>
      </c>
      <c r="AF3" s="1013" t="s">
        <v>623</v>
      </c>
      <c r="AG3" s="1014" t="s">
        <v>624</v>
      </c>
      <c r="AH3" s="1014" t="s">
        <v>625</v>
      </c>
      <c r="AI3" s="1014" t="s">
        <v>597</v>
      </c>
      <c r="AJ3" s="1014" t="s">
        <v>626</v>
      </c>
      <c r="AK3" s="1015" t="s">
        <v>598</v>
      </c>
      <c r="AL3" s="1013" t="s">
        <v>627</v>
      </c>
      <c r="AM3" s="1014" t="s">
        <v>628</v>
      </c>
      <c r="AN3" s="1014" t="s">
        <v>629</v>
      </c>
      <c r="AO3" s="1015" t="s">
        <v>630</v>
      </c>
    </row>
    <row r="4" spans="1:43">
      <c r="A4" s="1016">
        <v>999</v>
      </c>
      <c r="B4" s="1017" t="s">
        <v>9</v>
      </c>
      <c r="C4" s="1018">
        <f t="shared" ref="C4:AO4" si="0">SUM(C5:C124)</f>
        <v>78979510.797874987</v>
      </c>
      <c r="D4" s="1019">
        <f t="shared" si="0"/>
        <v>52815355.402125001</v>
      </c>
      <c r="E4" s="1019">
        <f t="shared" si="0"/>
        <v>48714.150000000009</v>
      </c>
      <c r="F4" s="1019">
        <f t="shared" si="0"/>
        <v>20602.920000000002</v>
      </c>
      <c r="G4" s="1020">
        <f t="shared" si="0"/>
        <v>28111.229999999989</v>
      </c>
      <c r="H4" s="1026">
        <f t="shared" si="0"/>
        <v>-155613.53000000003</v>
      </c>
      <c r="I4" s="1027">
        <f t="shared" si="0"/>
        <v>0</v>
      </c>
      <c r="J4" s="1027">
        <f t="shared" si="0"/>
        <v>-149510.94000000003</v>
      </c>
      <c r="K4" s="1027">
        <f t="shared" si="0"/>
        <v>0</v>
      </c>
      <c r="L4" s="1027">
        <f t="shared" si="0"/>
        <v>4928.2899999999991</v>
      </c>
      <c r="M4" s="1028">
        <f t="shared" si="0"/>
        <v>-300196.18000000005</v>
      </c>
      <c r="N4" s="1026">
        <f t="shared" si="0"/>
        <v>8992.7199999999993</v>
      </c>
      <c r="O4" s="1027">
        <f t="shared" si="0"/>
        <v>0</v>
      </c>
      <c r="P4" s="1027">
        <f t="shared" si="0"/>
        <v>8640.0800000000017</v>
      </c>
      <c r="Q4" s="1027">
        <f t="shared" si="0"/>
        <v>0</v>
      </c>
      <c r="R4" s="1027">
        <f t="shared" si="0"/>
        <v>1604.9</v>
      </c>
      <c r="S4" s="1028">
        <f t="shared" si="0"/>
        <v>19237.699999999997</v>
      </c>
      <c r="T4" s="1026">
        <f t="shared" si="0"/>
        <v>0</v>
      </c>
      <c r="U4" s="1027">
        <f t="shared" si="0"/>
        <v>0</v>
      </c>
      <c r="V4" s="1027">
        <f t="shared" si="0"/>
        <v>-7890.7900000000009</v>
      </c>
      <c r="W4" s="1027">
        <f t="shared" si="0"/>
        <v>0</v>
      </c>
      <c r="X4" s="1027">
        <f t="shared" si="0"/>
        <v>3673.34</v>
      </c>
      <c r="Y4" s="1028">
        <f t="shared" si="0"/>
        <v>-4217.45</v>
      </c>
      <c r="Z4" s="1026">
        <f t="shared" si="0"/>
        <v>65282.540000000008</v>
      </c>
      <c r="AA4" s="1027">
        <f t="shared" si="0"/>
        <v>0</v>
      </c>
      <c r="AB4" s="1027">
        <f t="shared" si="0"/>
        <v>0</v>
      </c>
      <c r="AC4" s="1027">
        <f t="shared" si="0"/>
        <v>20602.920000000002</v>
      </c>
      <c r="AD4" s="1027">
        <f t="shared" si="0"/>
        <v>5574.98</v>
      </c>
      <c r="AE4" s="1028">
        <f t="shared" si="0"/>
        <v>91460.44</v>
      </c>
      <c r="AF4" s="1026">
        <f t="shared" si="0"/>
        <v>3942437.32</v>
      </c>
      <c r="AG4" s="1027">
        <f t="shared" si="0"/>
        <v>0</v>
      </c>
      <c r="AH4" s="1027">
        <f t="shared" si="0"/>
        <v>17145</v>
      </c>
      <c r="AI4" s="1027">
        <f t="shared" si="0"/>
        <v>0</v>
      </c>
      <c r="AJ4" s="1027">
        <f t="shared" si="0"/>
        <v>12329.720000000001</v>
      </c>
      <c r="AK4" s="1028">
        <f t="shared" si="0"/>
        <v>3971912.0399999996</v>
      </c>
      <c r="AL4" s="1026">
        <f t="shared" si="0"/>
        <v>75118411.74787496</v>
      </c>
      <c r="AM4" s="1027">
        <f t="shared" si="0"/>
        <v>0</v>
      </c>
      <c r="AN4" s="1027">
        <f t="shared" si="0"/>
        <v>52946972.052124985</v>
      </c>
      <c r="AO4" s="1028">
        <f t="shared" si="0"/>
        <v>128065383.79999997</v>
      </c>
    </row>
    <row r="5" spans="1:43">
      <c r="A5" s="1021" t="s">
        <v>10</v>
      </c>
      <c r="B5" s="1022" t="s">
        <v>11</v>
      </c>
      <c r="C5" s="1023">
        <f>+H5+I5+N5+O5+T5+U5+Z5+AA5+AF5+AG5+AL5+AM5</f>
        <v>337420.644875</v>
      </c>
      <c r="D5" s="1024">
        <f>+J5+P5+V5+AB5+AH5+AN5</f>
        <v>198412.26512500001</v>
      </c>
      <c r="E5" s="1024">
        <f>+F5+G5</f>
        <v>0</v>
      </c>
      <c r="F5" s="1024">
        <f>+K5+Q5+W5+AC5+AI5</f>
        <v>0</v>
      </c>
      <c r="G5" s="1025">
        <f>+L5+R5+X5+AD5+AJ5</f>
        <v>0</v>
      </c>
      <c r="H5" s="1029">
        <v>-2306.33</v>
      </c>
      <c r="I5" s="1030">
        <v>0</v>
      </c>
      <c r="J5" s="1030">
        <v>-2215.9</v>
      </c>
      <c r="K5" s="1030">
        <v>0</v>
      </c>
      <c r="L5" s="1030">
        <v>0</v>
      </c>
      <c r="M5" s="1031">
        <v>-4522.2299999999996</v>
      </c>
      <c r="N5" s="1032"/>
      <c r="O5" s="1033"/>
      <c r="P5" s="1033"/>
      <c r="Q5" s="1033"/>
      <c r="R5" s="1033"/>
      <c r="S5" s="1034"/>
      <c r="T5" s="1032"/>
      <c r="U5" s="1033"/>
      <c r="V5" s="1033"/>
      <c r="W5" s="1033"/>
      <c r="X5" s="1033"/>
      <c r="Y5" s="1034"/>
      <c r="Z5" s="1029">
        <v>18510.16</v>
      </c>
      <c r="AA5" s="1030">
        <v>0</v>
      </c>
      <c r="AB5" s="1030">
        <v>0</v>
      </c>
      <c r="AC5" s="1030">
        <v>0</v>
      </c>
      <c r="AD5" s="1030">
        <v>0</v>
      </c>
      <c r="AE5" s="1031">
        <v>18510.16</v>
      </c>
      <c r="AF5" s="1032"/>
      <c r="AG5" s="1033"/>
      <c r="AH5" s="1033"/>
      <c r="AI5" s="1033"/>
      <c r="AJ5" s="1033"/>
      <c r="AK5" s="1034"/>
      <c r="AL5" s="1029">
        <v>321216.81487499998</v>
      </c>
      <c r="AM5" s="1030">
        <v>0</v>
      </c>
      <c r="AN5" s="1030">
        <v>200628.165125</v>
      </c>
      <c r="AO5" s="1031">
        <v>521844.98</v>
      </c>
    </row>
    <row r="6" spans="1:43">
      <c r="A6" s="1021" t="s">
        <v>12</v>
      </c>
      <c r="B6" s="1022" t="s">
        <v>13</v>
      </c>
      <c r="C6" s="1023">
        <f t="shared" ref="C6:C69" si="1">+H6+I6+N6+O6+T6+U6+Z6+AA6+AF6+AG6+AL6+AM6</f>
        <v>310112.872875</v>
      </c>
      <c r="D6" s="1024">
        <f t="shared" ref="D6:D69" si="2">+J6+P6+V6+AB6+AH6+AN6</f>
        <v>223505.74712499999</v>
      </c>
      <c r="E6" s="1024">
        <f t="shared" ref="E6:E69" si="3">+F6+G6</f>
        <v>0</v>
      </c>
      <c r="F6" s="1024">
        <f t="shared" ref="F6:G69" si="4">+K6+Q6+W6+AC6+AI6</f>
        <v>0</v>
      </c>
      <c r="G6" s="1025">
        <f t="shared" si="4"/>
        <v>0</v>
      </c>
      <c r="H6" s="1032"/>
      <c r="I6" s="1033"/>
      <c r="J6" s="1033"/>
      <c r="K6" s="1033"/>
      <c r="L6" s="1033"/>
      <c r="M6" s="1034"/>
      <c r="N6" s="1032"/>
      <c r="O6" s="1033"/>
      <c r="P6" s="1033"/>
      <c r="Q6" s="1033"/>
      <c r="R6" s="1033"/>
      <c r="S6" s="1034"/>
      <c r="T6" s="1029">
        <v>0</v>
      </c>
      <c r="U6" s="1030">
        <v>0</v>
      </c>
      <c r="V6" s="1030">
        <v>-199</v>
      </c>
      <c r="W6" s="1030">
        <v>0</v>
      </c>
      <c r="X6" s="1030">
        <v>0</v>
      </c>
      <c r="Y6" s="1031">
        <v>-199</v>
      </c>
      <c r="Z6" s="1032"/>
      <c r="AA6" s="1033"/>
      <c r="AB6" s="1033"/>
      <c r="AC6" s="1033"/>
      <c r="AD6" s="1033"/>
      <c r="AE6" s="1034"/>
      <c r="AF6" s="1032"/>
      <c r="AG6" s="1033"/>
      <c r="AH6" s="1033"/>
      <c r="AI6" s="1033"/>
      <c r="AJ6" s="1033"/>
      <c r="AK6" s="1034"/>
      <c r="AL6" s="1029">
        <v>310112.872875</v>
      </c>
      <c r="AM6" s="1030">
        <v>0</v>
      </c>
      <c r="AN6" s="1030">
        <v>223704.74712499999</v>
      </c>
      <c r="AO6" s="1031">
        <v>533817.62</v>
      </c>
    </row>
    <row r="7" spans="1:43">
      <c r="A7" s="1021" t="s">
        <v>16</v>
      </c>
      <c r="B7" s="1022" t="s">
        <v>364</v>
      </c>
      <c r="C7" s="1023">
        <f t="shared" si="1"/>
        <v>220818.88249999998</v>
      </c>
      <c r="D7" s="1024">
        <f t="shared" si="2"/>
        <v>222063.19750000001</v>
      </c>
      <c r="E7" s="1024">
        <f t="shared" si="3"/>
        <v>0</v>
      </c>
      <c r="F7" s="1024">
        <f t="shared" si="4"/>
        <v>0</v>
      </c>
      <c r="G7" s="1025">
        <f t="shared" si="4"/>
        <v>0</v>
      </c>
      <c r="H7" s="1029">
        <v>-2782.04</v>
      </c>
      <c r="I7" s="1030">
        <v>0</v>
      </c>
      <c r="J7" s="1030">
        <v>-2672.9</v>
      </c>
      <c r="K7" s="1030">
        <v>0</v>
      </c>
      <c r="L7" s="1030">
        <v>0</v>
      </c>
      <c r="M7" s="1031">
        <v>-5454.94</v>
      </c>
      <c r="N7" s="1032"/>
      <c r="O7" s="1033"/>
      <c r="P7" s="1033"/>
      <c r="Q7" s="1033"/>
      <c r="R7" s="1033"/>
      <c r="S7" s="1034"/>
      <c r="T7" s="1032"/>
      <c r="U7" s="1033"/>
      <c r="V7" s="1033"/>
      <c r="W7" s="1033"/>
      <c r="X7" s="1033"/>
      <c r="Y7" s="1034"/>
      <c r="Z7" s="1032"/>
      <c r="AA7" s="1033"/>
      <c r="AB7" s="1033"/>
      <c r="AC7" s="1033"/>
      <c r="AD7" s="1033"/>
      <c r="AE7" s="1034"/>
      <c r="AF7" s="1032"/>
      <c r="AG7" s="1033"/>
      <c r="AH7" s="1033"/>
      <c r="AI7" s="1033"/>
      <c r="AJ7" s="1033"/>
      <c r="AK7" s="1034"/>
      <c r="AL7" s="1029">
        <v>223600.92249999999</v>
      </c>
      <c r="AM7" s="1030">
        <v>0</v>
      </c>
      <c r="AN7" s="1030">
        <v>224736.0975</v>
      </c>
      <c r="AO7" s="1031">
        <v>448337.02</v>
      </c>
    </row>
    <row r="8" spans="1:43">
      <c r="A8" s="1021" t="s">
        <v>18</v>
      </c>
      <c r="B8" s="1022" t="s">
        <v>19</v>
      </c>
      <c r="C8" s="1023">
        <f t="shared" si="1"/>
        <v>139344.66112499998</v>
      </c>
      <c r="D8" s="1024">
        <f t="shared" si="2"/>
        <v>120816.488875</v>
      </c>
      <c r="E8" s="1024">
        <f t="shared" si="3"/>
        <v>0</v>
      </c>
      <c r="F8" s="1024">
        <f t="shared" si="4"/>
        <v>0</v>
      </c>
      <c r="G8" s="1025">
        <f t="shared" si="4"/>
        <v>0</v>
      </c>
      <c r="H8" s="1032"/>
      <c r="I8" s="1033"/>
      <c r="J8" s="1033"/>
      <c r="K8" s="1033"/>
      <c r="L8" s="1033"/>
      <c r="M8" s="1034"/>
      <c r="N8" s="1032"/>
      <c r="O8" s="1033"/>
      <c r="P8" s="1033"/>
      <c r="Q8" s="1033"/>
      <c r="R8" s="1033"/>
      <c r="S8" s="1034"/>
      <c r="T8" s="1032"/>
      <c r="U8" s="1033"/>
      <c r="V8" s="1033"/>
      <c r="W8" s="1033"/>
      <c r="X8" s="1033"/>
      <c r="Y8" s="1034"/>
      <c r="Z8" s="1032"/>
      <c r="AA8" s="1033"/>
      <c r="AB8" s="1033"/>
      <c r="AC8" s="1033"/>
      <c r="AD8" s="1033"/>
      <c r="AE8" s="1034"/>
      <c r="AF8" s="1032"/>
      <c r="AG8" s="1033"/>
      <c r="AH8" s="1033"/>
      <c r="AI8" s="1033"/>
      <c r="AJ8" s="1033"/>
      <c r="AK8" s="1034"/>
      <c r="AL8" s="1029">
        <v>139344.66112499998</v>
      </c>
      <c r="AM8" s="1030">
        <v>0</v>
      </c>
      <c r="AN8" s="1030">
        <v>120816.488875</v>
      </c>
      <c r="AO8" s="1031">
        <v>260161.14999999997</v>
      </c>
    </row>
    <row r="9" spans="1:43">
      <c r="A9" s="1021" t="s">
        <v>20</v>
      </c>
      <c r="B9" s="1022" t="s">
        <v>21</v>
      </c>
      <c r="C9" s="1023">
        <f t="shared" si="1"/>
        <v>154989.04902499999</v>
      </c>
      <c r="D9" s="1024">
        <f t="shared" si="2"/>
        <v>105618.63097499999</v>
      </c>
      <c r="E9" s="1024">
        <f t="shared" si="3"/>
        <v>0</v>
      </c>
      <c r="F9" s="1024">
        <f t="shared" si="4"/>
        <v>0</v>
      </c>
      <c r="G9" s="1025">
        <f t="shared" si="4"/>
        <v>0</v>
      </c>
      <c r="H9" s="1029">
        <v>-0.41</v>
      </c>
      <c r="I9" s="1030">
        <v>0</v>
      </c>
      <c r="J9" s="1030">
        <v>-0.39</v>
      </c>
      <c r="K9" s="1030">
        <v>0</v>
      </c>
      <c r="L9" s="1030">
        <v>0</v>
      </c>
      <c r="M9" s="1031">
        <v>-0.8</v>
      </c>
      <c r="N9" s="1032"/>
      <c r="O9" s="1033"/>
      <c r="P9" s="1033"/>
      <c r="Q9" s="1033"/>
      <c r="R9" s="1033"/>
      <c r="S9" s="1034"/>
      <c r="T9" s="1032"/>
      <c r="U9" s="1033"/>
      <c r="V9" s="1033"/>
      <c r="W9" s="1033"/>
      <c r="X9" s="1033"/>
      <c r="Y9" s="1034"/>
      <c r="Z9" s="1032"/>
      <c r="AA9" s="1033"/>
      <c r="AB9" s="1033"/>
      <c r="AC9" s="1033"/>
      <c r="AD9" s="1033"/>
      <c r="AE9" s="1034"/>
      <c r="AF9" s="1032"/>
      <c r="AG9" s="1033"/>
      <c r="AH9" s="1033"/>
      <c r="AI9" s="1033"/>
      <c r="AJ9" s="1033"/>
      <c r="AK9" s="1034"/>
      <c r="AL9" s="1029">
        <v>154989.45902499999</v>
      </c>
      <c r="AM9" s="1030">
        <v>0</v>
      </c>
      <c r="AN9" s="1030">
        <v>105619.02097499999</v>
      </c>
      <c r="AO9" s="1031">
        <v>260608.47999999998</v>
      </c>
    </row>
    <row r="10" spans="1:43">
      <c r="A10" s="1021" t="s">
        <v>22</v>
      </c>
      <c r="B10" s="1022" t="s">
        <v>23</v>
      </c>
      <c r="C10" s="1023">
        <f t="shared" si="1"/>
        <v>184447.48984999998</v>
      </c>
      <c r="D10" s="1024">
        <f t="shared" si="2"/>
        <v>124918.17014999999</v>
      </c>
      <c r="E10" s="1024">
        <f t="shared" si="3"/>
        <v>0</v>
      </c>
      <c r="F10" s="1024">
        <f t="shared" si="4"/>
        <v>0</v>
      </c>
      <c r="G10" s="1025">
        <f t="shared" si="4"/>
        <v>0</v>
      </c>
      <c r="H10" s="1029">
        <v>-47.94</v>
      </c>
      <c r="I10" s="1030">
        <v>0</v>
      </c>
      <c r="J10" s="1030">
        <v>-46.06</v>
      </c>
      <c r="K10" s="1030">
        <v>0</v>
      </c>
      <c r="L10" s="1030">
        <v>0</v>
      </c>
      <c r="M10" s="1031">
        <v>-94</v>
      </c>
      <c r="N10" s="1032"/>
      <c r="O10" s="1033"/>
      <c r="P10" s="1033"/>
      <c r="Q10" s="1033"/>
      <c r="R10" s="1033"/>
      <c r="S10" s="1034"/>
      <c r="T10" s="1032"/>
      <c r="U10" s="1033"/>
      <c r="V10" s="1033"/>
      <c r="W10" s="1033"/>
      <c r="X10" s="1033"/>
      <c r="Y10" s="1034"/>
      <c r="Z10" s="1032"/>
      <c r="AA10" s="1033"/>
      <c r="AB10" s="1033"/>
      <c r="AC10" s="1033"/>
      <c r="AD10" s="1033"/>
      <c r="AE10" s="1034"/>
      <c r="AF10" s="1032"/>
      <c r="AG10" s="1033"/>
      <c r="AH10" s="1033"/>
      <c r="AI10" s="1033"/>
      <c r="AJ10" s="1033"/>
      <c r="AK10" s="1034"/>
      <c r="AL10" s="1029">
        <v>184495.42984999999</v>
      </c>
      <c r="AM10" s="1030">
        <v>0</v>
      </c>
      <c r="AN10" s="1030">
        <v>124964.23014999999</v>
      </c>
      <c r="AO10" s="1031">
        <v>309459.65999999997</v>
      </c>
    </row>
    <row r="11" spans="1:43">
      <c r="A11" s="1021" t="s">
        <v>24</v>
      </c>
      <c r="B11" s="1022" t="s">
        <v>25</v>
      </c>
      <c r="C11" s="1023">
        <f t="shared" si="1"/>
        <v>808221.45587499999</v>
      </c>
      <c r="D11" s="1024">
        <f t="shared" si="2"/>
        <v>570238.60412500007</v>
      </c>
      <c r="E11" s="1024">
        <f t="shared" si="3"/>
        <v>757</v>
      </c>
      <c r="F11" s="1024">
        <f t="shared" si="4"/>
        <v>0</v>
      </c>
      <c r="G11" s="1025">
        <f t="shared" si="4"/>
        <v>757</v>
      </c>
      <c r="H11" s="1029">
        <v>-3130.53</v>
      </c>
      <c r="I11" s="1030">
        <v>0</v>
      </c>
      <c r="J11" s="1030">
        <v>-3007.75</v>
      </c>
      <c r="K11" s="1030">
        <v>0</v>
      </c>
      <c r="L11" s="1030">
        <v>757</v>
      </c>
      <c r="M11" s="1031">
        <v>-5381.28</v>
      </c>
      <c r="N11" s="1032"/>
      <c r="O11" s="1033"/>
      <c r="P11" s="1033"/>
      <c r="Q11" s="1033"/>
      <c r="R11" s="1033"/>
      <c r="S11" s="1034"/>
      <c r="T11" s="1029">
        <v>0</v>
      </c>
      <c r="U11" s="1030">
        <v>0</v>
      </c>
      <c r="V11" s="1030">
        <v>646</v>
      </c>
      <c r="W11" s="1030">
        <v>0</v>
      </c>
      <c r="X11" s="1030">
        <v>0</v>
      </c>
      <c r="Y11" s="1031">
        <v>646</v>
      </c>
      <c r="Z11" s="1032"/>
      <c r="AA11" s="1033"/>
      <c r="AB11" s="1033"/>
      <c r="AC11" s="1033"/>
      <c r="AD11" s="1033"/>
      <c r="AE11" s="1034"/>
      <c r="AF11" s="1029">
        <v>121151.79</v>
      </c>
      <c r="AG11" s="1030">
        <v>0</v>
      </c>
      <c r="AH11" s="1030">
        <v>0</v>
      </c>
      <c r="AI11" s="1030">
        <v>0</v>
      </c>
      <c r="AJ11" s="1030">
        <v>0</v>
      </c>
      <c r="AK11" s="1031">
        <v>121151.79</v>
      </c>
      <c r="AL11" s="1029">
        <v>690200.19587499998</v>
      </c>
      <c r="AM11" s="1030">
        <v>0</v>
      </c>
      <c r="AN11" s="1030">
        <v>572600.35412500007</v>
      </c>
      <c r="AO11" s="1031">
        <v>1262800.55</v>
      </c>
    </row>
    <row r="12" spans="1:43">
      <c r="A12" s="1021" t="s">
        <v>26</v>
      </c>
      <c r="B12" s="1022" t="s">
        <v>1114</v>
      </c>
      <c r="C12" s="1023">
        <f t="shared" si="1"/>
        <v>1821372.5199749998</v>
      </c>
      <c r="D12" s="1024">
        <f t="shared" si="2"/>
        <v>1102912.4900249999</v>
      </c>
      <c r="E12" s="1024">
        <f t="shared" si="3"/>
        <v>0</v>
      </c>
      <c r="F12" s="1024">
        <f t="shared" si="4"/>
        <v>0</v>
      </c>
      <c r="G12" s="1025">
        <f t="shared" si="4"/>
        <v>0</v>
      </c>
      <c r="H12" s="1029">
        <v>-3331.65</v>
      </c>
      <c r="I12" s="1030">
        <v>0</v>
      </c>
      <c r="J12" s="1030">
        <v>-3200.98</v>
      </c>
      <c r="K12" s="1030">
        <v>0</v>
      </c>
      <c r="L12" s="1030">
        <v>0</v>
      </c>
      <c r="M12" s="1031">
        <v>-6532.63</v>
      </c>
      <c r="N12" s="1032"/>
      <c r="O12" s="1033"/>
      <c r="P12" s="1033"/>
      <c r="Q12" s="1033"/>
      <c r="R12" s="1033"/>
      <c r="S12" s="1034"/>
      <c r="T12" s="1032"/>
      <c r="U12" s="1033"/>
      <c r="V12" s="1033"/>
      <c r="W12" s="1033"/>
      <c r="X12" s="1033"/>
      <c r="Y12" s="1034"/>
      <c r="Z12" s="1032"/>
      <c r="AA12" s="1033"/>
      <c r="AB12" s="1033"/>
      <c r="AC12" s="1033"/>
      <c r="AD12" s="1033"/>
      <c r="AE12" s="1034"/>
      <c r="AF12" s="1029">
        <v>332591.68</v>
      </c>
      <c r="AG12" s="1030">
        <v>0</v>
      </c>
      <c r="AH12" s="1030">
        <v>1890</v>
      </c>
      <c r="AI12" s="1030">
        <v>0</v>
      </c>
      <c r="AJ12" s="1030">
        <v>0</v>
      </c>
      <c r="AK12" s="1031">
        <v>334481.68</v>
      </c>
      <c r="AL12" s="1029">
        <v>1492112.4899749998</v>
      </c>
      <c r="AM12" s="1030">
        <v>0</v>
      </c>
      <c r="AN12" s="1030">
        <v>1104223.4700249999</v>
      </c>
      <c r="AO12" s="1031">
        <v>2596335.96</v>
      </c>
    </row>
    <row r="13" spans="1:43">
      <c r="A13" s="1021" t="s">
        <v>27</v>
      </c>
      <c r="B13" s="1022" t="s">
        <v>28</v>
      </c>
      <c r="C13" s="1023">
        <f t="shared" si="1"/>
        <v>15145.099949999998</v>
      </c>
      <c r="D13" s="1024">
        <f t="shared" si="2"/>
        <v>12635.04005</v>
      </c>
      <c r="E13" s="1024">
        <f t="shared" si="3"/>
        <v>0</v>
      </c>
      <c r="F13" s="1024">
        <f t="shared" si="4"/>
        <v>0</v>
      </c>
      <c r="G13" s="1025">
        <f t="shared" si="4"/>
        <v>0</v>
      </c>
      <c r="H13" s="1032"/>
      <c r="I13" s="1033"/>
      <c r="J13" s="1033"/>
      <c r="K13" s="1033"/>
      <c r="L13" s="1033"/>
      <c r="M13" s="1034"/>
      <c r="N13" s="1032"/>
      <c r="O13" s="1033"/>
      <c r="P13" s="1033"/>
      <c r="Q13" s="1033"/>
      <c r="R13" s="1033"/>
      <c r="S13" s="1034"/>
      <c r="T13" s="1032"/>
      <c r="U13" s="1033"/>
      <c r="V13" s="1033"/>
      <c r="W13" s="1033"/>
      <c r="X13" s="1033"/>
      <c r="Y13" s="1034"/>
      <c r="Z13" s="1032"/>
      <c r="AA13" s="1033"/>
      <c r="AB13" s="1033"/>
      <c r="AC13" s="1033"/>
      <c r="AD13" s="1033"/>
      <c r="AE13" s="1034"/>
      <c r="AF13" s="1032"/>
      <c r="AG13" s="1033"/>
      <c r="AH13" s="1033"/>
      <c r="AI13" s="1033"/>
      <c r="AJ13" s="1033"/>
      <c r="AK13" s="1034"/>
      <c r="AL13" s="1029">
        <v>15145.099949999998</v>
      </c>
      <c r="AM13" s="1030">
        <v>0</v>
      </c>
      <c r="AN13" s="1030">
        <v>12635.04005</v>
      </c>
      <c r="AO13" s="1031">
        <v>27780.14</v>
      </c>
    </row>
    <row r="14" spans="1:43">
      <c r="A14" s="1021" t="s">
        <v>29</v>
      </c>
      <c r="B14" s="1022" t="s">
        <v>886</v>
      </c>
      <c r="C14" s="1023">
        <f t="shared" si="1"/>
        <v>364789.87329999998</v>
      </c>
      <c r="D14" s="1024">
        <f t="shared" si="2"/>
        <v>303256.00669999997</v>
      </c>
      <c r="E14" s="1024">
        <f t="shared" si="3"/>
        <v>354.01</v>
      </c>
      <c r="F14" s="1024">
        <f t="shared" si="4"/>
        <v>0</v>
      </c>
      <c r="G14" s="1025">
        <f t="shared" si="4"/>
        <v>354.01</v>
      </c>
      <c r="H14" s="1029">
        <v>-5248.21</v>
      </c>
      <c r="I14" s="1030">
        <v>0</v>
      </c>
      <c r="J14" s="1030">
        <v>-5042.42</v>
      </c>
      <c r="K14" s="1030">
        <v>0</v>
      </c>
      <c r="L14" s="1030">
        <v>0.01</v>
      </c>
      <c r="M14" s="1031">
        <v>-10290.620000000001</v>
      </c>
      <c r="N14" s="1032"/>
      <c r="O14" s="1033"/>
      <c r="P14" s="1033"/>
      <c r="Q14" s="1033"/>
      <c r="R14" s="1033"/>
      <c r="S14" s="1034"/>
      <c r="T14" s="1029">
        <v>0</v>
      </c>
      <c r="U14" s="1030">
        <v>0</v>
      </c>
      <c r="V14" s="1030">
        <v>0</v>
      </c>
      <c r="W14" s="1030">
        <v>0</v>
      </c>
      <c r="X14" s="1030">
        <v>354</v>
      </c>
      <c r="Y14" s="1031">
        <v>354</v>
      </c>
      <c r="Z14" s="1032"/>
      <c r="AA14" s="1033"/>
      <c r="AB14" s="1033"/>
      <c r="AC14" s="1033"/>
      <c r="AD14" s="1033"/>
      <c r="AE14" s="1034"/>
      <c r="AF14" s="1032"/>
      <c r="AG14" s="1033"/>
      <c r="AH14" s="1033"/>
      <c r="AI14" s="1033"/>
      <c r="AJ14" s="1033"/>
      <c r="AK14" s="1034"/>
      <c r="AL14" s="1029">
        <v>370038.0833</v>
      </c>
      <c r="AM14" s="1030">
        <v>0</v>
      </c>
      <c r="AN14" s="1030">
        <v>308298.42669999995</v>
      </c>
      <c r="AO14" s="1031">
        <v>678336.51</v>
      </c>
    </row>
    <row r="15" spans="1:43">
      <c r="A15" s="1021" t="s">
        <v>31</v>
      </c>
      <c r="B15" s="1022" t="s">
        <v>32</v>
      </c>
      <c r="C15" s="1023">
        <f t="shared" si="1"/>
        <v>32983.323000000004</v>
      </c>
      <c r="D15" s="1024">
        <f t="shared" si="2"/>
        <v>20192.277000000002</v>
      </c>
      <c r="E15" s="1024">
        <f t="shared" si="3"/>
        <v>0</v>
      </c>
      <c r="F15" s="1024">
        <f t="shared" si="4"/>
        <v>0</v>
      </c>
      <c r="G15" s="1025">
        <f t="shared" si="4"/>
        <v>0</v>
      </c>
      <c r="H15" s="1029">
        <v>-25.5</v>
      </c>
      <c r="I15" s="1030">
        <v>0</v>
      </c>
      <c r="J15" s="1030">
        <v>-24.5</v>
      </c>
      <c r="K15" s="1030">
        <v>0</v>
      </c>
      <c r="L15" s="1030">
        <v>0</v>
      </c>
      <c r="M15" s="1031">
        <v>-50</v>
      </c>
      <c r="N15" s="1032"/>
      <c r="O15" s="1033"/>
      <c r="P15" s="1033"/>
      <c r="Q15" s="1033"/>
      <c r="R15" s="1033"/>
      <c r="S15" s="1034"/>
      <c r="T15" s="1032"/>
      <c r="U15" s="1033"/>
      <c r="V15" s="1033"/>
      <c r="W15" s="1033"/>
      <c r="X15" s="1033"/>
      <c r="Y15" s="1034"/>
      <c r="Z15" s="1032"/>
      <c r="AA15" s="1033"/>
      <c r="AB15" s="1033"/>
      <c r="AC15" s="1033"/>
      <c r="AD15" s="1033"/>
      <c r="AE15" s="1034"/>
      <c r="AF15" s="1032"/>
      <c r="AG15" s="1033"/>
      <c r="AH15" s="1033"/>
      <c r="AI15" s="1033"/>
      <c r="AJ15" s="1033"/>
      <c r="AK15" s="1034"/>
      <c r="AL15" s="1029">
        <v>33008.823000000004</v>
      </c>
      <c r="AM15" s="1030">
        <v>0</v>
      </c>
      <c r="AN15" s="1030">
        <v>20216.777000000002</v>
      </c>
      <c r="AO15" s="1031">
        <v>53225.600000000006</v>
      </c>
    </row>
    <row r="16" spans="1:43">
      <c r="A16" s="1021" t="s">
        <v>33</v>
      </c>
      <c r="B16" s="1022" t="s">
        <v>34</v>
      </c>
      <c r="C16" s="1023">
        <f t="shared" si="1"/>
        <v>84592.867125000004</v>
      </c>
      <c r="D16" s="1024">
        <f t="shared" si="2"/>
        <v>48961.052875000008</v>
      </c>
      <c r="E16" s="1024">
        <f t="shared" si="3"/>
        <v>0</v>
      </c>
      <c r="F16" s="1024">
        <f t="shared" si="4"/>
        <v>0</v>
      </c>
      <c r="G16" s="1025">
        <f t="shared" si="4"/>
        <v>0</v>
      </c>
      <c r="H16" s="1032"/>
      <c r="I16" s="1033"/>
      <c r="J16" s="1033"/>
      <c r="K16" s="1033"/>
      <c r="L16" s="1033"/>
      <c r="M16" s="1034"/>
      <c r="N16" s="1032"/>
      <c r="O16" s="1033"/>
      <c r="P16" s="1033"/>
      <c r="Q16" s="1033"/>
      <c r="R16" s="1033"/>
      <c r="S16" s="1034"/>
      <c r="T16" s="1032"/>
      <c r="U16" s="1033"/>
      <c r="V16" s="1033"/>
      <c r="W16" s="1033"/>
      <c r="X16" s="1033"/>
      <c r="Y16" s="1034"/>
      <c r="Z16" s="1032"/>
      <c r="AA16" s="1033"/>
      <c r="AB16" s="1033"/>
      <c r="AC16" s="1033"/>
      <c r="AD16" s="1033"/>
      <c r="AE16" s="1034"/>
      <c r="AF16" s="1032"/>
      <c r="AG16" s="1033"/>
      <c r="AH16" s="1033"/>
      <c r="AI16" s="1033"/>
      <c r="AJ16" s="1033"/>
      <c r="AK16" s="1034"/>
      <c r="AL16" s="1029">
        <v>84592.867125000004</v>
      </c>
      <c r="AM16" s="1030">
        <v>0</v>
      </c>
      <c r="AN16" s="1030">
        <v>48961.052875000008</v>
      </c>
      <c r="AO16" s="1031">
        <v>133553.92000000001</v>
      </c>
    </row>
    <row r="17" spans="1:41">
      <c r="A17" s="1021" t="s">
        <v>37</v>
      </c>
      <c r="B17" s="1022" t="s">
        <v>38</v>
      </c>
      <c r="C17" s="1023">
        <f t="shared" si="1"/>
        <v>244568.9945</v>
      </c>
      <c r="D17" s="1024">
        <f t="shared" si="2"/>
        <v>141494.90549999999</v>
      </c>
      <c r="E17" s="1024">
        <f t="shared" si="3"/>
        <v>0</v>
      </c>
      <c r="F17" s="1024">
        <f t="shared" si="4"/>
        <v>0</v>
      </c>
      <c r="G17" s="1025">
        <f t="shared" si="4"/>
        <v>0</v>
      </c>
      <c r="H17" s="1032"/>
      <c r="I17" s="1033"/>
      <c r="J17" s="1033"/>
      <c r="K17" s="1033"/>
      <c r="L17" s="1033"/>
      <c r="M17" s="1034"/>
      <c r="N17" s="1032"/>
      <c r="O17" s="1033"/>
      <c r="P17" s="1033"/>
      <c r="Q17" s="1033"/>
      <c r="R17" s="1033"/>
      <c r="S17" s="1034"/>
      <c r="T17" s="1032"/>
      <c r="U17" s="1033"/>
      <c r="V17" s="1033"/>
      <c r="W17" s="1033"/>
      <c r="X17" s="1033"/>
      <c r="Y17" s="1034"/>
      <c r="Z17" s="1032"/>
      <c r="AA17" s="1033"/>
      <c r="AB17" s="1033"/>
      <c r="AC17" s="1033"/>
      <c r="AD17" s="1033"/>
      <c r="AE17" s="1034"/>
      <c r="AF17" s="1029">
        <v>27070.28</v>
      </c>
      <c r="AG17" s="1030">
        <v>0</v>
      </c>
      <c r="AH17" s="1030">
        <v>0</v>
      </c>
      <c r="AI17" s="1030">
        <v>0</v>
      </c>
      <c r="AJ17" s="1030">
        <v>0</v>
      </c>
      <c r="AK17" s="1031">
        <v>27070.28</v>
      </c>
      <c r="AL17" s="1029">
        <v>217498.7145</v>
      </c>
      <c r="AM17" s="1030">
        <v>0</v>
      </c>
      <c r="AN17" s="1030">
        <v>141494.90549999999</v>
      </c>
      <c r="AO17" s="1031">
        <v>358993.62</v>
      </c>
    </row>
    <row r="18" spans="1:41">
      <c r="A18" s="1021" t="s">
        <v>39</v>
      </c>
      <c r="B18" s="1022" t="s">
        <v>40</v>
      </c>
      <c r="C18" s="1023">
        <f t="shared" si="1"/>
        <v>268315.97802500002</v>
      </c>
      <c r="D18" s="1024">
        <f t="shared" si="2"/>
        <v>166217.261975</v>
      </c>
      <c r="E18" s="1024">
        <f t="shared" si="3"/>
        <v>0</v>
      </c>
      <c r="F18" s="1024">
        <f t="shared" si="4"/>
        <v>0</v>
      </c>
      <c r="G18" s="1025">
        <f t="shared" si="4"/>
        <v>0</v>
      </c>
      <c r="H18" s="1029">
        <v>-1374.95</v>
      </c>
      <c r="I18" s="1030">
        <v>0</v>
      </c>
      <c r="J18" s="1030">
        <v>-1321.04</v>
      </c>
      <c r="K18" s="1030">
        <v>0</v>
      </c>
      <c r="L18" s="1030">
        <v>0</v>
      </c>
      <c r="M18" s="1031">
        <v>-2695.99</v>
      </c>
      <c r="N18" s="1029">
        <v>255</v>
      </c>
      <c r="O18" s="1030">
        <v>0</v>
      </c>
      <c r="P18" s="1030">
        <v>245</v>
      </c>
      <c r="Q18" s="1030">
        <v>0</v>
      </c>
      <c r="R18" s="1030">
        <v>0</v>
      </c>
      <c r="S18" s="1031">
        <v>500</v>
      </c>
      <c r="T18" s="1032"/>
      <c r="U18" s="1033"/>
      <c r="V18" s="1033"/>
      <c r="W18" s="1033"/>
      <c r="X18" s="1033"/>
      <c r="Y18" s="1034"/>
      <c r="Z18" s="1032"/>
      <c r="AA18" s="1033"/>
      <c r="AB18" s="1033"/>
      <c r="AC18" s="1033"/>
      <c r="AD18" s="1033"/>
      <c r="AE18" s="1034"/>
      <c r="AF18" s="1032"/>
      <c r="AG18" s="1033"/>
      <c r="AH18" s="1033"/>
      <c r="AI18" s="1033"/>
      <c r="AJ18" s="1033"/>
      <c r="AK18" s="1034"/>
      <c r="AL18" s="1029">
        <v>269435.92802500003</v>
      </c>
      <c r="AM18" s="1030">
        <v>0</v>
      </c>
      <c r="AN18" s="1030">
        <v>167293.30197500001</v>
      </c>
      <c r="AO18" s="1031">
        <v>436729.23000000004</v>
      </c>
    </row>
    <row r="19" spans="1:41">
      <c r="A19" s="1021" t="s">
        <v>41</v>
      </c>
      <c r="B19" s="1022" t="s">
        <v>42</v>
      </c>
      <c r="C19" s="1023">
        <f t="shared" si="1"/>
        <v>127701.24365</v>
      </c>
      <c r="D19" s="1024">
        <f t="shared" si="2"/>
        <v>133302.96635000003</v>
      </c>
      <c r="E19" s="1024">
        <f t="shared" si="3"/>
        <v>0</v>
      </c>
      <c r="F19" s="1024">
        <f t="shared" si="4"/>
        <v>0</v>
      </c>
      <c r="G19" s="1025">
        <f t="shared" si="4"/>
        <v>0</v>
      </c>
      <c r="H19" s="1029">
        <v>-116.28</v>
      </c>
      <c r="I19" s="1030">
        <v>0</v>
      </c>
      <c r="J19" s="1030">
        <v>-111.72</v>
      </c>
      <c r="K19" s="1030">
        <v>0</v>
      </c>
      <c r="L19" s="1030">
        <v>0</v>
      </c>
      <c r="M19" s="1031">
        <v>-228</v>
      </c>
      <c r="N19" s="1032"/>
      <c r="O19" s="1033"/>
      <c r="P19" s="1033"/>
      <c r="Q19" s="1033"/>
      <c r="R19" s="1033"/>
      <c r="S19" s="1034"/>
      <c r="T19" s="1032"/>
      <c r="U19" s="1033"/>
      <c r="V19" s="1033"/>
      <c r="W19" s="1033"/>
      <c r="X19" s="1033"/>
      <c r="Y19" s="1034"/>
      <c r="Z19" s="1032"/>
      <c r="AA19" s="1033"/>
      <c r="AB19" s="1033"/>
      <c r="AC19" s="1033"/>
      <c r="AD19" s="1033"/>
      <c r="AE19" s="1034"/>
      <c r="AF19" s="1032"/>
      <c r="AG19" s="1033"/>
      <c r="AH19" s="1033"/>
      <c r="AI19" s="1033"/>
      <c r="AJ19" s="1033"/>
      <c r="AK19" s="1034"/>
      <c r="AL19" s="1029">
        <v>127817.52365</v>
      </c>
      <c r="AM19" s="1030">
        <v>0</v>
      </c>
      <c r="AN19" s="1030">
        <v>133414.68635000003</v>
      </c>
      <c r="AO19" s="1031">
        <v>261232.21000000002</v>
      </c>
    </row>
    <row r="20" spans="1:41">
      <c r="A20" s="1021" t="s">
        <v>43</v>
      </c>
      <c r="B20" s="1022" t="s">
        <v>44</v>
      </c>
      <c r="C20" s="1023">
        <f t="shared" si="1"/>
        <v>509617.48817499989</v>
      </c>
      <c r="D20" s="1024">
        <f t="shared" si="2"/>
        <v>469460.08182499988</v>
      </c>
      <c r="E20" s="1024">
        <f t="shared" si="3"/>
        <v>0.01</v>
      </c>
      <c r="F20" s="1024">
        <f t="shared" si="4"/>
        <v>0</v>
      </c>
      <c r="G20" s="1025">
        <f t="shared" si="4"/>
        <v>0.01</v>
      </c>
      <c r="H20" s="1029">
        <v>-611.75</v>
      </c>
      <c r="I20" s="1030">
        <v>0</v>
      </c>
      <c r="J20" s="1030">
        <v>-587.76</v>
      </c>
      <c r="K20" s="1030">
        <v>0</v>
      </c>
      <c r="L20" s="1030">
        <v>0.01</v>
      </c>
      <c r="M20" s="1031">
        <v>-1199.5</v>
      </c>
      <c r="N20" s="1032"/>
      <c r="O20" s="1033"/>
      <c r="P20" s="1033"/>
      <c r="Q20" s="1033"/>
      <c r="R20" s="1033"/>
      <c r="S20" s="1034"/>
      <c r="T20" s="1029">
        <v>0</v>
      </c>
      <c r="U20" s="1030">
        <v>0</v>
      </c>
      <c r="V20" s="1030">
        <v>67</v>
      </c>
      <c r="W20" s="1030">
        <v>0</v>
      </c>
      <c r="X20" s="1030">
        <v>0</v>
      </c>
      <c r="Y20" s="1031">
        <v>67</v>
      </c>
      <c r="Z20" s="1032"/>
      <c r="AA20" s="1033"/>
      <c r="AB20" s="1033"/>
      <c r="AC20" s="1033"/>
      <c r="AD20" s="1033"/>
      <c r="AE20" s="1034"/>
      <c r="AF20" s="1032"/>
      <c r="AG20" s="1033"/>
      <c r="AH20" s="1033"/>
      <c r="AI20" s="1033"/>
      <c r="AJ20" s="1033"/>
      <c r="AK20" s="1034"/>
      <c r="AL20" s="1029">
        <v>510229.23817499989</v>
      </c>
      <c r="AM20" s="1030">
        <v>0</v>
      </c>
      <c r="AN20" s="1030">
        <v>469980.84182499989</v>
      </c>
      <c r="AO20" s="1031">
        <v>980210.07999999984</v>
      </c>
    </row>
    <row r="21" spans="1:41">
      <c r="A21" s="1021" t="s">
        <v>45</v>
      </c>
      <c r="B21" s="1022" t="s">
        <v>46</v>
      </c>
      <c r="C21" s="1023">
        <f t="shared" si="1"/>
        <v>367274.26164999994</v>
      </c>
      <c r="D21" s="1024">
        <f t="shared" si="2"/>
        <v>312219.72834999999</v>
      </c>
      <c r="E21" s="1024">
        <f t="shared" si="3"/>
        <v>0</v>
      </c>
      <c r="F21" s="1024">
        <f t="shared" si="4"/>
        <v>0</v>
      </c>
      <c r="G21" s="1025">
        <f t="shared" si="4"/>
        <v>0</v>
      </c>
      <c r="H21" s="1029">
        <v>-533.46</v>
      </c>
      <c r="I21" s="1030">
        <v>0</v>
      </c>
      <c r="J21" s="1030">
        <v>-512.54</v>
      </c>
      <c r="K21" s="1030">
        <v>0</v>
      </c>
      <c r="L21" s="1030">
        <v>0</v>
      </c>
      <c r="M21" s="1031">
        <v>-1046</v>
      </c>
      <c r="N21" s="1032"/>
      <c r="O21" s="1033"/>
      <c r="P21" s="1033"/>
      <c r="Q21" s="1033"/>
      <c r="R21" s="1033"/>
      <c r="S21" s="1034"/>
      <c r="T21" s="1029">
        <v>0</v>
      </c>
      <c r="U21" s="1030">
        <v>0</v>
      </c>
      <c r="V21" s="1030">
        <v>153.18</v>
      </c>
      <c r="W21" s="1030">
        <v>0</v>
      </c>
      <c r="X21" s="1030">
        <v>0</v>
      </c>
      <c r="Y21" s="1031">
        <v>153.18</v>
      </c>
      <c r="Z21" s="1032"/>
      <c r="AA21" s="1033"/>
      <c r="AB21" s="1033"/>
      <c r="AC21" s="1033"/>
      <c r="AD21" s="1033"/>
      <c r="AE21" s="1034"/>
      <c r="AF21" s="1032"/>
      <c r="AG21" s="1033"/>
      <c r="AH21" s="1033"/>
      <c r="AI21" s="1033"/>
      <c r="AJ21" s="1033"/>
      <c r="AK21" s="1034"/>
      <c r="AL21" s="1029">
        <v>367807.72164999996</v>
      </c>
      <c r="AM21" s="1030">
        <v>0</v>
      </c>
      <c r="AN21" s="1030">
        <v>312579.08834999998</v>
      </c>
      <c r="AO21" s="1031">
        <v>680386.81</v>
      </c>
    </row>
    <row r="22" spans="1:41">
      <c r="A22" s="1021" t="s">
        <v>47</v>
      </c>
      <c r="B22" s="1022" t="s">
        <v>48</v>
      </c>
      <c r="C22" s="1023">
        <f t="shared" si="1"/>
        <v>209130.28542499995</v>
      </c>
      <c r="D22" s="1024">
        <f t="shared" si="2"/>
        <v>155809.12457499997</v>
      </c>
      <c r="E22" s="1024">
        <f t="shared" si="3"/>
        <v>0</v>
      </c>
      <c r="F22" s="1024">
        <f t="shared" si="4"/>
        <v>0</v>
      </c>
      <c r="G22" s="1025">
        <f t="shared" si="4"/>
        <v>0</v>
      </c>
      <c r="H22" s="1029">
        <v>-861.08</v>
      </c>
      <c r="I22" s="1030">
        <v>0</v>
      </c>
      <c r="J22" s="1030">
        <v>-827.32</v>
      </c>
      <c r="K22" s="1030">
        <v>0</v>
      </c>
      <c r="L22" s="1030">
        <v>0</v>
      </c>
      <c r="M22" s="1031">
        <v>-1688.4</v>
      </c>
      <c r="N22" s="1032"/>
      <c r="O22" s="1033"/>
      <c r="P22" s="1033"/>
      <c r="Q22" s="1033"/>
      <c r="R22" s="1033"/>
      <c r="S22" s="1034"/>
      <c r="T22" s="1032"/>
      <c r="U22" s="1033"/>
      <c r="V22" s="1033"/>
      <c r="W22" s="1033"/>
      <c r="X22" s="1033"/>
      <c r="Y22" s="1034"/>
      <c r="Z22" s="1032"/>
      <c r="AA22" s="1033"/>
      <c r="AB22" s="1033"/>
      <c r="AC22" s="1033"/>
      <c r="AD22" s="1033"/>
      <c r="AE22" s="1034"/>
      <c r="AF22" s="1032"/>
      <c r="AG22" s="1033"/>
      <c r="AH22" s="1033"/>
      <c r="AI22" s="1033"/>
      <c r="AJ22" s="1033"/>
      <c r="AK22" s="1034"/>
      <c r="AL22" s="1029">
        <v>209991.36542499994</v>
      </c>
      <c r="AM22" s="1030">
        <v>0</v>
      </c>
      <c r="AN22" s="1030">
        <v>156636.44457499997</v>
      </c>
      <c r="AO22" s="1031">
        <v>366627.80999999994</v>
      </c>
    </row>
    <row r="23" spans="1:41">
      <c r="A23" s="1021" t="s">
        <v>49</v>
      </c>
      <c r="B23" s="1022" t="s">
        <v>279</v>
      </c>
      <c r="C23" s="1023">
        <f t="shared" si="1"/>
        <v>42991.422599999998</v>
      </c>
      <c r="D23" s="1024">
        <f t="shared" si="2"/>
        <v>32025.377399999998</v>
      </c>
      <c r="E23" s="1024">
        <f t="shared" si="3"/>
        <v>0</v>
      </c>
      <c r="F23" s="1024">
        <f t="shared" si="4"/>
        <v>0</v>
      </c>
      <c r="G23" s="1025">
        <f t="shared" si="4"/>
        <v>0</v>
      </c>
      <c r="H23" s="1032"/>
      <c r="I23" s="1033"/>
      <c r="J23" s="1033"/>
      <c r="K23" s="1033"/>
      <c r="L23" s="1033"/>
      <c r="M23" s="1034"/>
      <c r="N23" s="1032"/>
      <c r="O23" s="1033"/>
      <c r="P23" s="1033"/>
      <c r="Q23" s="1033"/>
      <c r="R23" s="1033"/>
      <c r="S23" s="1034"/>
      <c r="T23" s="1032"/>
      <c r="U23" s="1033"/>
      <c r="V23" s="1033"/>
      <c r="W23" s="1033"/>
      <c r="X23" s="1033"/>
      <c r="Y23" s="1034"/>
      <c r="Z23" s="1032"/>
      <c r="AA23" s="1033"/>
      <c r="AB23" s="1033"/>
      <c r="AC23" s="1033"/>
      <c r="AD23" s="1033"/>
      <c r="AE23" s="1034"/>
      <c r="AF23" s="1032"/>
      <c r="AG23" s="1033"/>
      <c r="AH23" s="1033"/>
      <c r="AI23" s="1033"/>
      <c r="AJ23" s="1033"/>
      <c r="AK23" s="1034"/>
      <c r="AL23" s="1029">
        <v>42991.422599999998</v>
      </c>
      <c r="AM23" s="1030">
        <v>0</v>
      </c>
      <c r="AN23" s="1030">
        <v>32025.377399999998</v>
      </c>
      <c r="AO23" s="1031">
        <v>75016.800000000003</v>
      </c>
    </row>
    <row r="24" spans="1:41">
      <c r="A24" s="1021" t="s">
        <v>51</v>
      </c>
      <c r="B24" s="1022" t="s">
        <v>52</v>
      </c>
      <c r="C24" s="1023">
        <f t="shared" si="1"/>
        <v>350820.55299999996</v>
      </c>
      <c r="D24" s="1024">
        <f t="shared" si="2"/>
        <v>91009.126999999993</v>
      </c>
      <c r="E24" s="1024">
        <f t="shared" si="3"/>
        <v>0</v>
      </c>
      <c r="F24" s="1024">
        <f t="shared" si="4"/>
        <v>0</v>
      </c>
      <c r="G24" s="1025">
        <f t="shared" si="4"/>
        <v>0</v>
      </c>
      <c r="H24" s="1029">
        <v>-25.5</v>
      </c>
      <c r="I24" s="1030">
        <v>0</v>
      </c>
      <c r="J24" s="1030">
        <v>-24.5</v>
      </c>
      <c r="K24" s="1030">
        <v>0</v>
      </c>
      <c r="L24" s="1030">
        <v>0</v>
      </c>
      <c r="M24" s="1031">
        <v>-50</v>
      </c>
      <c r="N24" s="1032"/>
      <c r="O24" s="1033"/>
      <c r="P24" s="1033"/>
      <c r="Q24" s="1033"/>
      <c r="R24" s="1033"/>
      <c r="S24" s="1034"/>
      <c r="T24" s="1032"/>
      <c r="U24" s="1033"/>
      <c r="V24" s="1033"/>
      <c r="W24" s="1033"/>
      <c r="X24" s="1033"/>
      <c r="Y24" s="1034"/>
      <c r="Z24" s="1032"/>
      <c r="AA24" s="1033"/>
      <c r="AB24" s="1033"/>
      <c r="AC24" s="1033"/>
      <c r="AD24" s="1033"/>
      <c r="AE24" s="1034"/>
      <c r="AF24" s="1029">
        <v>216849.08</v>
      </c>
      <c r="AG24" s="1030">
        <v>0</v>
      </c>
      <c r="AH24" s="1030">
        <v>0</v>
      </c>
      <c r="AI24" s="1030">
        <v>0</v>
      </c>
      <c r="AJ24" s="1030">
        <v>0</v>
      </c>
      <c r="AK24" s="1031">
        <v>216849.08</v>
      </c>
      <c r="AL24" s="1029">
        <v>133996.973</v>
      </c>
      <c r="AM24" s="1030">
        <v>0</v>
      </c>
      <c r="AN24" s="1030">
        <v>91033.626999999993</v>
      </c>
      <c r="AO24" s="1031">
        <v>225030.6</v>
      </c>
    </row>
    <row r="25" spans="1:41">
      <c r="A25" s="1021" t="s">
        <v>57</v>
      </c>
      <c r="B25" s="1022" t="s">
        <v>362</v>
      </c>
      <c r="C25" s="1023">
        <f t="shared" si="1"/>
        <v>2341590.0562499999</v>
      </c>
      <c r="D25" s="1024">
        <f t="shared" si="2"/>
        <v>1630126.7637500002</v>
      </c>
      <c r="E25" s="1024">
        <f t="shared" si="3"/>
        <v>-3257.51</v>
      </c>
      <c r="F25" s="1024">
        <f t="shared" si="4"/>
        <v>0</v>
      </c>
      <c r="G25" s="1025">
        <f t="shared" si="4"/>
        <v>-3257.51</v>
      </c>
      <c r="H25" s="1029">
        <v>-2748.13</v>
      </c>
      <c r="I25" s="1030">
        <v>0</v>
      </c>
      <c r="J25" s="1030">
        <v>-2640.39</v>
      </c>
      <c r="K25" s="1030">
        <v>0</v>
      </c>
      <c r="L25" s="1030">
        <v>-3257.51</v>
      </c>
      <c r="M25" s="1031">
        <v>-8646.0300000000007</v>
      </c>
      <c r="N25" s="1029">
        <v>255</v>
      </c>
      <c r="O25" s="1030">
        <v>0</v>
      </c>
      <c r="P25" s="1030">
        <v>245</v>
      </c>
      <c r="Q25" s="1030">
        <v>0</v>
      </c>
      <c r="R25" s="1030">
        <v>0</v>
      </c>
      <c r="S25" s="1031">
        <v>500</v>
      </c>
      <c r="T25" s="1032"/>
      <c r="U25" s="1033"/>
      <c r="V25" s="1033"/>
      <c r="W25" s="1033"/>
      <c r="X25" s="1033"/>
      <c r="Y25" s="1034"/>
      <c r="Z25" s="1032"/>
      <c r="AA25" s="1033"/>
      <c r="AB25" s="1033"/>
      <c r="AC25" s="1033"/>
      <c r="AD25" s="1033"/>
      <c r="AE25" s="1034"/>
      <c r="AF25" s="1032"/>
      <c r="AG25" s="1033"/>
      <c r="AH25" s="1033"/>
      <c r="AI25" s="1033"/>
      <c r="AJ25" s="1033"/>
      <c r="AK25" s="1034"/>
      <c r="AL25" s="1029">
        <v>2344083.1862499998</v>
      </c>
      <c r="AM25" s="1030">
        <v>0</v>
      </c>
      <c r="AN25" s="1030">
        <v>1632522.1537500001</v>
      </c>
      <c r="AO25" s="1031">
        <v>3976605.3400000003</v>
      </c>
    </row>
    <row r="26" spans="1:41">
      <c r="A26" s="1021" t="s">
        <v>59</v>
      </c>
      <c r="B26" s="1022" t="s">
        <v>60</v>
      </c>
      <c r="C26" s="1023">
        <f t="shared" si="1"/>
        <v>35110.922374999995</v>
      </c>
      <c r="D26" s="1024">
        <f t="shared" si="2"/>
        <v>29795.767624999997</v>
      </c>
      <c r="E26" s="1024">
        <f t="shared" si="3"/>
        <v>-6.66</v>
      </c>
      <c r="F26" s="1024">
        <f t="shared" si="4"/>
        <v>0</v>
      </c>
      <c r="G26" s="1025">
        <f t="shared" si="4"/>
        <v>-6.66</v>
      </c>
      <c r="H26" s="1032"/>
      <c r="I26" s="1033"/>
      <c r="J26" s="1033"/>
      <c r="K26" s="1033"/>
      <c r="L26" s="1033"/>
      <c r="M26" s="1034"/>
      <c r="N26" s="1032"/>
      <c r="O26" s="1033"/>
      <c r="P26" s="1033"/>
      <c r="Q26" s="1033"/>
      <c r="R26" s="1033"/>
      <c r="S26" s="1034"/>
      <c r="T26" s="1029">
        <v>0</v>
      </c>
      <c r="U26" s="1030">
        <v>0</v>
      </c>
      <c r="V26" s="1030">
        <v>0</v>
      </c>
      <c r="W26" s="1030">
        <v>0</v>
      </c>
      <c r="X26" s="1030">
        <v>-6.66</v>
      </c>
      <c r="Y26" s="1031">
        <v>-6.66</v>
      </c>
      <c r="Z26" s="1032"/>
      <c r="AA26" s="1033"/>
      <c r="AB26" s="1033"/>
      <c r="AC26" s="1033"/>
      <c r="AD26" s="1033"/>
      <c r="AE26" s="1034"/>
      <c r="AF26" s="1032"/>
      <c r="AG26" s="1033"/>
      <c r="AH26" s="1033"/>
      <c r="AI26" s="1033"/>
      <c r="AJ26" s="1033"/>
      <c r="AK26" s="1034"/>
      <c r="AL26" s="1029">
        <v>35110.922374999995</v>
      </c>
      <c r="AM26" s="1030">
        <v>0</v>
      </c>
      <c r="AN26" s="1030">
        <v>29795.767624999997</v>
      </c>
      <c r="AO26" s="1031">
        <v>64906.689999999988</v>
      </c>
    </row>
    <row r="27" spans="1:41">
      <c r="A27" s="1021" t="s">
        <v>61</v>
      </c>
      <c r="B27" s="1022" t="s">
        <v>62</v>
      </c>
      <c r="C27" s="1023">
        <f t="shared" si="1"/>
        <v>21872.454024999999</v>
      </c>
      <c r="D27" s="1024">
        <f t="shared" si="2"/>
        <v>13590.875975000001</v>
      </c>
      <c r="E27" s="1024">
        <f t="shared" si="3"/>
        <v>0</v>
      </c>
      <c r="F27" s="1024">
        <f t="shared" si="4"/>
        <v>0</v>
      </c>
      <c r="G27" s="1025">
        <f t="shared" si="4"/>
        <v>0</v>
      </c>
      <c r="H27" s="1032"/>
      <c r="I27" s="1033"/>
      <c r="J27" s="1033"/>
      <c r="K27" s="1033"/>
      <c r="L27" s="1033"/>
      <c r="M27" s="1034"/>
      <c r="N27" s="1032"/>
      <c r="O27" s="1033"/>
      <c r="P27" s="1033"/>
      <c r="Q27" s="1033"/>
      <c r="R27" s="1033"/>
      <c r="S27" s="1034"/>
      <c r="T27" s="1032"/>
      <c r="U27" s="1033"/>
      <c r="V27" s="1033"/>
      <c r="W27" s="1033"/>
      <c r="X27" s="1033"/>
      <c r="Y27" s="1034"/>
      <c r="Z27" s="1032"/>
      <c r="AA27" s="1033"/>
      <c r="AB27" s="1033"/>
      <c r="AC27" s="1033"/>
      <c r="AD27" s="1033"/>
      <c r="AE27" s="1034"/>
      <c r="AF27" s="1032"/>
      <c r="AG27" s="1033"/>
      <c r="AH27" s="1033"/>
      <c r="AI27" s="1033"/>
      <c r="AJ27" s="1033"/>
      <c r="AK27" s="1034"/>
      <c r="AL27" s="1029">
        <v>21872.454024999999</v>
      </c>
      <c r="AM27" s="1030">
        <v>0</v>
      </c>
      <c r="AN27" s="1030">
        <v>13590.875975000001</v>
      </c>
      <c r="AO27" s="1031">
        <v>35463.33</v>
      </c>
    </row>
    <row r="28" spans="1:41">
      <c r="A28" s="1021" t="s">
        <v>63</v>
      </c>
      <c r="B28" s="1022" t="s">
        <v>64</v>
      </c>
      <c r="C28" s="1023">
        <f t="shared" si="1"/>
        <v>413603.41222499998</v>
      </c>
      <c r="D28" s="1024">
        <f t="shared" si="2"/>
        <v>230773.61777499999</v>
      </c>
      <c r="E28" s="1024">
        <f t="shared" si="3"/>
        <v>30</v>
      </c>
      <c r="F28" s="1024">
        <f t="shared" si="4"/>
        <v>0</v>
      </c>
      <c r="G28" s="1025">
        <f t="shared" si="4"/>
        <v>30</v>
      </c>
      <c r="H28" s="1029">
        <v>-1026.82</v>
      </c>
      <c r="I28" s="1030">
        <v>0</v>
      </c>
      <c r="J28" s="1030">
        <v>-986.55</v>
      </c>
      <c r="K28" s="1030">
        <v>0</v>
      </c>
      <c r="L28" s="1030">
        <v>30</v>
      </c>
      <c r="M28" s="1031">
        <v>-1983.37</v>
      </c>
      <c r="N28" s="1032"/>
      <c r="O28" s="1033"/>
      <c r="P28" s="1033"/>
      <c r="Q28" s="1033"/>
      <c r="R28" s="1033"/>
      <c r="S28" s="1034"/>
      <c r="T28" s="1032"/>
      <c r="U28" s="1033"/>
      <c r="V28" s="1033"/>
      <c r="W28" s="1033"/>
      <c r="X28" s="1033"/>
      <c r="Y28" s="1034"/>
      <c r="Z28" s="1032"/>
      <c r="AA28" s="1033"/>
      <c r="AB28" s="1033"/>
      <c r="AC28" s="1033"/>
      <c r="AD28" s="1033"/>
      <c r="AE28" s="1034"/>
      <c r="AF28" s="1029">
        <v>94662.81</v>
      </c>
      <c r="AG28" s="1030">
        <v>0</v>
      </c>
      <c r="AH28" s="1030">
        <v>0</v>
      </c>
      <c r="AI28" s="1030">
        <v>0</v>
      </c>
      <c r="AJ28" s="1030">
        <v>0</v>
      </c>
      <c r="AK28" s="1031">
        <v>94662.81</v>
      </c>
      <c r="AL28" s="1029">
        <v>319967.42222499999</v>
      </c>
      <c r="AM28" s="1030">
        <v>0</v>
      </c>
      <c r="AN28" s="1030">
        <v>231760.16777499998</v>
      </c>
      <c r="AO28" s="1031">
        <v>551727.59</v>
      </c>
    </row>
    <row r="29" spans="1:41">
      <c r="A29" s="1021" t="s">
        <v>65</v>
      </c>
      <c r="B29" s="1022" t="s">
        <v>66</v>
      </c>
      <c r="C29" s="1023">
        <f t="shared" si="1"/>
        <v>125853.18495000001</v>
      </c>
      <c r="D29" s="1024">
        <f t="shared" si="2"/>
        <v>90796.575049999999</v>
      </c>
      <c r="E29" s="1024">
        <f t="shared" si="3"/>
        <v>0</v>
      </c>
      <c r="F29" s="1024">
        <f t="shared" si="4"/>
        <v>0</v>
      </c>
      <c r="G29" s="1025">
        <f t="shared" si="4"/>
        <v>0</v>
      </c>
      <c r="H29" s="1029">
        <v>-188.7</v>
      </c>
      <c r="I29" s="1030">
        <v>0</v>
      </c>
      <c r="J29" s="1030">
        <v>-181.3</v>
      </c>
      <c r="K29" s="1030">
        <v>0</v>
      </c>
      <c r="L29" s="1030">
        <v>0</v>
      </c>
      <c r="M29" s="1031">
        <v>-370</v>
      </c>
      <c r="N29" s="1032"/>
      <c r="O29" s="1033"/>
      <c r="P29" s="1033"/>
      <c r="Q29" s="1033"/>
      <c r="R29" s="1033"/>
      <c r="S29" s="1034"/>
      <c r="T29" s="1032"/>
      <c r="U29" s="1033"/>
      <c r="V29" s="1033"/>
      <c r="W29" s="1033"/>
      <c r="X29" s="1033"/>
      <c r="Y29" s="1034"/>
      <c r="Z29" s="1032"/>
      <c r="AA29" s="1033"/>
      <c r="AB29" s="1033"/>
      <c r="AC29" s="1033"/>
      <c r="AD29" s="1033"/>
      <c r="AE29" s="1034"/>
      <c r="AF29" s="1032"/>
      <c r="AG29" s="1033"/>
      <c r="AH29" s="1033"/>
      <c r="AI29" s="1033"/>
      <c r="AJ29" s="1033"/>
      <c r="AK29" s="1034"/>
      <c r="AL29" s="1029">
        <v>126041.88495000001</v>
      </c>
      <c r="AM29" s="1030">
        <v>0</v>
      </c>
      <c r="AN29" s="1030">
        <v>90977.875050000002</v>
      </c>
      <c r="AO29" s="1031">
        <v>217019.76</v>
      </c>
    </row>
    <row r="30" spans="1:41">
      <c r="A30" s="1021" t="s">
        <v>69</v>
      </c>
      <c r="B30" s="1022" t="s">
        <v>70</v>
      </c>
      <c r="C30" s="1023">
        <f t="shared" si="1"/>
        <v>165377.16139999998</v>
      </c>
      <c r="D30" s="1024">
        <f t="shared" si="2"/>
        <v>123599.5086</v>
      </c>
      <c r="E30" s="1024">
        <f t="shared" si="3"/>
        <v>0</v>
      </c>
      <c r="F30" s="1024">
        <f t="shared" si="4"/>
        <v>0</v>
      </c>
      <c r="G30" s="1025">
        <f t="shared" si="4"/>
        <v>0</v>
      </c>
      <c r="H30" s="1029">
        <v>-770.82</v>
      </c>
      <c r="I30" s="1030">
        <v>0</v>
      </c>
      <c r="J30" s="1030">
        <v>-740.59</v>
      </c>
      <c r="K30" s="1030">
        <v>0</v>
      </c>
      <c r="L30" s="1030">
        <v>0</v>
      </c>
      <c r="M30" s="1031">
        <v>-1511.41</v>
      </c>
      <c r="N30" s="1032"/>
      <c r="O30" s="1033"/>
      <c r="P30" s="1033"/>
      <c r="Q30" s="1033"/>
      <c r="R30" s="1033"/>
      <c r="S30" s="1034"/>
      <c r="T30" s="1029">
        <v>0</v>
      </c>
      <c r="U30" s="1030">
        <v>0</v>
      </c>
      <c r="V30" s="1030">
        <v>544</v>
      </c>
      <c r="W30" s="1030">
        <v>0</v>
      </c>
      <c r="X30" s="1030">
        <v>0</v>
      </c>
      <c r="Y30" s="1031">
        <v>544</v>
      </c>
      <c r="Z30" s="1032"/>
      <c r="AA30" s="1033"/>
      <c r="AB30" s="1033"/>
      <c r="AC30" s="1033"/>
      <c r="AD30" s="1033"/>
      <c r="AE30" s="1034"/>
      <c r="AF30" s="1032"/>
      <c r="AG30" s="1033"/>
      <c r="AH30" s="1033"/>
      <c r="AI30" s="1033"/>
      <c r="AJ30" s="1033"/>
      <c r="AK30" s="1034"/>
      <c r="AL30" s="1029">
        <v>166147.98139999999</v>
      </c>
      <c r="AM30" s="1030">
        <v>0</v>
      </c>
      <c r="AN30" s="1030">
        <v>123796.0986</v>
      </c>
      <c r="AO30" s="1031">
        <v>289944.07999999996</v>
      </c>
    </row>
    <row r="31" spans="1:41">
      <c r="A31" s="1021" t="s">
        <v>71</v>
      </c>
      <c r="B31" s="1022" t="s">
        <v>72</v>
      </c>
      <c r="C31" s="1023">
        <f t="shared" si="1"/>
        <v>233599.36744999999</v>
      </c>
      <c r="D31" s="1024">
        <f t="shared" si="2"/>
        <v>150058.38255000001</v>
      </c>
      <c r="E31" s="1024">
        <f t="shared" si="3"/>
        <v>0</v>
      </c>
      <c r="F31" s="1024">
        <f t="shared" si="4"/>
        <v>0</v>
      </c>
      <c r="G31" s="1025">
        <f t="shared" si="4"/>
        <v>0</v>
      </c>
      <c r="H31" s="1029">
        <v>-871.46</v>
      </c>
      <c r="I31" s="1030">
        <v>0</v>
      </c>
      <c r="J31" s="1030">
        <v>-837.29</v>
      </c>
      <c r="K31" s="1030">
        <v>0</v>
      </c>
      <c r="L31" s="1030">
        <v>0</v>
      </c>
      <c r="M31" s="1031">
        <v>-1708.75</v>
      </c>
      <c r="N31" s="1032"/>
      <c r="O31" s="1033"/>
      <c r="P31" s="1033"/>
      <c r="Q31" s="1033"/>
      <c r="R31" s="1033"/>
      <c r="S31" s="1034"/>
      <c r="T31" s="1032"/>
      <c r="U31" s="1033"/>
      <c r="V31" s="1033"/>
      <c r="W31" s="1033"/>
      <c r="X31" s="1033"/>
      <c r="Y31" s="1034"/>
      <c r="Z31" s="1032"/>
      <c r="AA31" s="1033"/>
      <c r="AB31" s="1033"/>
      <c r="AC31" s="1033"/>
      <c r="AD31" s="1033"/>
      <c r="AE31" s="1034"/>
      <c r="AF31" s="1032"/>
      <c r="AG31" s="1033"/>
      <c r="AH31" s="1033"/>
      <c r="AI31" s="1033"/>
      <c r="AJ31" s="1033"/>
      <c r="AK31" s="1034"/>
      <c r="AL31" s="1029">
        <v>234470.82744999998</v>
      </c>
      <c r="AM31" s="1030">
        <v>0</v>
      </c>
      <c r="AN31" s="1030">
        <v>150895.67255000002</v>
      </c>
      <c r="AO31" s="1031">
        <v>385366.5</v>
      </c>
    </row>
    <row r="32" spans="1:41">
      <c r="A32" s="1021" t="s">
        <v>73</v>
      </c>
      <c r="B32" s="1022" t="s">
        <v>74</v>
      </c>
      <c r="C32" s="1023">
        <f t="shared" si="1"/>
        <v>157606.36794999999</v>
      </c>
      <c r="D32" s="1024">
        <f t="shared" si="2"/>
        <v>91178.372049999991</v>
      </c>
      <c r="E32" s="1024">
        <f t="shared" si="3"/>
        <v>0</v>
      </c>
      <c r="F32" s="1024">
        <f t="shared" si="4"/>
        <v>0</v>
      </c>
      <c r="G32" s="1025">
        <f t="shared" si="4"/>
        <v>0</v>
      </c>
      <c r="H32" s="1032"/>
      <c r="I32" s="1033"/>
      <c r="J32" s="1033"/>
      <c r="K32" s="1033"/>
      <c r="L32" s="1033"/>
      <c r="M32" s="1034"/>
      <c r="N32" s="1032"/>
      <c r="O32" s="1033"/>
      <c r="P32" s="1033"/>
      <c r="Q32" s="1033"/>
      <c r="R32" s="1033"/>
      <c r="S32" s="1034"/>
      <c r="T32" s="1032"/>
      <c r="U32" s="1033"/>
      <c r="V32" s="1033"/>
      <c r="W32" s="1033"/>
      <c r="X32" s="1033"/>
      <c r="Y32" s="1034"/>
      <c r="Z32" s="1032"/>
      <c r="AA32" s="1033"/>
      <c r="AB32" s="1033"/>
      <c r="AC32" s="1033"/>
      <c r="AD32" s="1033"/>
      <c r="AE32" s="1034"/>
      <c r="AF32" s="1032"/>
      <c r="AG32" s="1033"/>
      <c r="AH32" s="1033"/>
      <c r="AI32" s="1033"/>
      <c r="AJ32" s="1033"/>
      <c r="AK32" s="1034"/>
      <c r="AL32" s="1029">
        <v>157606.36794999999</v>
      </c>
      <c r="AM32" s="1030">
        <v>0</v>
      </c>
      <c r="AN32" s="1030">
        <v>91178.372049999991</v>
      </c>
      <c r="AO32" s="1031">
        <v>248784.74</v>
      </c>
    </row>
    <row r="33" spans="1:41">
      <c r="A33" s="1021" t="s">
        <v>75</v>
      </c>
      <c r="B33" s="1022" t="s">
        <v>1034</v>
      </c>
      <c r="C33" s="1023">
        <f t="shared" si="1"/>
        <v>4109401.4122499991</v>
      </c>
      <c r="D33" s="1024">
        <f t="shared" si="2"/>
        <v>3029046.3977499995</v>
      </c>
      <c r="E33" s="1024">
        <f t="shared" si="3"/>
        <v>3</v>
      </c>
      <c r="F33" s="1024">
        <f t="shared" si="4"/>
        <v>0</v>
      </c>
      <c r="G33" s="1025">
        <f t="shared" si="4"/>
        <v>3</v>
      </c>
      <c r="H33" s="1029">
        <v>-14880.59</v>
      </c>
      <c r="I33" s="1030">
        <v>0</v>
      </c>
      <c r="J33" s="1030">
        <v>-14297.04</v>
      </c>
      <c r="K33" s="1030">
        <v>0</v>
      </c>
      <c r="L33" s="1030">
        <v>3</v>
      </c>
      <c r="M33" s="1031">
        <v>-29174.63</v>
      </c>
      <c r="N33" s="1032"/>
      <c r="O33" s="1033"/>
      <c r="P33" s="1033"/>
      <c r="Q33" s="1033"/>
      <c r="R33" s="1033"/>
      <c r="S33" s="1034"/>
      <c r="T33" s="1029">
        <v>0</v>
      </c>
      <c r="U33" s="1030">
        <v>0</v>
      </c>
      <c r="V33" s="1030">
        <v>-1074</v>
      </c>
      <c r="W33" s="1030">
        <v>0</v>
      </c>
      <c r="X33" s="1030">
        <v>0</v>
      </c>
      <c r="Y33" s="1031">
        <v>-1074</v>
      </c>
      <c r="Z33" s="1032"/>
      <c r="AA33" s="1033"/>
      <c r="AB33" s="1033"/>
      <c r="AC33" s="1033"/>
      <c r="AD33" s="1033"/>
      <c r="AE33" s="1034"/>
      <c r="AF33" s="1029">
        <v>282331.37</v>
      </c>
      <c r="AG33" s="1030">
        <v>0</v>
      </c>
      <c r="AH33" s="1030">
        <v>0</v>
      </c>
      <c r="AI33" s="1030">
        <v>0</v>
      </c>
      <c r="AJ33" s="1030">
        <v>0</v>
      </c>
      <c r="AK33" s="1031">
        <v>282331.37</v>
      </c>
      <c r="AL33" s="1029">
        <v>3841950.6322499993</v>
      </c>
      <c r="AM33" s="1030">
        <v>0</v>
      </c>
      <c r="AN33" s="1030">
        <v>3044417.4377499996</v>
      </c>
      <c r="AO33" s="1031">
        <v>6886368.0699999994</v>
      </c>
    </row>
    <row r="34" spans="1:41">
      <c r="A34" s="1021" t="s">
        <v>77</v>
      </c>
      <c r="B34" s="1022" t="s">
        <v>78</v>
      </c>
      <c r="C34" s="1023">
        <f t="shared" si="1"/>
        <v>221186.33267499995</v>
      </c>
      <c r="D34" s="1024">
        <f t="shared" si="2"/>
        <v>145503.50732499996</v>
      </c>
      <c r="E34" s="1024">
        <f t="shared" si="3"/>
        <v>4</v>
      </c>
      <c r="F34" s="1024">
        <f t="shared" si="4"/>
        <v>0</v>
      </c>
      <c r="G34" s="1025">
        <f t="shared" si="4"/>
        <v>4</v>
      </c>
      <c r="H34" s="1029">
        <v>-125.35</v>
      </c>
      <c r="I34" s="1030">
        <v>0</v>
      </c>
      <c r="J34" s="1030">
        <v>-120.44</v>
      </c>
      <c r="K34" s="1030">
        <v>0</v>
      </c>
      <c r="L34" s="1030">
        <v>4</v>
      </c>
      <c r="M34" s="1031">
        <v>-241.79</v>
      </c>
      <c r="N34" s="1032"/>
      <c r="O34" s="1033"/>
      <c r="P34" s="1033"/>
      <c r="Q34" s="1033"/>
      <c r="R34" s="1033"/>
      <c r="S34" s="1034"/>
      <c r="T34" s="1032"/>
      <c r="U34" s="1033"/>
      <c r="V34" s="1033"/>
      <c r="W34" s="1033"/>
      <c r="X34" s="1033"/>
      <c r="Y34" s="1034"/>
      <c r="Z34" s="1032"/>
      <c r="AA34" s="1033"/>
      <c r="AB34" s="1033"/>
      <c r="AC34" s="1033"/>
      <c r="AD34" s="1033"/>
      <c r="AE34" s="1034"/>
      <c r="AF34" s="1029">
        <v>20171.59</v>
      </c>
      <c r="AG34" s="1030">
        <v>0</v>
      </c>
      <c r="AH34" s="1030">
        <v>0</v>
      </c>
      <c r="AI34" s="1030">
        <v>0</v>
      </c>
      <c r="AJ34" s="1030">
        <v>0</v>
      </c>
      <c r="AK34" s="1031">
        <v>20171.59</v>
      </c>
      <c r="AL34" s="1029">
        <v>201140.09267499996</v>
      </c>
      <c r="AM34" s="1030">
        <v>0</v>
      </c>
      <c r="AN34" s="1030">
        <v>145623.94732499996</v>
      </c>
      <c r="AO34" s="1031">
        <v>346764.03999999992</v>
      </c>
    </row>
    <row r="35" spans="1:41">
      <c r="A35" s="1021" t="s">
        <v>79</v>
      </c>
      <c r="B35" s="1022" t="s">
        <v>80</v>
      </c>
      <c r="C35" s="1023">
        <f t="shared" si="1"/>
        <v>112443.33389999997</v>
      </c>
      <c r="D35" s="1024">
        <f t="shared" si="2"/>
        <v>89072.466099999991</v>
      </c>
      <c r="E35" s="1024">
        <f t="shared" si="3"/>
        <v>0</v>
      </c>
      <c r="F35" s="1024">
        <f t="shared" si="4"/>
        <v>0</v>
      </c>
      <c r="G35" s="1025">
        <f t="shared" si="4"/>
        <v>0</v>
      </c>
      <c r="H35" s="1032"/>
      <c r="I35" s="1033"/>
      <c r="J35" s="1033"/>
      <c r="K35" s="1033"/>
      <c r="L35" s="1033"/>
      <c r="M35" s="1034"/>
      <c r="N35" s="1032"/>
      <c r="O35" s="1033"/>
      <c r="P35" s="1033"/>
      <c r="Q35" s="1033"/>
      <c r="R35" s="1033"/>
      <c r="S35" s="1034"/>
      <c r="T35" s="1029">
        <v>0</v>
      </c>
      <c r="U35" s="1030">
        <v>0</v>
      </c>
      <c r="V35" s="1030">
        <v>-60</v>
      </c>
      <c r="W35" s="1030">
        <v>0</v>
      </c>
      <c r="X35" s="1030">
        <v>0</v>
      </c>
      <c r="Y35" s="1031">
        <v>-60</v>
      </c>
      <c r="Z35" s="1032"/>
      <c r="AA35" s="1033"/>
      <c r="AB35" s="1033"/>
      <c r="AC35" s="1033"/>
      <c r="AD35" s="1033"/>
      <c r="AE35" s="1034"/>
      <c r="AF35" s="1032"/>
      <c r="AG35" s="1033"/>
      <c r="AH35" s="1033"/>
      <c r="AI35" s="1033"/>
      <c r="AJ35" s="1033"/>
      <c r="AK35" s="1034"/>
      <c r="AL35" s="1029">
        <v>112443.33389999997</v>
      </c>
      <c r="AM35" s="1030">
        <v>0</v>
      </c>
      <c r="AN35" s="1030">
        <v>89132.466099999991</v>
      </c>
      <c r="AO35" s="1031">
        <v>201575.79999999996</v>
      </c>
    </row>
    <row r="36" spans="1:41">
      <c r="A36" s="1021" t="s">
        <v>81</v>
      </c>
      <c r="B36" s="1022" t="s">
        <v>82</v>
      </c>
      <c r="C36" s="1023">
        <f t="shared" si="1"/>
        <v>85349.198149999997</v>
      </c>
      <c r="D36" s="1024">
        <f t="shared" si="2"/>
        <v>55860.981849999996</v>
      </c>
      <c r="E36" s="1024">
        <f t="shared" si="3"/>
        <v>0</v>
      </c>
      <c r="F36" s="1024">
        <f t="shared" si="4"/>
        <v>0</v>
      </c>
      <c r="G36" s="1025">
        <f t="shared" si="4"/>
        <v>0</v>
      </c>
      <c r="H36" s="1029">
        <v>-232.56</v>
      </c>
      <c r="I36" s="1030">
        <v>0</v>
      </c>
      <c r="J36" s="1030">
        <v>-223.44</v>
      </c>
      <c r="K36" s="1030">
        <v>0</v>
      </c>
      <c r="L36" s="1030">
        <v>0</v>
      </c>
      <c r="M36" s="1031">
        <v>-456</v>
      </c>
      <c r="N36" s="1032"/>
      <c r="O36" s="1033"/>
      <c r="P36" s="1033"/>
      <c r="Q36" s="1033"/>
      <c r="R36" s="1033"/>
      <c r="S36" s="1034"/>
      <c r="T36" s="1032"/>
      <c r="U36" s="1033"/>
      <c r="V36" s="1033"/>
      <c r="W36" s="1033"/>
      <c r="X36" s="1033"/>
      <c r="Y36" s="1034"/>
      <c r="Z36" s="1032"/>
      <c r="AA36" s="1033"/>
      <c r="AB36" s="1033"/>
      <c r="AC36" s="1033"/>
      <c r="AD36" s="1033"/>
      <c r="AE36" s="1034"/>
      <c r="AF36" s="1032"/>
      <c r="AG36" s="1033"/>
      <c r="AH36" s="1033"/>
      <c r="AI36" s="1033"/>
      <c r="AJ36" s="1033"/>
      <c r="AK36" s="1034"/>
      <c r="AL36" s="1029">
        <v>85581.758149999994</v>
      </c>
      <c r="AM36" s="1030">
        <v>0</v>
      </c>
      <c r="AN36" s="1030">
        <v>56084.421849999999</v>
      </c>
      <c r="AO36" s="1031">
        <v>141666.18</v>
      </c>
    </row>
    <row r="37" spans="1:41">
      <c r="A37" s="1021" t="s">
        <v>85</v>
      </c>
      <c r="B37" s="1022" t="s">
        <v>387</v>
      </c>
      <c r="C37" s="1023">
        <f t="shared" si="1"/>
        <v>485196.003325</v>
      </c>
      <c r="D37" s="1024">
        <f t="shared" si="2"/>
        <v>402883.32667499996</v>
      </c>
      <c r="E37" s="1024">
        <f t="shared" si="3"/>
        <v>0</v>
      </c>
      <c r="F37" s="1024">
        <f t="shared" si="4"/>
        <v>0</v>
      </c>
      <c r="G37" s="1025">
        <f t="shared" si="4"/>
        <v>0</v>
      </c>
      <c r="H37" s="1029">
        <v>-15.3</v>
      </c>
      <c r="I37" s="1030">
        <v>0</v>
      </c>
      <c r="J37" s="1030">
        <v>-14.7</v>
      </c>
      <c r="K37" s="1030">
        <v>0</v>
      </c>
      <c r="L37" s="1030">
        <v>0</v>
      </c>
      <c r="M37" s="1031">
        <v>-30</v>
      </c>
      <c r="N37" s="1032"/>
      <c r="O37" s="1033"/>
      <c r="P37" s="1033"/>
      <c r="Q37" s="1033"/>
      <c r="R37" s="1033"/>
      <c r="S37" s="1034"/>
      <c r="T37" s="1032"/>
      <c r="U37" s="1033"/>
      <c r="V37" s="1033"/>
      <c r="W37" s="1033"/>
      <c r="X37" s="1033"/>
      <c r="Y37" s="1034"/>
      <c r="Z37" s="1032"/>
      <c r="AA37" s="1033"/>
      <c r="AB37" s="1033"/>
      <c r="AC37" s="1033"/>
      <c r="AD37" s="1033"/>
      <c r="AE37" s="1034"/>
      <c r="AF37" s="1032"/>
      <c r="AG37" s="1033"/>
      <c r="AH37" s="1033"/>
      <c r="AI37" s="1033"/>
      <c r="AJ37" s="1033"/>
      <c r="AK37" s="1034"/>
      <c r="AL37" s="1029">
        <v>485211.30332499999</v>
      </c>
      <c r="AM37" s="1030">
        <v>0</v>
      </c>
      <c r="AN37" s="1030">
        <v>402898.02667499997</v>
      </c>
      <c r="AO37" s="1031">
        <v>888109.33000000007</v>
      </c>
    </row>
    <row r="38" spans="1:41">
      <c r="A38" s="1021" t="s">
        <v>87</v>
      </c>
      <c r="B38" s="1022" t="s">
        <v>88</v>
      </c>
      <c r="C38" s="1023">
        <f t="shared" si="1"/>
        <v>447108.06067499996</v>
      </c>
      <c r="D38" s="1024">
        <f t="shared" si="2"/>
        <v>285433.19932499999</v>
      </c>
      <c r="E38" s="1024">
        <f t="shared" si="3"/>
        <v>0</v>
      </c>
      <c r="F38" s="1024">
        <f t="shared" si="4"/>
        <v>0</v>
      </c>
      <c r="G38" s="1025">
        <f t="shared" si="4"/>
        <v>0</v>
      </c>
      <c r="H38" s="1029">
        <v>-146.88</v>
      </c>
      <c r="I38" s="1030">
        <v>0</v>
      </c>
      <c r="J38" s="1030">
        <v>-141.12</v>
      </c>
      <c r="K38" s="1030">
        <v>0</v>
      </c>
      <c r="L38" s="1030">
        <v>0</v>
      </c>
      <c r="M38" s="1031">
        <v>-288</v>
      </c>
      <c r="N38" s="1032"/>
      <c r="O38" s="1033"/>
      <c r="P38" s="1033"/>
      <c r="Q38" s="1033"/>
      <c r="R38" s="1033"/>
      <c r="S38" s="1034"/>
      <c r="T38" s="1032"/>
      <c r="U38" s="1033"/>
      <c r="V38" s="1033"/>
      <c r="W38" s="1033"/>
      <c r="X38" s="1033"/>
      <c r="Y38" s="1034"/>
      <c r="Z38" s="1032"/>
      <c r="AA38" s="1033"/>
      <c r="AB38" s="1033"/>
      <c r="AC38" s="1033"/>
      <c r="AD38" s="1033"/>
      <c r="AE38" s="1034"/>
      <c r="AF38" s="1029">
        <v>112319.62</v>
      </c>
      <c r="AG38" s="1030">
        <v>0</v>
      </c>
      <c r="AH38" s="1030">
        <v>0</v>
      </c>
      <c r="AI38" s="1030">
        <v>0</v>
      </c>
      <c r="AJ38" s="1030">
        <v>0</v>
      </c>
      <c r="AK38" s="1031">
        <v>112319.62</v>
      </c>
      <c r="AL38" s="1029">
        <v>334935.32067499997</v>
      </c>
      <c r="AM38" s="1030">
        <v>0</v>
      </c>
      <c r="AN38" s="1030">
        <v>285574.31932499999</v>
      </c>
      <c r="AO38" s="1031">
        <v>620509.64</v>
      </c>
    </row>
    <row r="39" spans="1:41">
      <c r="A39" s="1021" t="s">
        <v>93</v>
      </c>
      <c r="B39" s="1022" t="s">
        <v>94</v>
      </c>
      <c r="C39" s="1023">
        <f t="shared" si="1"/>
        <v>102271.56747499996</v>
      </c>
      <c r="D39" s="1024">
        <f t="shared" si="2"/>
        <v>68458.502524999989</v>
      </c>
      <c r="E39" s="1024">
        <f t="shared" si="3"/>
        <v>0</v>
      </c>
      <c r="F39" s="1024">
        <f t="shared" si="4"/>
        <v>0</v>
      </c>
      <c r="G39" s="1025">
        <f t="shared" si="4"/>
        <v>0</v>
      </c>
      <c r="H39" s="1029">
        <v>-38.25</v>
      </c>
      <c r="I39" s="1030">
        <v>0</v>
      </c>
      <c r="J39" s="1030">
        <v>-36.75</v>
      </c>
      <c r="K39" s="1030">
        <v>0</v>
      </c>
      <c r="L39" s="1030">
        <v>0</v>
      </c>
      <c r="M39" s="1031">
        <v>-75</v>
      </c>
      <c r="N39" s="1032"/>
      <c r="O39" s="1033"/>
      <c r="P39" s="1033"/>
      <c r="Q39" s="1033"/>
      <c r="R39" s="1033"/>
      <c r="S39" s="1034"/>
      <c r="T39" s="1032"/>
      <c r="U39" s="1033"/>
      <c r="V39" s="1033"/>
      <c r="W39" s="1033"/>
      <c r="X39" s="1033"/>
      <c r="Y39" s="1034"/>
      <c r="Z39" s="1032"/>
      <c r="AA39" s="1033"/>
      <c r="AB39" s="1033"/>
      <c r="AC39" s="1033"/>
      <c r="AD39" s="1033"/>
      <c r="AE39" s="1034"/>
      <c r="AF39" s="1032"/>
      <c r="AG39" s="1033"/>
      <c r="AH39" s="1033"/>
      <c r="AI39" s="1033"/>
      <c r="AJ39" s="1033"/>
      <c r="AK39" s="1034"/>
      <c r="AL39" s="1029">
        <v>102309.81747499996</v>
      </c>
      <c r="AM39" s="1030">
        <v>0</v>
      </c>
      <c r="AN39" s="1030">
        <v>68495.252524999989</v>
      </c>
      <c r="AO39" s="1031">
        <v>170805.06999999995</v>
      </c>
    </row>
    <row r="40" spans="1:41">
      <c r="A40" s="1021" t="s">
        <v>95</v>
      </c>
      <c r="B40" s="1022" t="s">
        <v>96</v>
      </c>
      <c r="C40" s="1023">
        <f t="shared" si="1"/>
        <v>190398.80337499999</v>
      </c>
      <c r="D40" s="1024">
        <f t="shared" si="2"/>
        <v>125607.34662499998</v>
      </c>
      <c r="E40" s="1024">
        <f t="shared" si="3"/>
        <v>0</v>
      </c>
      <c r="F40" s="1024">
        <f t="shared" si="4"/>
        <v>0</v>
      </c>
      <c r="G40" s="1025">
        <f t="shared" si="4"/>
        <v>0</v>
      </c>
      <c r="H40" s="1032"/>
      <c r="I40" s="1033"/>
      <c r="J40" s="1033"/>
      <c r="K40" s="1033"/>
      <c r="L40" s="1033"/>
      <c r="M40" s="1034"/>
      <c r="N40" s="1032"/>
      <c r="O40" s="1033"/>
      <c r="P40" s="1033"/>
      <c r="Q40" s="1033"/>
      <c r="R40" s="1033"/>
      <c r="S40" s="1034"/>
      <c r="T40" s="1032"/>
      <c r="U40" s="1033"/>
      <c r="V40" s="1033"/>
      <c r="W40" s="1033"/>
      <c r="X40" s="1033"/>
      <c r="Y40" s="1034"/>
      <c r="Z40" s="1032"/>
      <c r="AA40" s="1033"/>
      <c r="AB40" s="1033"/>
      <c r="AC40" s="1033"/>
      <c r="AD40" s="1033"/>
      <c r="AE40" s="1034"/>
      <c r="AF40" s="1032"/>
      <c r="AG40" s="1033"/>
      <c r="AH40" s="1033"/>
      <c r="AI40" s="1033"/>
      <c r="AJ40" s="1033"/>
      <c r="AK40" s="1034"/>
      <c r="AL40" s="1029">
        <v>190398.80337499999</v>
      </c>
      <c r="AM40" s="1030">
        <v>0</v>
      </c>
      <c r="AN40" s="1030">
        <v>125607.34662499998</v>
      </c>
      <c r="AO40" s="1031">
        <v>316006.14999999997</v>
      </c>
    </row>
    <row r="41" spans="1:41">
      <c r="A41" s="1021" t="s">
        <v>97</v>
      </c>
      <c r="B41" s="1022" t="s">
        <v>98</v>
      </c>
      <c r="C41" s="1023">
        <f t="shared" si="1"/>
        <v>85563.575399999972</v>
      </c>
      <c r="D41" s="1024">
        <f t="shared" si="2"/>
        <v>72918.304599999989</v>
      </c>
      <c r="E41" s="1024">
        <f t="shared" si="3"/>
        <v>0</v>
      </c>
      <c r="F41" s="1024">
        <f t="shared" si="4"/>
        <v>0</v>
      </c>
      <c r="G41" s="1025">
        <f t="shared" si="4"/>
        <v>0</v>
      </c>
      <c r="H41" s="1032"/>
      <c r="I41" s="1033"/>
      <c r="J41" s="1033"/>
      <c r="K41" s="1033"/>
      <c r="L41" s="1033"/>
      <c r="M41" s="1034"/>
      <c r="N41" s="1032"/>
      <c r="O41" s="1033"/>
      <c r="P41" s="1033"/>
      <c r="Q41" s="1033"/>
      <c r="R41" s="1033"/>
      <c r="S41" s="1034"/>
      <c r="T41" s="1032"/>
      <c r="U41" s="1033"/>
      <c r="V41" s="1033"/>
      <c r="W41" s="1033"/>
      <c r="X41" s="1033"/>
      <c r="Y41" s="1034"/>
      <c r="Z41" s="1032"/>
      <c r="AA41" s="1033"/>
      <c r="AB41" s="1033"/>
      <c r="AC41" s="1033"/>
      <c r="AD41" s="1033"/>
      <c r="AE41" s="1034"/>
      <c r="AF41" s="1032"/>
      <c r="AG41" s="1033"/>
      <c r="AH41" s="1033"/>
      <c r="AI41" s="1033"/>
      <c r="AJ41" s="1033"/>
      <c r="AK41" s="1034"/>
      <c r="AL41" s="1029">
        <v>85563.575399999972</v>
      </c>
      <c r="AM41" s="1030">
        <v>0</v>
      </c>
      <c r="AN41" s="1030">
        <v>72918.304599999989</v>
      </c>
      <c r="AO41" s="1031">
        <v>158481.87999999998</v>
      </c>
    </row>
    <row r="42" spans="1:41">
      <c r="A42" s="1021" t="s">
        <v>99</v>
      </c>
      <c r="B42" s="1022" t="s">
        <v>100</v>
      </c>
      <c r="C42" s="1023">
        <f t="shared" si="1"/>
        <v>90747.837224999981</v>
      </c>
      <c r="D42" s="1024">
        <f t="shared" si="2"/>
        <v>75399.062774999999</v>
      </c>
      <c r="E42" s="1024">
        <f t="shared" si="3"/>
        <v>0</v>
      </c>
      <c r="F42" s="1024">
        <f t="shared" si="4"/>
        <v>0</v>
      </c>
      <c r="G42" s="1025">
        <f t="shared" si="4"/>
        <v>0</v>
      </c>
      <c r="H42" s="1032"/>
      <c r="I42" s="1033"/>
      <c r="J42" s="1033"/>
      <c r="K42" s="1033"/>
      <c r="L42" s="1033"/>
      <c r="M42" s="1034"/>
      <c r="N42" s="1032"/>
      <c r="O42" s="1033"/>
      <c r="P42" s="1033"/>
      <c r="Q42" s="1033"/>
      <c r="R42" s="1033"/>
      <c r="S42" s="1034"/>
      <c r="T42" s="1032"/>
      <c r="U42" s="1033"/>
      <c r="V42" s="1033"/>
      <c r="W42" s="1033"/>
      <c r="X42" s="1033"/>
      <c r="Y42" s="1034"/>
      <c r="Z42" s="1032"/>
      <c r="AA42" s="1033"/>
      <c r="AB42" s="1033"/>
      <c r="AC42" s="1033"/>
      <c r="AD42" s="1033"/>
      <c r="AE42" s="1034"/>
      <c r="AF42" s="1032"/>
      <c r="AG42" s="1033"/>
      <c r="AH42" s="1033"/>
      <c r="AI42" s="1033"/>
      <c r="AJ42" s="1033"/>
      <c r="AK42" s="1034"/>
      <c r="AL42" s="1029">
        <v>90747.837224999981</v>
      </c>
      <c r="AM42" s="1030">
        <v>0</v>
      </c>
      <c r="AN42" s="1030">
        <v>75399.062774999999</v>
      </c>
      <c r="AO42" s="1031">
        <v>166146.9</v>
      </c>
    </row>
    <row r="43" spans="1:41">
      <c r="A43" s="1021" t="s">
        <v>101</v>
      </c>
      <c r="B43" s="1022" t="s">
        <v>102</v>
      </c>
      <c r="C43" s="1023">
        <f t="shared" si="1"/>
        <v>126513.17249999999</v>
      </c>
      <c r="D43" s="1024">
        <f t="shared" si="2"/>
        <v>119659.6675</v>
      </c>
      <c r="E43" s="1024">
        <f t="shared" si="3"/>
        <v>0</v>
      </c>
      <c r="F43" s="1024">
        <f t="shared" si="4"/>
        <v>0</v>
      </c>
      <c r="G43" s="1025">
        <f t="shared" si="4"/>
        <v>0</v>
      </c>
      <c r="H43" s="1032"/>
      <c r="I43" s="1033"/>
      <c r="J43" s="1033"/>
      <c r="K43" s="1033"/>
      <c r="L43" s="1033"/>
      <c r="M43" s="1034"/>
      <c r="N43" s="1029">
        <v>765</v>
      </c>
      <c r="O43" s="1030">
        <v>0</v>
      </c>
      <c r="P43" s="1030">
        <v>735</v>
      </c>
      <c r="Q43" s="1030">
        <v>0</v>
      </c>
      <c r="R43" s="1030">
        <v>0</v>
      </c>
      <c r="S43" s="1031">
        <v>1500</v>
      </c>
      <c r="T43" s="1029">
        <v>0</v>
      </c>
      <c r="U43" s="1030">
        <v>0</v>
      </c>
      <c r="V43" s="1030">
        <v>-811.22</v>
      </c>
      <c r="W43" s="1030">
        <v>0</v>
      </c>
      <c r="X43" s="1030">
        <v>0</v>
      </c>
      <c r="Y43" s="1031">
        <v>-811.22</v>
      </c>
      <c r="Z43" s="1032"/>
      <c r="AA43" s="1033"/>
      <c r="AB43" s="1033"/>
      <c r="AC43" s="1033"/>
      <c r="AD43" s="1033"/>
      <c r="AE43" s="1034"/>
      <c r="AF43" s="1032"/>
      <c r="AG43" s="1033"/>
      <c r="AH43" s="1033"/>
      <c r="AI43" s="1033"/>
      <c r="AJ43" s="1033"/>
      <c r="AK43" s="1034"/>
      <c r="AL43" s="1029">
        <v>125748.17249999999</v>
      </c>
      <c r="AM43" s="1030">
        <v>0</v>
      </c>
      <c r="AN43" s="1030">
        <v>119735.8875</v>
      </c>
      <c r="AO43" s="1031">
        <v>245484.06</v>
      </c>
    </row>
    <row r="44" spans="1:41">
      <c r="A44" s="1021" t="s">
        <v>103</v>
      </c>
      <c r="B44" s="1022" t="s">
        <v>104</v>
      </c>
      <c r="C44" s="1023">
        <f t="shared" si="1"/>
        <v>265806.65755</v>
      </c>
      <c r="D44" s="1024">
        <f t="shared" si="2"/>
        <v>157132.20244999998</v>
      </c>
      <c r="E44" s="1024">
        <f t="shared" si="3"/>
        <v>0</v>
      </c>
      <c r="F44" s="1024">
        <f t="shared" si="4"/>
        <v>0</v>
      </c>
      <c r="G44" s="1025">
        <f t="shared" si="4"/>
        <v>0</v>
      </c>
      <c r="H44" s="1032"/>
      <c r="I44" s="1033"/>
      <c r="J44" s="1033"/>
      <c r="K44" s="1033"/>
      <c r="L44" s="1033"/>
      <c r="M44" s="1034"/>
      <c r="N44" s="1032"/>
      <c r="O44" s="1033"/>
      <c r="P44" s="1033"/>
      <c r="Q44" s="1033"/>
      <c r="R44" s="1033"/>
      <c r="S44" s="1034"/>
      <c r="T44" s="1032"/>
      <c r="U44" s="1033"/>
      <c r="V44" s="1033"/>
      <c r="W44" s="1033"/>
      <c r="X44" s="1033"/>
      <c r="Y44" s="1034"/>
      <c r="Z44" s="1032"/>
      <c r="AA44" s="1033"/>
      <c r="AB44" s="1033"/>
      <c r="AC44" s="1033"/>
      <c r="AD44" s="1033"/>
      <c r="AE44" s="1034"/>
      <c r="AF44" s="1032"/>
      <c r="AG44" s="1033"/>
      <c r="AH44" s="1033"/>
      <c r="AI44" s="1033"/>
      <c r="AJ44" s="1033"/>
      <c r="AK44" s="1034"/>
      <c r="AL44" s="1029">
        <v>265806.65755</v>
      </c>
      <c r="AM44" s="1030">
        <v>0</v>
      </c>
      <c r="AN44" s="1030">
        <v>157132.20244999998</v>
      </c>
      <c r="AO44" s="1031">
        <v>422938.86</v>
      </c>
    </row>
    <row r="45" spans="1:41">
      <c r="A45" s="1021" t="s">
        <v>105</v>
      </c>
      <c r="B45" s="1022" t="s">
        <v>388</v>
      </c>
      <c r="C45" s="1023">
        <f t="shared" si="1"/>
        <v>390005.77782500006</v>
      </c>
      <c r="D45" s="1024">
        <f t="shared" si="2"/>
        <v>270326.69217500003</v>
      </c>
      <c r="E45" s="1024">
        <f t="shared" si="3"/>
        <v>-292</v>
      </c>
      <c r="F45" s="1024">
        <f t="shared" si="4"/>
        <v>0</v>
      </c>
      <c r="G45" s="1025">
        <f t="shared" si="4"/>
        <v>-292</v>
      </c>
      <c r="H45" s="1029">
        <v>-1001.79</v>
      </c>
      <c r="I45" s="1030">
        <v>0</v>
      </c>
      <c r="J45" s="1030">
        <v>-962.5</v>
      </c>
      <c r="K45" s="1030">
        <v>0</v>
      </c>
      <c r="L45" s="1030">
        <v>-292</v>
      </c>
      <c r="M45" s="1031">
        <v>-2256.29</v>
      </c>
      <c r="N45" s="1032"/>
      <c r="O45" s="1033"/>
      <c r="P45" s="1033"/>
      <c r="Q45" s="1033"/>
      <c r="R45" s="1033"/>
      <c r="S45" s="1034"/>
      <c r="T45" s="1032"/>
      <c r="U45" s="1033"/>
      <c r="V45" s="1033"/>
      <c r="W45" s="1033"/>
      <c r="X45" s="1033"/>
      <c r="Y45" s="1034"/>
      <c r="Z45" s="1032"/>
      <c r="AA45" s="1033"/>
      <c r="AB45" s="1033"/>
      <c r="AC45" s="1033"/>
      <c r="AD45" s="1033"/>
      <c r="AE45" s="1034"/>
      <c r="AF45" s="1032"/>
      <c r="AG45" s="1033"/>
      <c r="AH45" s="1033"/>
      <c r="AI45" s="1033"/>
      <c r="AJ45" s="1033"/>
      <c r="AK45" s="1034"/>
      <c r="AL45" s="1029">
        <v>391007.56782500003</v>
      </c>
      <c r="AM45" s="1030">
        <v>0</v>
      </c>
      <c r="AN45" s="1030">
        <v>271289.19217500003</v>
      </c>
      <c r="AO45" s="1031">
        <v>662296.76000000013</v>
      </c>
    </row>
    <row r="46" spans="1:41">
      <c r="A46" s="1021" t="s">
        <v>109</v>
      </c>
      <c r="B46" s="1022" t="s">
        <v>110</v>
      </c>
      <c r="C46" s="1023">
        <f t="shared" si="1"/>
        <v>305322.79574999993</v>
      </c>
      <c r="D46" s="1024">
        <f t="shared" si="2"/>
        <v>235050.67424999998</v>
      </c>
      <c r="E46" s="1024">
        <f t="shared" si="3"/>
        <v>0</v>
      </c>
      <c r="F46" s="1024">
        <f t="shared" si="4"/>
        <v>0</v>
      </c>
      <c r="G46" s="1025">
        <f t="shared" si="4"/>
        <v>0</v>
      </c>
      <c r="H46" s="1029">
        <v>-481.44</v>
      </c>
      <c r="I46" s="1030">
        <v>0</v>
      </c>
      <c r="J46" s="1030">
        <v>-462.56</v>
      </c>
      <c r="K46" s="1030">
        <v>0</v>
      </c>
      <c r="L46" s="1030">
        <v>0</v>
      </c>
      <c r="M46" s="1031">
        <v>-944</v>
      </c>
      <c r="N46" s="1032"/>
      <c r="O46" s="1033"/>
      <c r="P46" s="1033"/>
      <c r="Q46" s="1033"/>
      <c r="R46" s="1033"/>
      <c r="S46" s="1034"/>
      <c r="T46" s="1032"/>
      <c r="U46" s="1033"/>
      <c r="V46" s="1033"/>
      <c r="W46" s="1033"/>
      <c r="X46" s="1033"/>
      <c r="Y46" s="1034"/>
      <c r="Z46" s="1032"/>
      <c r="AA46" s="1033"/>
      <c r="AB46" s="1033"/>
      <c r="AC46" s="1033"/>
      <c r="AD46" s="1033"/>
      <c r="AE46" s="1034"/>
      <c r="AF46" s="1032"/>
      <c r="AG46" s="1033"/>
      <c r="AH46" s="1033"/>
      <c r="AI46" s="1033"/>
      <c r="AJ46" s="1033"/>
      <c r="AK46" s="1034"/>
      <c r="AL46" s="1029">
        <v>305804.23574999993</v>
      </c>
      <c r="AM46" s="1030">
        <v>0</v>
      </c>
      <c r="AN46" s="1030">
        <v>235513.23424999998</v>
      </c>
      <c r="AO46" s="1031">
        <v>541317.47</v>
      </c>
    </row>
    <row r="47" spans="1:41">
      <c r="A47" s="1021" t="s">
        <v>111</v>
      </c>
      <c r="B47" s="1022" t="s">
        <v>112</v>
      </c>
      <c r="C47" s="1023">
        <f t="shared" si="1"/>
        <v>4142638.7146750004</v>
      </c>
      <c r="D47" s="1024">
        <f t="shared" si="2"/>
        <v>2459830.3253250001</v>
      </c>
      <c r="E47" s="1024">
        <f t="shared" si="3"/>
        <v>70.180000000000007</v>
      </c>
      <c r="F47" s="1024">
        <f t="shared" si="4"/>
        <v>0</v>
      </c>
      <c r="G47" s="1025">
        <f t="shared" si="4"/>
        <v>70.180000000000007</v>
      </c>
      <c r="H47" s="1029">
        <v>-5365.12</v>
      </c>
      <c r="I47" s="1030">
        <v>0</v>
      </c>
      <c r="J47" s="1030">
        <v>-5154.72</v>
      </c>
      <c r="K47" s="1030">
        <v>0</v>
      </c>
      <c r="L47" s="1030">
        <v>70.180000000000007</v>
      </c>
      <c r="M47" s="1031">
        <v>-10449.66</v>
      </c>
      <c r="N47" s="1032"/>
      <c r="O47" s="1033"/>
      <c r="P47" s="1033"/>
      <c r="Q47" s="1033"/>
      <c r="R47" s="1033"/>
      <c r="S47" s="1034"/>
      <c r="T47" s="1029">
        <v>0</v>
      </c>
      <c r="U47" s="1030">
        <v>0</v>
      </c>
      <c r="V47" s="1030">
        <v>451</v>
      </c>
      <c r="W47" s="1030">
        <v>0</v>
      </c>
      <c r="X47" s="1030">
        <v>0</v>
      </c>
      <c r="Y47" s="1031">
        <v>451</v>
      </c>
      <c r="Z47" s="1032"/>
      <c r="AA47" s="1033"/>
      <c r="AB47" s="1033"/>
      <c r="AC47" s="1033"/>
      <c r="AD47" s="1033"/>
      <c r="AE47" s="1034"/>
      <c r="AF47" s="1029">
        <v>817136.76</v>
      </c>
      <c r="AG47" s="1030">
        <v>0</v>
      </c>
      <c r="AH47" s="1030">
        <v>0</v>
      </c>
      <c r="AI47" s="1030">
        <v>0</v>
      </c>
      <c r="AJ47" s="1030">
        <v>0</v>
      </c>
      <c r="AK47" s="1031">
        <v>817136.76</v>
      </c>
      <c r="AL47" s="1029">
        <v>3330867.0746750003</v>
      </c>
      <c r="AM47" s="1030">
        <v>0</v>
      </c>
      <c r="AN47" s="1030">
        <v>2464534.0453250003</v>
      </c>
      <c r="AO47" s="1031">
        <v>5795401.120000001</v>
      </c>
    </row>
    <row r="48" spans="1:41">
      <c r="A48" s="1021" t="s">
        <v>113</v>
      </c>
      <c r="B48" s="1022" t="s">
        <v>367</v>
      </c>
      <c r="C48" s="1023">
        <f t="shared" si="1"/>
        <v>1030197.323925</v>
      </c>
      <c r="D48" s="1024">
        <f t="shared" si="2"/>
        <v>728564.15607499995</v>
      </c>
      <c r="E48" s="1024">
        <f t="shared" si="3"/>
        <v>0</v>
      </c>
      <c r="F48" s="1024">
        <f t="shared" si="4"/>
        <v>0</v>
      </c>
      <c r="G48" s="1025">
        <f t="shared" si="4"/>
        <v>0</v>
      </c>
      <c r="H48" s="1029">
        <v>-667.59</v>
      </c>
      <c r="I48" s="1030">
        <v>0</v>
      </c>
      <c r="J48" s="1030">
        <v>-641.41</v>
      </c>
      <c r="K48" s="1030">
        <v>0</v>
      </c>
      <c r="L48" s="1030">
        <v>0</v>
      </c>
      <c r="M48" s="1031">
        <v>-1309</v>
      </c>
      <c r="N48" s="1032"/>
      <c r="O48" s="1033"/>
      <c r="P48" s="1033"/>
      <c r="Q48" s="1033"/>
      <c r="R48" s="1033"/>
      <c r="S48" s="1034"/>
      <c r="T48" s="1032"/>
      <c r="U48" s="1033"/>
      <c r="V48" s="1033"/>
      <c r="W48" s="1033"/>
      <c r="X48" s="1033"/>
      <c r="Y48" s="1034"/>
      <c r="Z48" s="1032"/>
      <c r="AA48" s="1033"/>
      <c r="AB48" s="1033"/>
      <c r="AC48" s="1033"/>
      <c r="AD48" s="1033"/>
      <c r="AE48" s="1034"/>
      <c r="AF48" s="1032"/>
      <c r="AG48" s="1033"/>
      <c r="AH48" s="1033"/>
      <c r="AI48" s="1033"/>
      <c r="AJ48" s="1033"/>
      <c r="AK48" s="1034"/>
      <c r="AL48" s="1029">
        <v>1030864.913925</v>
      </c>
      <c r="AM48" s="1030">
        <v>0</v>
      </c>
      <c r="AN48" s="1030">
        <v>729205.56607499998</v>
      </c>
      <c r="AO48" s="1031">
        <v>1760070.48</v>
      </c>
    </row>
    <row r="49" spans="1:41">
      <c r="A49" s="1021" t="s">
        <v>115</v>
      </c>
      <c r="B49" s="1022" t="s">
        <v>116</v>
      </c>
      <c r="C49" s="1023">
        <f t="shared" si="1"/>
        <v>1760.9832749999998</v>
      </c>
      <c r="D49" s="1024">
        <f t="shared" si="2"/>
        <v>979.84672499999988</v>
      </c>
      <c r="E49" s="1024">
        <f t="shared" si="3"/>
        <v>0</v>
      </c>
      <c r="F49" s="1024">
        <f t="shared" si="4"/>
        <v>0</v>
      </c>
      <c r="G49" s="1025">
        <f t="shared" si="4"/>
        <v>0</v>
      </c>
      <c r="H49" s="1032"/>
      <c r="I49" s="1033"/>
      <c r="J49" s="1033"/>
      <c r="K49" s="1033"/>
      <c r="L49" s="1033"/>
      <c r="M49" s="1034"/>
      <c r="N49" s="1032"/>
      <c r="O49" s="1033"/>
      <c r="P49" s="1033"/>
      <c r="Q49" s="1033"/>
      <c r="R49" s="1033"/>
      <c r="S49" s="1034"/>
      <c r="T49" s="1032"/>
      <c r="U49" s="1033"/>
      <c r="V49" s="1033"/>
      <c r="W49" s="1033"/>
      <c r="X49" s="1033"/>
      <c r="Y49" s="1034"/>
      <c r="Z49" s="1032"/>
      <c r="AA49" s="1033"/>
      <c r="AB49" s="1033"/>
      <c r="AC49" s="1033"/>
      <c r="AD49" s="1033"/>
      <c r="AE49" s="1034"/>
      <c r="AF49" s="1032"/>
      <c r="AG49" s="1033"/>
      <c r="AH49" s="1033"/>
      <c r="AI49" s="1033"/>
      <c r="AJ49" s="1033"/>
      <c r="AK49" s="1034"/>
      <c r="AL49" s="1029">
        <v>1760.9832749999998</v>
      </c>
      <c r="AM49" s="1030">
        <v>0</v>
      </c>
      <c r="AN49" s="1030">
        <v>979.84672499999988</v>
      </c>
      <c r="AO49" s="1031">
        <v>2740.83</v>
      </c>
    </row>
    <row r="50" spans="1:41">
      <c r="A50" s="1021" t="s">
        <v>119</v>
      </c>
      <c r="B50" s="1022" t="s">
        <v>120</v>
      </c>
      <c r="C50" s="1023">
        <f t="shared" si="1"/>
        <v>269382.90302499995</v>
      </c>
      <c r="D50" s="1024">
        <f t="shared" si="2"/>
        <v>181515.25697499997</v>
      </c>
      <c r="E50" s="1024">
        <f t="shared" si="3"/>
        <v>-640.73</v>
      </c>
      <c r="F50" s="1024">
        <f t="shared" si="4"/>
        <v>0</v>
      </c>
      <c r="G50" s="1025">
        <f t="shared" si="4"/>
        <v>-640.73</v>
      </c>
      <c r="H50" s="1029">
        <v>-2048.63</v>
      </c>
      <c r="I50" s="1030">
        <v>0</v>
      </c>
      <c r="J50" s="1030">
        <v>-1968.28</v>
      </c>
      <c r="K50" s="1030">
        <v>0</v>
      </c>
      <c r="L50" s="1030">
        <v>-640.73</v>
      </c>
      <c r="M50" s="1031">
        <v>-4657.6400000000003</v>
      </c>
      <c r="N50" s="1032"/>
      <c r="O50" s="1033"/>
      <c r="P50" s="1033"/>
      <c r="Q50" s="1033"/>
      <c r="R50" s="1033"/>
      <c r="S50" s="1034"/>
      <c r="T50" s="1029">
        <v>0</v>
      </c>
      <c r="U50" s="1030">
        <v>0</v>
      </c>
      <c r="V50" s="1030">
        <v>707.58</v>
      </c>
      <c r="W50" s="1030">
        <v>0</v>
      </c>
      <c r="X50" s="1030">
        <v>0</v>
      </c>
      <c r="Y50" s="1031">
        <v>707.58</v>
      </c>
      <c r="Z50" s="1032"/>
      <c r="AA50" s="1033"/>
      <c r="AB50" s="1033"/>
      <c r="AC50" s="1033"/>
      <c r="AD50" s="1033"/>
      <c r="AE50" s="1034"/>
      <c r="AF50" s="1032"/>
      <c r="AG50" s="1033"/>
      <c r="AH50" s="1033"/>
      <c r="AI50" s="1033"/>
      <c r="AJ50" s="1033"/>
      <c r="AK50" s="1034"/>
      <c r="AL50" s="1029">
        <v>271431.53302499995</v>
      </c>
      <c r="AM50" s="1030">
        <v>0</v>
      </c>
      <c r="AN50" s="1030">
        <v>182775.95697499998</v>
      </c>
      <c r="AO50" s="1031">
        <v>454207.49</v>
      </c>
    </row>
    <row r="51" spans="1:41">
      <c r="A51" s="1021" t="s">
        <v>121</v>
      </c>
      <c r="B51" s="1022" t="s">
        <v>122</v>
      </c>
      <c r="C51" s="1023">
        <f t="shared" si="1"/>
        <v>256621.17282499996</v>
      </c>
      <c r="D51" s="1024">
        <f t="shared" si="2"/>
        <v>163648.16717499995</v>
      </c>
      <c r="E51" s="1024">
        <f t="shared" si="3"/>
        <v>0</v>
      </c>
      <c r="F51" s="1024">
        <f t="shared" si="4"/>
        <v>0</v>
      </c>
      <c r="G51" s="1025">
        <f t="shared" si="4"/>
        <v>0</v>
      </c>
      <c r="H51" s="1029">
        <v>-698.85</v>
      </c>
      <c r="I51" s="1030">
        <v>0</v>
      </c>
      <c r="J51" s="1030">
        <v>-671.45</v>
      </c>
      <c r="K51" s="1030">
        <v>0</v>
      </c>
      <c r="L51" s="1030">
        <v>0</v>
      </c>
      <c r="M51" s="1031">
        <v>-1370.3</v>
      </c>
      <c r="N51" s="1032"/>
      <c r="O51" s="1033"/>
      <c r="P51" s="1033"/>
      <c r="Q51" s="1033"/>
      <c r="R51" s="1033"/>
      <c r="S51" s="1034"/>
      <c r="T51" s="1032"/>
      <c r="U51" s="1033"/>
      <c r="V51" s="1033"/>
      <c r="W51" s="1033"/>
      <c r="X51" s="1033"/>
      <c r="Y51" s="1034"/>
      <c r="Z51" s="1032"/>
      <c r="AA51" s="1033"/>
      <c r="AB51" s="1033"/>
      <c r="AC51" s="1033"/>
      <c r="AD51" s="1033"/>
      <c r="AE51" s="1034"/>
      <c r="AF51" s="1032"/>
      <c r="AG51" s="1033"/>
      <c r="AH51" s="1033"/>
      <c r="AI51" s="1033"/>
      <c r="AJ51" s="1033"/>
      <c r="AK51" s="1034"/>
      <c r="AL51" s="1029">
        <v>257320.02282499996</v>
      </c>
      <c r="AM51" s="1030">
        <v>0</v>
      </c>
      <c r="AN51" s="1030">
        <v>164319.61717499996</v>
      </c>
      <c r="AO51" s="1031">
        <v>421639.63999999996</v>
      </c>
    </row>
    <row r="52" spans="1:41">
      <c r="A52" s="1021" t="s">
        <v>123</v>
      </c>
      <c r="B52" s="1022" t="s">
        <v>284</v>
      </c>
      <c r="C52" s="1023">
        <f t="shared" si="1"/>
        <v>44513.203124999985</v>
      </c>
      <c r="D52" s="1024">
        <f t="shared" si="2"/>
        <v>34993.646874999991</v>
      </c>
      <c r="E52" s="1024">
        <f t="shared" si="3"/>
        <v>0</v>
      </c>
      <c r="F52" s="1024">
        <f t="shared" si="4"/>
        <v>0</v>
      </c>
      <c r="G52" s="1025">
        <f t="shared" si="4"/>
        <v>0</v>
      </c>
      <c r="H52" s="1032"/>
      <c r="I52" s="1033"/>
      <c r="J52" s="1033"/>
      <c r="K52" s="1033"/>
      <c r="L52" s="1033"/>
      <c r="M52" s="1034"/>
      <c r="N52" s="1032"/>
      <c r="O52" s="1033"/>
      <c r="P52" s="1033"/>
      <c r="Q52" s="1033"/>
      <c r="R52" s="1033"/>
      <c r="S52" s="1034"/>
      <c r="T52" s="1032"/>
      <c r="U52" s="1033"/>
      <c r="V52" s="1033"/>
      <c r="W52" s="1033"/>
      <c r="X52" s="1033"/>
      <c r="Y52" s="1034"/>
      <c r="Z52" s="1032"/>
      <c r="AA52" s="1033"/>
      <c r="AB52" s="1033"/>
      <c r="AC52" s="1033"/>
      <c r="AD52" s="1033"/>
      <c r="AE52" s="1034"/>
      <c r="AF52" s="1032"/>
      <c r="AG52" s="1033"/>
      <c r="AH52" s="1033"/>
      <c r="AI52" s="1033"/>
      <c r="AJ52" s="1033"/>
      <c r="AK52" s="1034"/>
      <c r="AL52" s="1029">
        <v>44513.203124999985</v>
      </c>
      <c r="AM52" s="1030">
        <v>0</v>
      </c>
      <c r="AN52" s="1030">
        <v>34993.646874999991</v>
      </c>
      <c r="AO52" s="1031">
        <v>79506.849999999991</v>
      </c>
    </row>
    <row r="53" spans="1:41">
      <c r="A53" s="1021" t="s">
        <v>125</v>
      </c>
      <c r="B53" s="1022" t="s">
        <v>126</v>
      </c>
      <c r="C53" s="1023">
        <f t="shared" si="1"/>
        <v>96344.137200000012</v>
      </c>
      <c r="D53" s="1024">
        <f t="shared" si="2"/>
        <v>64784.272800000006</v>
      </c>
      <c r="E53" s="1024">
        <f t="shared" si="3"/>
        <v>0</v>
      </c>
      <c r="F53" s="1024">
        <f t="shared" si="4"/>
        <v>0</v>
      </c>
      <c r="G53" s="1025">
        <f t="shared" si="4"/>
        <v>0</v>
      </c>
      <c r="H53" s="1029">
        <v>-10.199999999999999</v>
      </c>
      <c r="I53" s="1030">
        <v>0</v>
      </c>
      <c r="J53" s="1030">
        <v>-9.8000000000000007</v>
      </c>
      <c r="K53" s="1030">
        <v>0</v>
      </c>
      <c r="L53" s="1030">
        <v>0</v>
      </c>
      <c r="M53" s="1031">
        <v>-20</v>
      </c>
      <c r="N53" s="1032"/>
      <c r="O53" s="1033"/>
      <c r="P53" s="1033"/>
      <c r="Q53" s="1033"/>
      <c r="R53" s="1033"/>
      <c r="S53" s="1034"/>
      <c r="T53" s="1032"/>
      <c r="U53" s="1033"/>
      <c r="V53" s="1033"/>
      <c r="W53" s="1033"/>
      <c r="X53" s="1033"/>
      <c r="Y53" s="1034"/>
      <c r="Z53" s="1032"/>
      <c r="AA53" s="1033"/>
      <c r="AB53" s="1033"/>
      <c r="AC53" s="1033"/>
      <c r="AD53" s="1033"/>
      <c r="AE53" s="1034"/>
      <c r="AF53" s="1032"/>
      <c r="AG53" s="1033"/>
      <c r="AH53" s="1033"/>
      <c r="AI53" s="1033"/>
      <c r="AJ53" s="1033"/>
      <c r="AK53" s="1034"/>
      <c r="AL53" s="1029">
        <v>96354.337200000009</v>
      </c>
      <c r="AM53" s="1030">
        <v>0</v>
      </c>
      <c r="AN53" s="1030">
        <v>64794.072800000009</v>
      </c>
      <c r="AO53" s="1031">
        <v>161148.41000000003</v>
      </c>
    </row>
    <row r="54" spans="1:41">
      <c r="A54" s="1021" t="s">
        <v>127</v>
      </c>
      <c r="B54" s="1022" t="s">
        <v>128</v>
      </c>
      <c r="C54" s="1023">
        <f t="shared" si="1"/>
        <v>100868.651425</v>
      </c>
      <c r="D54" s="1024">
        <f t="shared" si="2"/>
        <v>65874.608574999991</v>
      </c>
      <c r="E54" s="1024">
        <f t="shared" si="3"/>
        <v>0</v>
      </c>
      <c r="F54" s="1024">
        <f t="shared" si="4"/>
        <v>0</v>
      </c>
      <c r="G54" s="1025">
        <f t="shared" si="4"/>
        <v>0</v>
      </c>
      <c r="H54" s="1032"/>
      <c r="I54" s="1033"/>
      <c r="J54" s="1033"/>
      <c r="K54" s="1033"/>
      <c r="L54" s="1033"/>
      <c r="M54" s="1034"/>
      <c r="N54" s="1032"/>
      <c r="O54" s="1033"/>
      <c r="P54" s="1033"/>
      <c r="Q54" s="1033"/>
      <c r="R54" s="1033"/>
      <c r="S54" s="1034"/>
      <c r="T54" s="1032"/>
      <c r="U54" s="1033"/>
      <c r="V54" s="1033"/>
      <c r="W54" s="1033"/>
      <c r="X54" s="1033"/>
      <c r="Y54" s="1034"/>
      <c r="Z54" s="1032"/>
      <c r="AA54" s="1033"/>
      <c r="AB54" s="1033"/>
      <c r="AC54" s="1033"/>
      <c r="AD54" s="1033"/>
      <c r="AE54" s="1034"/>
      <c r="AF54" s="1032"/>
      <c r="AG54" s="1033"/>
      <c r="AH54" s="1033"/>
      <c r="AI54" s="1033"/>
      <c r="AJ54" s="1033"/>
      <c r="AK54" s="1034"/>
      <c r="AL54" s="1029">
        <v>100868.651425</v>
      </c>
      <c r="AM54" s="1030">
        <v>0</v>
      </c>
      <c r="AN54" s="1030">
        <v>65874.608574999991</v>
      </c>
      <c r="AO54" s="1031">
        <v>166743.26</v>
      </c>
    </row>
    <row r="55" spans="1:41">
      <c r="A55" s="1021" t="s">
        <v>129</v>
      </c>
      <c r="B55" s="1022" t="s">
        <v>130</v>
      </c>
      <c r="C55" s="1023">
        <f t="shared" si="1"/>
        <v>74292.495224999991</v>
      </c>
      <c r="D55" s="1024">
        <f t="shared" si="2"/>
        <v>45243.964775</v>
      </c>
      <c r="E55" s="1024">
        <f t="shared" si="3"/>
        <v>0.01</v>
      </c>
      <c r="F55" s="1024">
        <f t="shared" si="4"/>
        <v>0</v>
      </c>
      <c r="G55" s="1025">
        <f t="shared" si="4"/>
        <v>0.01</v>
      </c>
      <c r="H55" s="1029">
        <v>-368.17</v>
      </c>
      <c r="I55" s="1030">
        <v>0</v>
      </c>
      <c r="J55" s="1030">
        <v>-353.74</v>
      </c>
      <c r="K55" s="1030">
        <v>0</v>
      </c>
      <c r="L55" s="1030">
        <v>0.01</v>
      </c>
      <c r="M55" s="1031">
        <v>-721.9</v>
      </c>
      <c r="N55" s="1032"/>
      <c r="O55" s="1033"/>
      <c r="P55" s="1033"/>
      <c r="Q55" s="1033"/>
      <c r="R55" s="1033"/>
      <c r="S55" s="1034"/>
      <c r="T55" s="1032"/>
      <c r="U55" s="1033"/>
      <c r="V55" s="1033"/>
      <c r="W55" s="1033"/>
      <c r="X55" s="1033"/>
      <c r="Y55" s="1034"/>
      <c r="Z55" s="1032"/>
      <c r="AA55" s="1033"/>
      <c r="AB55" s="1033"/>
      <c r="AC55" s="1033"/>
      <c r="AD55" s="1033"/>
      <c r="AE55" s="1034"/>
      <c r="AF55" s="1032"/>
      <c r="AG55" s="1033"/>
      <c r="AH55" s="1033"/>
      <c r="AI55" s="1033"/>
      <c r="AJ55" s="1033"/>
      <c r="AK55" s="1034"/>
      <c r="AL55" s="1029">
        <v>74660.66522499999</v>
      </c>
      <c r="AM55" s="1030">
        <v>0</v>
      </c>
      <c r="AN55" s="1030">
        <v>45597.704774999998</v>
      </c>
      <c r="AO55" s="1031">
        <v>120258.37</v>
      </c>
    </row>
    <row r="56" spans="1:41">
      <c r="A56" s="1021" t="s">
        <v>131</v>
      </c>
      <c r="B56" s="1022" t="s">
        <v>132</v>
      </c>
      <c r="C56" s="1023">
        <f t="shared" si="1"/>
        <v>482867.02300000004</v>
      </c>
      <c r="D56" s="1024">
        <f t="shared" si="2"/>
        <v>380789.78700000001</v>
      </c>
      <c r="E56" s="1024">
        <f t="shared" si="3"/>
        <v>228</v>
      </c>
      <c r="F56" s="1024">
        <f t="shared" si="4"/>
        <v>0</v>
      </c>
      <c r="G56" s="1025">
        <f t="shared" si="4"/>
        <v>228</v>
      </c>
      <c r="H56" s="1029">
        <v>-344.12</v>
      </c>
      <c r="I56" s="1030">
        <v>0</v>
      </c>
      <c r="J56" s="1030">
        <v>-330.63</v>
      </c>
      <c r="K56" s="1030">
        <v>0</v>
      </c>
      <c r="L56" s="1030">
        <v>228</v>
      </c>
      <c r="M56" s="1031">
        <v>-446.75</v>
      </c>
      <c r="N56" s="1032"/>
      <c r="O56" s="1033"/>
      <c r="P56" s="1033"/>
      <c r="Q56" s="1033"/>
      <c r="R56" s="1033"/>
      <c r="S56" s="1034"/>
      <c r="T56" s="1032"/>
      <c r="U56" s="1033"/>
      <c r="V56" s="1033"/>
      <c r="W56" s="1033"/>
      <c r="X56" s="1033"/>
      <c r="Y56" s="1034"/>
      <c r="Z56" s="1032"/>
      <c r="AA56" s="1033"/>
      <c r="AB56" s="1033"/>
      <c r="AC56" s="1033"/>
      <c r="AD56" s="1033"/>
      <c r="AE56" s="1034"/>
      <c r="AF56" s="1032"/>
      <c r="AG56" s="1033"/>
      <c r="AH56" s="1033"/>
      <c r="AI56" s="1033"/>
      <c r="AJ56" s="1033"/>
      <c r="AK56" s="1034"/>
      <c r="AL56" s="1029">
        <v>483211.14300000004</v>
      </c>
      <c r="AM56" s="1030">
        <v>0</v>
      </c>
      <c r="AN56" s="1030">
        <v>381120.41700000002</v>
      </c>
      <c r="AO56" s="1031">
        <v>864331.56</v>
      </c>
    </row>
    <row r="57" spans="1:41">
      <c r="A57" s="1021" t="s">
        <v>133</v>
      </c>
      <c r="B57" s="1022" t="s">
        <v>134</v>
      </c>
      <c r="C57" s="1023">
        <f t="shared" si="1"/>
        <v>576356.27747500001</v>
      </c>
      <c r="D57" s="1024">
        <f t="shared" si="2"/>
        <v>426967.01252500003</v>
      </c>
      <c r="E57" s="1024">
        <f t="shared" si="3"/>
        <v>24066.25</v>
      </c>
      <c r="F57" s="1024">
        <f t="shared" si="4"/>
        <v>0</v>
      </c>
      <c r="G57" s="1025">
        <f t="shared" si="4"/>
        <v>24066.25</v>
      </c>
      <c r="H57" s="1029">
        <v>-5744.13</v>
      </c>
      <c r="I57" s="1030">
        <v>0</v>
      </c>
      <c r="J57" s="1030">
        <v>-5518.87</v>
      </c>
      <c r="K57" s="1030">
        <v>0</v>
      </c>
      <c r="L57" s="1030">
        <v>11103</v>
      </c>
      <c r="M57" s="1031">
        <v>-160</v>
      </c>
      <c r="N57" s="1032"/>
      <c r="O57" s="1033"/>
      <c r="P57" s="1033"/>
      <c r="Q57" s="1033"/>
      <c r="R57" s="1033"/>
      <c r="S57" s="1034"/>
      <c r="T57" s="1029">
        <v>0</v>
      </c>
      <c r="U57" s="1030">
        <v>0</v>
      </c>
      <c r="V57" s="1030">
        <v>-7370.02</v>
      </c>
      <c r="W57" s="1030">
        <v>0</v>
      </c>
      <c r="X57" s="1030">
        <v>3326</v>
      </c>
      <c r="Y57" s="1031">
        <v>-4044.02</v>
      </c>
      <c r="Z57" s="1032"/>
      <c r="AA57" s="1033"/>
      <c r="AB57" s="1033"/>
      <c r="AC57" s="1033"/>
      <c r="AD57" s="1033"/>
      <c r="AE57" s="1034"/>
      <c r="AF57" s="1029">
        <v>49958.09</v>
      </c>
      <c r="AG57" s="1030">
        <v>0</v>
      </c>
      <c r="AH57" s="1030">
        <v>0</v>
      </c>
      <c r="AI57" s="1030">
        <v>0</v>
      </c>
      <c r="AJ57" s="1030">
        <v>9637.25</v>
      </c>
      <c r="AK57" s="1031">
        <v>59595.34</v>
      </c>
      <c r="AL57" s="1029">
        <v>532142.31747500005</v>
      </c>
      <c r="AM57" s="1030">
        <v>0</v>
      </c>
      <c r="AN57" s="1030">
        <v>439855.90252500004</v>
      </c>
      <c r="AO57" s="1031">
        <v>971998.22000000009</v>
      </c>
    </row>
    <row r="58" spans="1:41">
      <c r="A58" s="1021" t="s">
        <v>135</v>
      </c>
      <c r="B58" s="1022" t="s">
        <v>136</v>
      </c>
      <c r="C58" s="1023">
        <f t="shared" si="1"/>
        <v>217769.62887499994</v>
      </c>
      <c r="D58" s="1024">
        <f t="shared" si="2"/>
        <v>142055.50112500001</v>
      </c>
      <c r="E58" s="1024">
        <f t="shared" si="3"/>
        <v>0</v>
      </c>
      <c r="F58" s="1024">
        <f t="shared" si="4"/>
        <v>0</v>
      </c>
      <c r="G58" s="1025">
        <f t="shared" si="4"/>
        <v>0</v>
      </c>
      <c r="H58" s="1029">
        <v>-61.2</v>
      </c>
      <c r="I58" s="1030">
        <v>0</v>
      </c>
      <c r="J58" s="1030">
        <v>-58.8</v>
      </c>
      <c r="K58" s="1030">
        <v>0</v>
      </c>
      <c r="L58" s="1030">
        <v>0</v>
      </c>
      <c r="M58" s="1031">
        <v>-120</v>
      </c>
      <c r="N58" s="1032"/>
      <c r="O58" s="1033"/>
      <c r="P58" s="1033"/>
      <c r="Q58" s="1033"/>
      <c r="R58" s="1033"/>
      <c r="S58" s="1034"/>
      <c r="T58" s="1032"/>
      <c r="U58" s="1033"/>
      <c r="V58" s="1033"/>
      <c r="W58" s="1033"/>
      <c r="X58" s="1033"/>
      <c r="Y58" s="1034"/>
      <c r="Z58" s="1032"/>
      <c r="AA58" s="1033"/>
      <c r="AB58" s="1033"/>
      <c r="AC58" s="1033"/>
      <c r="AD58" s="1033"/>
      <c r="AE58" s="1034"/>
      <c r="AF58" s="1029">
        <v>26182.62</v>
      </c>
      <c r="AG58" s="1030">
        <v>0</v>
      </c>
      <c r="AH58" s="1030">
        <v>0</v>
      </c>
      <c r="AI58" s="1030">
        <v>0</v>
      </c>
      <c r="AJ58" s="1030">
        <v>0</v>
      </c>
      <c r="AK58" s="1031">
        <v>26182.62</v>
      </c>
      <c r="AL58" s="1029">
        <v>191648.20887499995</v>
      </c>
      <c r="AM58" s="1030">
        <v>0</v>
      </c>
      <c r="AN58" s="1030">
        <v>142114.301125</v>
      </c>
      <c r="AO58" s="1031">
        <v>333762.50999999995</v>
      </c>
    </row>
    <row r="59" spans="1:41">
      <c r="A59" s="1021" t="s">
        <v>137</v>
      </c>
      <c r="B59" s="1022" t="s">
        <v>138</v>
      </c>
      <c r="C59" s="1023">
        <f t="shared" si="1"/>
        <v>129783.70857499998</v>
      </c>
      <c r="D59" s="1024">
        <f t="shared" si="2"/>
        <v>94843.281424999994</v>
      </c>
      <c r="E59" s="1024">
        <f t="shared" si="3"/>
        <v>0</v>
      </c>
      <c r="F59" s="1024">
        <f t="shared" si="4"/>
        <v>0</v>
      </c>
      <c r="G59" s="1025">
        <f t="shared" si="4"/>
        <v>0</v>
      </c>
      <c r="H59" s="1032"/>
      <c r="I59" s="1033"/>
      <c r="J59" s="1033"/>
      <c r="K59" s="1033"/>
      <c r="L59" s="1033"/>
      <c r="M59" s="1034"/>
      <c r="N59" s="1032"/>
      <c r="O59" s="1033"/>
      <c r="P59" s="1033"/>
      <c r="Q59" s="1033"/>
      <c r="R59" s="1033"/>
      <c r="S59" s="1034"/>
      <c r="T59" s="1029">
        <v>0</v>
      </c>
      <c r="U59" s="1030">
        <v>0</v>
      </c>
      <c r="V59" s="1030">
        <v>-166</v>
      </c>
      <c r="W59" s="1030">
        <v>0</v>
      </c>
      <c r="X59" s="1030">
        <v>0</v>
      </c>
      <c r="Y59" s="1031">
        <v>-166</v>
      </c>
      <c r="Z59" s="1032"/>
      <c r="AA59" s="1033"/>
      <c r="AB59" s="1033"/>
      <c r="AC59" s="1033"/>
      <c r="AD59" s="1033"/>
      <c r="AE59" s="1034"/>
      <c r="AF59" s="1032"/>
      <c r="AG59" s="1033"/>
      <c r="AH59" s="1033"/>
      <c r="AI59" s="1033"/>
      <c r="AJ59" s="1033"/>
      <c r="AK59" s="1034"/>
      <c r="AL59" s="1029">
        <v>129783.70857499998</v>
      </c>
      <c r="AM59" s="1030">
        <v>0</v>
      </c>
      <c r="AN59" s="1030">
        <v>95009.281424999994</v>
      </c>
      <c r="AO59" s="1031">
        <v>224792.99</v>
      </c>
    </row>
    <row r="60" spans="1:41">
      <c r="A60" s="1021" t="s">
        <v>141</v>
      </c>
      <c r="B60" s="1022" t="s">
        <v>142</v>
      </c>
      <c r="C60" s="1023">
        <f t="shared" si="1"/>
        <v>52613.867299999984</v>
      </c>
      <c r="D60" s="1024">
        <f t="shared" si="2"/>
        <v>34666.412699999993</v>
      </c>
      <c r="E60" s="1024">
        <f t="shared" si="3"/>
        <v>0</v>
      </c>
      <c r="F60" s="1024">
        <f t="shared" si="4"/>
        <v>0</v>
      </c>
      <c r="G60" s="1025">
        <f t="shared" si="4"/>
        <v>0</v>
      </c>
      <c r="H60" s="1029">
        <v>-132.53</v>
      </c>
      <c r="I60" s="1030">
        <v>0</v>
      </c>
      <c r="J60" s="1030">
        <v>-127.33</v>
      </c>
      <c r="K60" s="1030">
        <v>0</v>
      </c>
      <c r="L60" s="1030">
        <v>0</v>
      </c>
      <c r="M60" s="1031">
        <v>-259.86</v>
      </c>
      <c r="N60" s="1032"/>
      <c r="O60" s="1033"/>
      <c r="P60" s="1033"/>
      <c r="Q60" s="1033"/>
      <c r="R60" s="1033"/>
      <c r="S60" s="1034"/>
      <c r="T60" s="1032"/>
      <c r="U60" s="1033"/>
      <c r="V60" s="1033"/>
      <c r="W60" s="1033"/>
      <c r="X60" s="1033"/>
      <c r="Y60" s="1034"/>
      <c r="Z60" s="1032"/>
      <c r="AA60" s="1033"/>
      <c r="AB60" s="1033"/>
      <c r="AC60" s="1033"/>
      <c r="AD60" s="1033"/>
      <c r="AE60" s="1034"/>
      <c r="AF60" s="1032"/>
      <c r="AG60" s="1033"/>
      <c r="AH60" s="1033"/>
      <c r="AI60" s="1033"/>
      <c r="AJ60" s="1033"/>
      <c r="AK60" s="1034"/>
      <c r="AL60" s="1029">
        <v>52746.397299999982</v>
      </c>
      <c r="AM60" s="1030">
        <v>0</v>
      </c>
      <c r="AN60" s="1030">
        <v>34793.742699999995</v>
      </c>
      <c r="AO60" s="1031">
        <v>87540.139999999985</v>
      </c>
    </row>
    <row r="61" spans="1:41">
      <c r="A61" s="1021" t="s">
        <v>147</v>
      </c>
      <c r="B61" s="1022" t="s">
        <v>148</v>
      </c>
      <c r="C61" s="1023">
        <f t="shared" si="1"/>
        <v>42296.781899999994</v>
      </c>
      <c r="D61" s="1024">
        <f t="shared" si="2"/>
        <v>34792.898099999999</v>
      </c>
      <c r="E61" s="1024">
        <f t="shared" si="3"/>
        <v>0</v>
      </c>
      <c r="F61" s="1024">
        <f t="shared" si="4"/>
        <v>0</v>
      </c>
      <c r="G61" s="1025">
        <f t="shared" si="4"/>
        <v>0</v>
      </c>
      <c r="H61" s="1032"/>
      <c r="I61" s="1033"/>
      <c r="J61" s="1033"/>
      <c r="K61" s="1033"/>
      <c r="L61" s="1033"/>
      <c r="M61" s="1034"/>
      <c r="N61" s="1029">
        <v>255</v>
      </c>
      <c r="O61" s="1030">
        <v>0</v>
      </c>
      <c r="P61" s="1030">
        <v>245</v>
      </c>
      <c r="Q61" s="1030">
        <v>0</v>
      </c>
      <c r="R61" s="1030">
        <v>0</v>
      </c>
      <c r="S61" s="1031">
        <v>500</v>
      </c>
      <c r="T61" s="1032"/>
      <c r="U61" s="1033"/>
      <c r="V61" s="1033"/>
      <c r="W61" s="1033"/>
      <c r="X61" s="1033"/>
      <c r="Y61" s="1034"/>
      <c r="Z61" s="1032"/>
      <c r="AA61" s="1033"/>
      <c r="AB61" s="1033"/>
      <c r="AC61" s="1033"/>
      <c r="AD61" s="1033"/>
      <c r="AE61" s="1034"/>
      <c r="AF61" s="1032"/>
      <c r="AG61" s="1033"/>
      <c r="AH61" s="1033"/>
      <c r="AI61" s="1033"/>
      <c r="AJ61" s="1033"/>
      <c r="AK61" s="1034"/>
      <c r="AL61" s="1029">
        <v>42041.781899999994</v>
      </c>
      <c r="AM61" s="1030">
        <v>0</v>
      </c>
      <c r="AN61" s="1030">
        <v>34547.898099999999</v>
      </c>
      <c r="AO61" s="1031">
        <v>76589.679999999993</v>
      </c>
    </row>
    <row r="62" spans="1:41">
      <c r="A62" s="1021" t="s">
        <v>149</v>
      </c>
      <c r="B62" s="1022" t="s">
        <v>150</v>
      </c>
      <c r="C62" s="1023">
        <f t="shared" si="1"/>
        <v>319896.54645000002</v>
      </c>
      <c r="D62" s="1024">
        <f t="shared" si="2"/>
        <v>203191.57355000003</v>
      </c>
      <c r="E62" s="1024">
        <f t="shared" si="3"/>
        <v>0</v>
      </c>
      <c r="F62" s="1024">
        <f t="shared" si="4"/>
        <v>0</v>
      </c>
      <c r="G62" s="1025">
        <f t="shared" si="4"/>
        <v>0</v>
      </c>
      <c r="H62" s="1029">
        <v>-984.54</v>
      </c>
      <c r="I62" s="1030">
        <v>0</v>
      </c>
      <c r="J62" s="1030">
        <v>-945.91</v>
      </c>
      <c r="K62" s="1030">
        <v>0</v>
      </c>
      <c r="L62" s="1030">
        <v>0</v>
      </c>
      <c r="M62" s="1031">
        <v>-1930.45</v>
      </c>
      <c r="N62" s="1032"/>
      <c r="O62" s="1033"/>
      <c r="P62" s="1033"/>
      <c r="Q62" s="1033"/>
      <c r="R62" s="1033"/>
      <c r="S62" s="1034"/>
      <c r="T62" s="1032"/>
      <c r="U62" s="1033"/>
      <c r="V62" s="1033"/>
      <c r="W62" s="1033"/>
      <c r="X62" s="1033"/>
      <c r="Y62" s="1034"/>
      <c r="Z62" s="1032"/>
      <c r="AA62" s="1033"/>
      <c r="AB62" s="1033"/>
      <c r="AC62" s="1033"/>
      <c r="AD62" s="1033"/>
      <c r="AE62" s="1034"/>
      <c r="AF62" s="1029">
        <v>23500</v>
      </c>
      <c r="AG62" s="1030">
        <v>0</v>
      </c>
      <c r="AH62" s="1030">
        <v>0</v>
      </c>
      <c r="AI62" s="1030">
        <v>0</v>
      </c>
      <c r="AJ62" s="1030">
        <v>0</v>
      </c>
      <c r="AK62" s="1031">
        <v>23500</v>
      </c>
      <c r="AL62" s="1029">
        <v>297381.08645</v>
      </c>
      <c r="AM62" s="1030">
        <v>0</v>
      </c>
      <c r="AN62" s="1030">
        <v>204137.48355000003</v>
      </c>
      <c r="AO62" s="1031">
        <v>501518.57000000007</v>
      </c>
    </row>
    <row r="63" spans="1:41">
      <c r="A63" s="1021" t="s">
        <v>151</v>
      </c>
      <c r="B63" s="1022" t="s">
        <v>152</v>
      </c>
      <c r="C63" s="1023">
        <f t="shared" si="1"/>
        <v>60620.820649999994</v>
      </c>
      <c r="D63" s="1024">
        <f t="shared" si="2"/>
        <v>52900.939349999993</v>
      </c>
      <c r="E63" s="1024">
        <f t="shared" si="3"/>
        <v>0</v>
      </c>
      <c r="F63" s="1024">
        <f t="shared" si="4"/>
        <v>0</v>
      </c>
      <c r="G63" s="1025">
        <f t="shared" si="4"/>
        <v>0</v>
      </c>
      <c r="H63" s="1029">
        <v>-1219.92</v>
      </c>
      <c r="I63" s="1030">
        <v>0</v>
      </c>
      <c r="J63" s="1030">
        <v>-1172.08</v>
      </c>
      <c r="K63" s="1030">
        <v>0</v>
      </c>
      <c r="L63" s="1030">
        <v>0</v>
      </c>
      <c r="M63" s="1031">
        <v>-2392</v>
      </c>
      <c r="N63" s="1032"/>
      <c r="O63" s="1033"/>
      <c r="P63" s="1033"/>
      <c r="Q63" s="1033"/>
      <c r="R63" s="1033"/>
      <c r="S63" s="1034"/>
      <c r="T63" s="1032"/>
      <c r="U63" s="1033"/>
      <c r="V63" s="1033"/>
      <c r="W63" s="1033"/>
      <c r="X63" s="1033"/>
      <c r="Y63" s="1034"/>
      <c r="Z63" s="1032"/>
      <c r="AA63" s="1033"/>
      <c r="AB63" s="1033"/>
      <c r="AC63" s="1033"/>
      <c r="AD63" s="1033"/>
      <c r="AE63" s="1034"/>
      <c r="AF63" s="1032"/>
      <c r="AG63" s="1033"/>
      <c r="AH63" s="1033"/>
      <c r="AI63" s="1033"/>
      <c r="AJ63" s="1033"/>
      <c r="AK63" s="1034"/>
      <c r="AL63" s="1029">
        <v>61840.740649999992</v>
      </c>
      <c r="AM63" s="1030">
        <v>0</v>
      </c>
      <c r="AN63" s="1030">
        <v>54073.019349999995</v>
      </c>
      <c r="AO63" s="1031">
        <v>115913.76</v>
      </c>
    </row>
    <row r="64" spans="1:41">
      <c r="A64" s="1021" t="s">
        <v>153</v>
      </c>
      <c r="B64" s="1022" t="s">
        <v>154</v>
      </c>
      <c r="C64" s="1023">
        <f t="shared" si="1"/>
        <v>925407.39339999994</v>
      </c>
      <c r="D64" s="1024">
        <f t="shared" si="2"/>
        <v>708967.14659999986</v>
      </c>
      <c r="E64" s="1024">
        <f t="shared" si="3"/>
        <v>0</v>
      </c>
      <c r="F64" s="1024">
        <f t="shared" si="4"/>
        <v>0</v>
      </c>
      <c r="G64" s="1025">
        <f t="shared" si="4"/>
        <v>0</v>
      </c>
      <c r="H64" s="1029">
        <v>-2772.83</v>
      </c>
      <c r="I64" s="1030">
        <v>0</v>
      </c>
      <c r="J64" s="1030">
        <v>-2664.1</v>
      </c>
      <c r="K64" s="1030">
        <v>0</v>
      </c>
      <c r="L64" s="1030">
        <v>0</v>
      </c>
      <c r="M64" s="1031">
        <v>-5436.93</v>
      </c>
      <c r="N64" s="1032"/>
      <c r="O64" s="1033"/>
      <c r="P64" s="1033"/>
      <c r="Q64" s="1033"/>
      <c r="R64" s="1033"/>
      <c r="S64" s="1034"/>
      <c r="T64" s="1029">
        <v>0</v>
      </c>
      <c r="U64" s="1030">
        <v>0</v>
      </c>
      <c r="V64" s="1030">
        <v>-64.430000000000007</v>
      </c>
      <c r="W64" s="1030">
        <v>0</v>
      </c>
      <c r="X64" s="1030">
        <v>0</v>
      </c>
      <c r="Y64" s="1031">
        <v>-64.430000000000007</v>
      </c>
      <c r="Z64" s="1032"/>
      <c r="AA64" s="1033"/>
      <c r="AB64" s="1033"/>
      <c r="AC64" s="1033"/>
      <c r="AD64" s="1033"/>
      <c r="AE64" s="1034"/>
      <c r="AF64" s="1032"/>
      <c r="AG64" s="1033"/>
      <c r="AH64" s="1033"/>
      <c r="AI64" s="1033"/>
      <c r="AJ64" s="1033"/>
      <c r="AK64" s="1034"/>
      <c r="AL64" s="1029">
        <v>928180.2233999999</v>
      </c>
      <c r="AM64" s="1030">
        <v>0</v>
      </c>
      <c r="AN64" s="1030">
        <v>711695.67659999989</v>
      </c>
      <c r="AO64" s="1031">
        <v>1639875.9</v>
      </c>
    </row>
    <row r="65" spans="1:41">
      <c r="A65" s="1021" t="s">
        <v>155</v>
      </c>
      <c r="B65" s="1022" t="s">
        <v>156</v>
      </c>
      <c r="C65" s="1023">
        <f t="shared" si="1"/>
        <v>55044.979599999991</v>
      </c>
      <c r="D65" s="1024">
        <f t="shared" si="2"/>
        <v>43738.070399999997</v>
      </c>
      <c r="E65" s="1024">
        <f t="shared" si="3"/>
        <v>0</v>
      </c>
      <c r="F65" s="1024">
        <f t="shared" si="4"/>
        <v>0</v>
      </c>
      <c r="G65" s="1025">
        <f t="shared" si="4"/>
        <v>0</v>
      </c>
      <c r="H65" s="1032"/>
      <c r="I65" s="1033"/>
      <c r="J65" s="1033"/>
      <c r="K65" s="1033"/>
      <c r="L65" s="1033"/>
      <c r="M65" s="1034"/>
      <c r="N65" s="1032"/>
      <c r="O65" s="1033"/>
      <c r="P65" s="1033"/>
      <c r="Q65" s="1033"/>
      <c r="R65" s="1033"/>
      <c r="S65" s="1034"/>
      <c r="T65" s="1032"/>
      <c r="U65" s="1033"/>
      <c r="V65" s="1033"/>
      <c r="W65" s="1033"/>
      <c r="X65" s="1033"/>
      <c r="Y65" s="1034"/>
      <c r="Z65" s="1032"/>
      <c r="AA65" s="1033"/>
      <c r="AB65" s="1033"/>
      <c r="AC65" s="1033"/>
      <c r="AD65" s="1033"/>
      <c r="AE65" s="1034"/>
      <c r="AF65" s="1032"/>
      <c r="AG65" s="1033"/>
      <c r="AH65" s="1033"/>
      <c r="AI65" s="1033"/>
      <c r="AJ65" s="1033"/>
      <c r="AK65" s="1034"/>
      <c r="AL65" s="1029">
        <v>55044.979599999991</v>
      </c>
      <c r="AM65" s="1030">
        <v>0</v>
      </c>
      <c r="AN65" s="1030">
        <v>43738.070399999997</v>
      </c>
      <c r="AO65" s="1031">
        <v>98783.049999999988</v>
      </c>
    </row>
    <row r="66" spans="1:41">
      <c r="A66" s="1021" t="s">
        <v>157</v>
      </c>
      <c r="B66" s="1022" t="s">
        <v>158</v>
      </c>
      <c r="C66" s="1023">
        <f t="shared" si="1"/>
        <v>78288.066824999973</v>
      </c>
      <c r="D66" s="1024">
        <f t="shared" si="2"/>
        <v>57918.053174999986</v>
      </c>
      <c r="E66" s="1024">
        <f t="shared" si="3"/>
        <v>0</v>
      </c>
      <c r="F66" s="1024">
        <f t="shared" si="4"/>
        <v>0</v>
      </c>
      <c r="G66" s="1025">
        <f t="shared" si="4"/>
        <v>0</v>
      </c>
      <c r="H66" s="1029">
        <v>-37.11</v>
      </c>
      <c r="I66" s="1030">
        <v>0</v>
      </c>
      <c r="J66" s="1030">
        <v>-35.659999999999997</v>
      </c>
      <c r="K66" s="1030">
        <v>0</v>
      </c>
      <c r="L66" s="1030">
        <v>0</v>
      </c>
      <c r="M66" s="1031">
        <v>-72.77</v>
      </c>
      <c r="N66" s="1032"/>
      <c r="O66" s="1033"/>
      <c r="P66" s="1033"/>
      <c r="Q66" s="1033"/>
      <c r="R66" s="1033"/>
      <c r="S66" s="1034"/>
      <c r="T66" s="1032"/>
      <c r="U66" s="1033"/>
      <c r="V66" s="1033"/>
      <c r="W66" s="1033"/>
      <c r="X66" s="1033"/>
      <c r="Y66" s="1034"/>
      <c r="Z66" s="1032"/>
      <c r="AA66" s="1033"/>
      <c r="AB66" s="1033"/>
      <c r="AC66" s="1033"/>
      <c r="AD66" s="1033"/>
      <c r="AE66" s="1034"/>
      <c r="AF66" s="1032"/>
      <c r="AG66" s="1033"/>
      <c r="AH66" s="1033"/>
      <c r="AI66" s="1033"/>
      <c r="AJ66" s="1033"/>
      <c r="AK66" s="1034"/>
      <c r="AL66" s="1029">
        <v>78325.176824999973</v>
      </c>
      <c r="AM66" s="1030">
        <v>0</v>
      </c>
      <c r="AN66" s="1030">
        <v>57953.71317499999</v>
      </c>
      <c r="AO66" s="1031">
        <v>136278.88999999996</v>
      </c>
    </row>
    <row r="67" spans="1:41">
      <c r="A67" s="1021" t="s">
        <v>163</v>
      </c>
      <c r="B67" s="1022" t="s">
        <v>164</v>
      </c>
      <c r="C67" s="1023">
        <f t="shared" si="1"/>
        <v>212044.95605000004</v>
      </c>
      <c r="D67" s="1024">
        <f t="shared" si="2"/>
        <v>143265.50395000001</v>
      </c>
      <c r="E67" s="1024">
        <f t="shared" si="3"/>
        <v>0</v>
      </c>
      <c r="F67" s="1024">
        <f t="shared" si="4"/>
        <v>0</v>
      </c>
      <c r="G67" s="1025">
        <f t="shared" si="4"/>
        <v>0</v>
      </c>
      <c r="H67" s="1032"/>
      <c r="I67" s="1033"/>
      <c r="J67" s="1033"/>
      <c r="K67" s="1033"/>
      <c r="L67" s="1033"/>
      <c r="M67" s="1034"/>
      <c r="N67" s="1032"/>
      <c r="O67" s="1033"/>
      <c r="P67" s="1033"/>
      <c r="Q67" s="1033"/>
      <c r="R67" s="1033"/>
      <c r="S67" s="1034"/>
      <c r="T67" s="1032"/>
      <c r="U67" s="1033"/>
      <c r="V67" s="1033"/>
      <c r="W67" s="1033"/>
      <c r="X67" s="1033"/>
      <c r="Y67" s="1034"/>
      <c r="Z67" s="1032"/>
      <c r="AA67" s="1033"/>
      <c r="AB67" s="1033"/>
      <c r="AC67" s="1033"/>
      <c r="AD67" s="1033"/>
      <c r="AE67" s="1034"/>
      <c r="AF67" s="1032"/>
      <c r="AG67" s="1033"/>
      <c r="AH67" s="1033"/>
      <c r="AI67" s="1033"/>
      <c r="AJ67" s="1033"/>
      <c r="AK67" s="1034"/>
      <c r="AL67" s="1029">
        <v>212044.95605000004</v>
      </c>
      <c r="AM67" s="1030">
        <v>0</v>
      </c>
      <c r="AN67" s="1030">
        <v>143265.50395000001</v>
      </c>
      <c r="AO67" s="1031">
        <v>355310.46000000008</v>
      </c>
    </row>
    <row r="68" spans="1:41">
      <c r="A68" s="1021" t="s">
        <v>165</v>
      </c>
      <c r="B68" s="1022" t="s">
        <v>166</v>
      </c>
      <c r="C68" s="1023">
        <f t="shared" si="1"/>
        <v>48467.615949999992</v>
      </c>
      <c r="D68" s="1024">
        <f t="shared" si="2"/>
        <v>29955.424049999998</v>
      </c>
      <c r="E68" s="1024">
        <f t="shared" si="3"/>
        <v>-26.7</v>
      </c>
      <c r="F68" s="1024">
        <f t="shared" si="4"/>
        <v>0</v>
      </c>
      <c r="G68" s="1025">
        <f t="shared" si="4"/>
        <v>-26.7</v>
      </c>
      <c r="H68" s="1029">
        <v>-71.55</v>
      </c>
      <c r="I68" s="1030">
        <v>0</v>
      </c>
      <c r="J68" s="1030">
        <v>-68.75</v>
      </c>
      <c r="K68" s="1030">
        <v>0</v>
      </c>
      <c r="L68" s="1030">
        <v>-26.7</v>
      </c>
      <c r="M68" s="1031">
        <v>-167</v>
      </c>
      <c r="N68" s="1032"/>
      <c r="O68" s="1033"/>
      <c r="P68" s="1033"/>
      <c r="Q68" s="1033"/>
      <c r="R68" s="1033"/>
      <c r="S68" s="1034"/>
      <c r="T68" s="1032"/>
      <c r="U68" s="1033"/>
      <c r="V68" s="1033"/>
      <c r="W68" s="1033"/>
      <c r="X68" s="1033"/>
      <c r="Y68" s="1034"/>
      <c r="Z68" s="1032"/>
      <c r="AA68" s="1033"/>
      <c r="AB68" s="1033"/>
      <c r="AC68" s="1033"/>
      <c r="AD68" s="1033"/>
      <c r="AE68" s="1034"/>
      <c r="AF68" s="1032"/>
      <c r="AG68" s="1033"/>
      <c r="AH68" s="1033"/>
      <c r="AI68" s="1033"/>
      <c r="AJ68" s="1033"/>
      <c r="AK68" s="1034"/>
      <c r="AL68" s="1029">
        <v>48539.165949999995</v>
      </c>
      <c r="AM68" s="1030">
        <v>0</v>
      </c>
      <c r="AN68" s="1030">
        <v>30024.174049999998</v>
      </c>
      <c r="AO68" s="1031">
        <v>78563.34</v>
      </c>
    </row>
    <row r="69" spans="1:41">
      <c r="A69" s="1021" t="s">
        <v>169</v>
      </c>
      <c r="B69" s="1022" t="s">
        <v>170</v>
      </c>
      <c r="C69" s="1023">
        <f t="shared" si="1"/>
        <v>248098.15607499998</v>
      </c>
      <c r="D69" s="1024">
        <f t="shared" si="2"/>
        <v>181385.73392499998</v>
      </c>
      <c r="E69" s="1024">
        <f t="shared" si="3"/>
        <v>0</v>
      </c>
      <c r="F69" s="1024">
        <f t="shared" si="4"/>
        <v>0</v>
      </c>
      <c r="G69" s="1025">
        <f t="shared" si="4"/>
        <v>0</v>
      </c>
      <c r="H69" s="1032"/>
      <c r="I69" s="1033"/>
      <c r="J69" s="1033"/>
      <c r="K69" s="1033"/>
      <c r="L69" s="1033"/>
      <c r="M69" s="1034"/>
      <c r="N69" s="1032"/>
      <c r="O69" s="1033"/>
      <c r="P69" s="1033"/>
      <c r="Q69" s="1033"/>
      <c r="R69" s="1033"/>
      <c r="S69" s="1034"/>
      <c r="T69" s="1032"/>
      <c r="U69" s="1033"/>
      <c r="V69" s="1033"/>
      <c r="W69" s="1033"/>
      <c r="X69" s="1033"/>
      <c r="Y69" s="1034"/>
      <c r="Z69" s="1032"/>
      <c r="AA69" s="1033"/>
      <c r="AB69" s="1033"/>
      <c r="AC69" s="1033"/>
      <c r="AD69" s="1033"/>
      <c r="AE69" s="1034"/>
      <c r="AF69" s="1032"/>
      <c r="AG69" s="1033"/>
      <c r="AH69" s="1033"/>
      <c r="AI69" s="1033"/>
      <c r="AJ69" s="1033"/>
      <c r="AK69" s="1034"/>
      <c r="AL69" s="1029">
        <v>248098.15607499998</v>
      </c>
      <c r="AM69" s="1030">
        <v>0</v>
      </c>
      <c r="AN69" s="1030">
        <v>181385.73392499998</v>
      </c>
      <c r="AO69" s="1031">
        <v>429483.89</v>
      </c>
    </row>
    <row r="70" spans="1:41">
      <c r="A70" s="1021" t="s">
        <v>171</v>
      </c>
      <c r="B70" s="1022" t="s">
        <v>172</v>
      </c>
      <c r="C70" s="1023">
        <f t="shared" ref="C70:C124" si="5">+H70+I70+N70+O70+T70+U70+Z70+AA70+AF70+AG70+AL70+AM70</f>
        <v>178793.44709999996</v>
      </c>
      <c r="D70" s="1024">
        <f t="shared" ref="D70:D124" si="6">+J70+P70+V70+AB70+AH70+AN70</f>
        <v>136732.67290000001</v>
      </c>
      <c r="E70" s="1024">
        <f t="shared" ref="E70:E124" si="7">+F70+G70</f>
        <v>0</v>
      </c>
      <c r="F70" s="1024">
        <f t="shared" ref="F70:G124" si="8">+K70+Q70+W70+AC70+AI70</f>
        <v>0</v>
      </c>
      <c r="G70" s="1025">
        <f t="shared" si="8"/>
        <v>0</v>
      </c>
      <c r="H70" s="1029">
        <v>-3540.42</v>
      </c>
      <c r="I70" s="1030">
        <v>0</v>
      </c>
      <c r="J70" s="1030">
        <v>-3401.58</v>
      </c>
      <c r="K70" s="1030">
        <v>0</v>
      </c>
      <c r="L70" s="1030">
        <v>0</v>
      </c>
      <c r="M70" s="1031">
        <v>-6942</v>
      </c>
      <c r="N70" s="1032"/>
      <c r="O70" s="1033"/>
      <c r="P70" s="1033"/>
      <c r="Q70" s="1033"/>
      <c r="R70" s="1033"/>
      <c r="S70" s="1034"/>
      <c r="T70" s="1029">
        <v>0</v>
      </c>
      <c r="U70" s="1030">
        <v>0</v>
      </c>
      <c r="V70" s="1030">
        <v>-30</v>
      </c>
      <c r="W70" s="1030">
        <v>0</v>
      </c>
      <c r="X70" s="1030">
        <v>0</v>
      </c>
      <c r="Y70" s="1031">
        <v>-30</v>
      </c>
      <c r="Z70" s="1032"/>
      <c r="AA70" s="1033"/>
      <c r="AB70" s="1033"/>
      <c r="AC70" s="1033"/>
      <c r="AD70" s="1033"/>
      <c r="AE70" s="1034"/>
      <c r="AF70" s="1032"/>
      <c r="AG70" s="1033"/>
      <c r="AH70" s="1033"/>
      <c r="AI70" s="1033"/>
      <c r="AJ70" s="1033"/>
      <c r="AK70" s="1034"/>
      <c r="AL70" s="1029">
        <v>182333.86709999997</v>
      </c>
      <c r="AM70" s="1030">
        <v>0</v>
      </c>
      <c r="AN70" s="1030">
        <v>140164.25289999999</v>
      </c>
      <c r="AO70" s="1031">
        <v>322498.12</v>
      </c>
    </row>
    <row r="71" spans="1:41">
      <c r="A71" s="1021" t="s">
        <v>173</v>
      </c>
      <c r="B71" s="1022" t="s">
        <v>174</v>
      </c>
      <c r="C71" s="1023">
        <f t="shared" si="5"/>
        <v>154574.25255</v>
      </c>
      <c r="D71" s="1024">
        <f t="shared" si="6"/>
        <v>112432.00745</v>
      </c>
      <c r="E71" s="1024">
        <f t="shared" si="7"/>
        <v>0</v>
      </c>
      <c r="F71" s="1024">
        <f t="shared" si="8"/>
        <v>0</v>
      </c>
      <c r="G71" s="1025">
        <f t="shared" si="8"/>
        <v>0</v>
      </c>
      <c r="H71" s="1032"/>
      <c r="I71" s="1033"/>
      <c r="J71" s="1033"/>
      <c r="K71" s="1033"/>
      <c r="L71" s="1033"/>
      <c r="M71" s="1034"/>
      <c r="N71" s="1029">
        <v>255</v>
      </c>
      <c r="O71" s="1030">
        <v>0</v>
      </c>
      <c r="P71" s="1030">
        <v>245</v>
      </c>
      <c r="Q71" s="1030">
        <v>0</v>
      </c>
      <c r="R71" s="1030">
        <v>0</v>
      </c>
      <c r="S71" s="1031">
        <v>500</v>
      </c>
      <c r="T71" s="1032"/>
      <c r="U71" s="1033"/>
      <c r="V71" s="1033"/>
      <c r="W71" s="1033"/>
      <c r="X71" s="1033"/>
      <c r="Y71" s="1034"/>
      <c r="Z71" s="1032"/>
      <c r="AA71" s="1033"/>
      <c r="AB71" s="1033"/>
      <c r="AC71" s="1033"/>
      <c r="AD71" s="1033"/>
      <c r="AE71" s="1034"/>
      <c r="AF71" s="1029">
        <v>29905</v>
      </c>
      <c r="AG71" s="1030">
        <v>0</v>
      </c>
      <c r="AH71" s="1030">
        <v>0</v>
      </c>
      <c r="AI71" s="1030">
        <v>0</v>
      </c>
      <c r="AJ71" s="1030">
        <v>0</v>
      </c>
      <c r="AK71" s="1031">
        <v>29905</v>
      </c>
      <c r="AL71" s="1029">
        <v>124414.25255</v>
      </c>
      <c r="AM71" s="1030">
        <v>0</v>
      </c>
      <c r="AN71" s="1030">
        <v>112187.00745</v>
      </c>
      <c r="AO71" s="1031">
        <v>236601.26</v>
      </c>
    </row>
    <row r="72" spans="1:41">
      <c r="A72" s="1021" t="s">
        <v>175</v>
      </c>
      <c r="B72" s="1022" t="s">
        <v>176</v>
      </c>
      <c r="C72" s="1023">
        <f t="shared" si="5"/>
        <v>172708.97562499999</v>
      </c>
      <c r="D72" s="1024">
        <f t="shared" si="6"/>
        <v>215487.46437499998</v>
      </c>
      <c r="E72" s="1024">
        <f t="shared" si="7"/>
        <v>0</v>
      </c>
      <c r="F72" s="1024">
        <f t="shared" si="8"/>
        <v>0</v>
      </c>
      <c r="G72" s="1025">
        <f t="shared" si="8"/>
        <v>0</v>
      </c>
      <c r="H72" s="1029">
        <v>-1957.38</v>
      </c>
      <c r="I72" s="1030">
        <v>0</v>
      </c>
      <c r="J72" s="1030">
        <v>-1880.62</v>
      </c>
      <c r="K72" s="1030">
        <v>0</v>
      </c>
      <c r="L72" s="1030">
        <v>0</v>
      </c>
      <c r="M72" s="1031">
        <v>-3838</v>
      </c>
      <c r="N72" s="1032"/>
      <c r="O72" s="1033"/>
      <c r="P72" s="1033"/>
      <c r="Q72" s="1033"/>
      <c r="R72" s="1033"/>
      <c r="S72" s="1034"/>
      <c r="T72" s="1032"/>
      <c r="U72" s="1033"/>
      <c r="V72" s="1033"/>
      <c r="W72" s="1033"/>
      <c r="X72" s="1033"/>
      <c r="Y72" s="1034"/>
      <c r="Z72" s="1032"/>
      <c r="AA72" s="1033"/>
      <c r="AB72" s="1033"/>
      <c r="AC72" s="1033"/>
      <c r="AD72" s="1033"/>
      <c r="AE72" s="1034"/>
      <c r="AF72" s="1032"/>
      <c r="AG72" s="1033"/>
      <c r="AH72" s="1033"/>
      <c r="AI72" s="1033"/>
      <c r="AJ72" s="1033"/>
      <c r="AK72" s="1034"/>
      <c r="AL72" s="1029">
        <v>174666.355625</v>
      </c>
      <c r="AM72" s="1030">
        <v>0</v>
      </c>
      <c r="AN72" s="1030">
        <v>217368.08437499998</v>
      </c>
      <c r="AO72" s="1031">
        <v>392034.44</v>
      </c>
    </row>
    <row r="73" spans="1:41">
      <c r="A73" s="1021" t="s">
        <v>179</v>
      </c>
      <c r="B73" s="1022" t="s">
        <v>180</v>
      </c>
      <c r="C73" s="1023">
        <f t="shared" si="5"/>
        <v>416256.90362499998</v>
      </c>
      <c r="D73" s="1024">
        <f t="shared" si="6"/>
        <v>281102.25637499994</v>
      </c>
      <c r="E73" s="1024">
        <f t="shared" si="7"/>
        <v>0</v>
      </c>
      <c r="F73" s="1024">
        <f t="shared" si="8"/>
        <v>0</v>
      </c>
      <c r="G73" s="1025">
        <f t="shared" si="8"/>
        <v>0</v>
      </c>
      <c r="H73" s="1029">
        <v>-1489.36</v>
      </c>
      <c r="I73" s="1030">
        <v>0</v>
      </c>
      <c r="J73" s="1030">
        <v>-1430.96</v>
      </c>
      <c r="K73" s="1030">
        <v>0</v>
      </c>
      <c r="L73" s="1030">
        <v>0</v>
      </c>
      <c r="M73" s="1031">
        <v>-2920.32</v>
      </c>
      <c r="N73" s="1029">
        <v>255</v>
      </c>
      <c r="O73" s="1030">
        <v>0</v>
      </c>
      <c r="P73" s="1030">
        <v>245</v>
      </c>
      <c r="Q73" s="1030">
        <v>0</v>
      </c>
      <c r="R73" s="1030">
        <v>0</v>
      </c>
      <c r="S73" s="1031">
        <v>500</v>
      </c>
      <c r="T73" s="1032"/>
      <c r="U73" s="1033"/>
      <c r="V73" s="1033"/>
      <c r="W73" s="1033"/>
      <c r="X73" s="1033"/>
      <c r="Y73" s="1034"/>
      <c r="Z73" s="1032"/>
      <c r="AA73" s="1033"/>
      <c r="AB73" s="1033"/>
      <c r="AC73" s="1033"/>
      <c r="AD73" s="1033"/>
      <c r="AE73" s="1034"/>
      <c r="AF73" s="1032"/>
      <c r="AG73" s="1033"/>
      <c r="AH73" s="1033"/>
      <c r="AI73" s="1033"/>
      <c r="AJ73" s="1033"/>
      <c r="AK73" s="1034"/>
      <c r="AL73" s="1029">
        <v>417491.26362499996</v>
      </c>
      <c r="AM73" s="1030">
        <v>0</v>
      </c>
      <c r="AN73" s="1030">
        <v>282288.21637499996</v>
      </c>
      <c r="AO73" s="1031">
        <v>699779.48</v>
      </c>
    </row>
    <row r="74" spans="1:41">
      <c r="A74" s="1021" t="s">
        <v>183</v>
      </c>
      <c r="B74" s="1022" t="s">
        <v>184</v>
      </c>
      <c r="C74" s="1023">
        <f t="shared" si="5"/>
        <v>79381.279775000003</v>
      </c>
      <c r="D74" s="1024">
        <f t="shared" si="6"/>
        <v>69809.350225000002</v>
      </c>
      <c r="E74" s="1024">
        <f t="shared" si="7"/>
        <v>0</v>
      </c>
      <c r="F74" s="1024">
        <f t="shared" si="8"/>
        <v>0</v>
      </c>
      <c r="G74" s="1025">
        <f t="shared" si="8"/>
        <v>0</v>
      </c>
      <c r="H74" s="1032"/>
      <c r="I74" s="1033"/>
      <c r="J74" s="1033"/>
      <c r="K74" s="1033"/>
      <c r="L74" s="1033"/>
      <c r="M74" s="1034"/>
      <c r="N74" s="1032"/>
      <c r="O74" s="1033"/>
      <c r="P74" s="1033"/>
      <c r="Q74" s="1033"/>
      <c r="R74" s="1033"/>
      <c r="S74" s="1034"/>
      <c r="T74" s="1032"/>
      <c r="U74" s="1033"/>
      <c r="V74" s="1033"/>
      <c r="W74" s="1033"/>
      <c r="X74" s="1033"/>
      <c r="Y74" s="1034"/>
      <c r="Z74" s="1032"/>
      <c r="AA74" s="1033"/>
      <c r="AB74" s="1033"/>
      <c r="AC74" s="1033"/>
      <c r="AD74" s="1033"/>
      <c r="AE74" s="1034"/>
      <c r="AF74" s="1032"/>
      <c r="AG74" s="1033"/>
      <c r="AH74" s="1033"/>
      <c r="AI74" s="1033"/>
      <c r="AJ74" s="1033"/>
      <c r="AK74" s="1034"/>
      <c r="AL74" s="1029">
        <v>79381.279775000003</v>
      </c>
      <c r="AM74" s="1030">
        <v>0</v>
      </c>
      <c r="AN74" s="1030">
        <v>69809.350225000002</v>
      </c>
      <c r="AO74" s="1031">
        <v>149190.63</v>
      </c>
    </row>
    <row r="75" spans="1:41">
      <c r="A75" s="1021" t="s">
        <v>185</v>
      </c>
      <c r="B75" s="1022" t="s">
        <v>186</v>
      </c>
      <c r="C75" s="1023">
        <f t="shared" si="5"/>
        <v>252472.48404999997</v>
      </c>
      <c r="D75" s="1024">
        <f t="shared" si="6"/>
        <v>173618.27594999995</v>
      </c>
      <c r="E75" s="1024">
        <f t="shared" si="7"/>
        <v>0</v>
      </c>
      <c r="F75" s="1024">
        <f t="shared" si="8"/>
        <v>0</v>
      </c>
      <c r="G75" s="1025">
        <f t="shared" si="8"/>
        <v>0</v>
      </c>
      <c r="H75" s="1029">
        <v>-287.44</v>
      </c>
      <c r="I75" s="1030">
        <v>0</v>
      </c>
      <c r="J75" s="1030">
        <v>-276.16000000000003</v>
      </c>
      <c r="K75" s="1030">
        <v>0</v>
      </c>
      <c r="L75" s="1030">
        <v>0</v>
      </c>
      <c r="M75" s="1031">
        <v>-563.6</v>
      </c>
      <c r="N75" s="1032"/>
      <c r="O75" s="1033"/>
      <c r="P75" s="1033"/>
      <c r="Q75" s="1033"/>
      <c r="R75" s="1033"/>
      <c r="S75" s="1034"/>
      <c r="T75" s="1032"/>
      <c r="U75" s="1033"/>
      <c r="V75" s="1033"/>
      <c r="W75" s="1033"/>
      <c r="X75" s="1033"/>
      <c r="Y75" s="1034"/>
      <c r="Z75" s="1032"/>
      <c r="AA75" s="1033"/>
      <c r="AB75" s="1033"/>
      <c r="AC75" s="1033"/>
      <c r="AD75" s="1033"/>
      <c r="AE75" s="1034"/>
      <c r="AF75" s="1032"/>
      <c r="AG75" s="1033"/>
      <c r="AH75" s="1033"/>
      <c r="AI75" s="1033"/>
      <c r="AJ75" s="1033"/>
      <c r="AK75" s="1034"/>
      <c r="AL75" s="1029">
        <v>252759.92404999997</v>
      </c>
      <c r="AM75" s="1030">
        <v>0</v>
      </c>
      <c r="AN75" s="1030">
        <v>173894.43594999996</v>
      </c>
      <c r="AO75" s="1031">
        <v>426654.36</v>
      </c>
    </row>
    <row r="76" spans="1:41">
      <c r="A76" s="1021" t="s">
        <v>187</v>
      </c>
      <c r="B76" s="1022" t="s">
        <v>188</v>
      </c>
      <c r="C76" s="1023">
        <f t="shared" si="5"/>
        <v>137889.00507500002</v>
      </c>
      <c r="D76" s="1024">
        <f t="shared" si="6"/>
        <v>96949.784925</v>
      </c>
      <c r="E76" s="1024">
        <f t="shared" si="7"/>
        <v>0</v>
      </c>
      <c r="F76" s="1024">
        <f t="shared" si="8"/>
        <v>0</v>
      </c>
      <c r="G76" s="1025">
        <f t="shared" si="8"/>
        <v>0</v>
      </c>
      <c r="H76" s="1029">
        <v>-184.11</v>
      </c>
      <c r="I76" s="1030">
        <v>0</v>
      </c>
      <c r="J76" s="1030">
        <v>-176.89</v>
      </c>
      <c r="K76" s="1030">
        <v>0</v>
      </c>
      <c r="L76" s="1030">
        <v>0</v>
      </c>
      <c r="M76" s="1031">
        <v>-361</v>
      </c>
      <c r="N76" s="1032"/>
      <c r="O76" s="1033"/>
      <c r="P76" s="1033"/>
      <c r="Q76" s="1033"/>
      <c r="R76" s="1033"/>
      <c r="S76" s="1034"/>
      <c r="T76" s="1032"/>
      <c r="U76" s="1033"/>
      <c r="V76" s="1033"/>
      <c r="W76" s="1033"/>
      <c r="X76" s="1033"/>
      <c r="Y76" s="1034"/>
      <c r="Z76" s="1032"/>
      <c r="AA76" s="1033"/>
      <c r="AB76" s="1033"/>
      <c r="AC76" s="1033"/>
      <c r="AD76" s="1033"/>
      <c r="AE76" s="1034"/>
      <c r="AF76" s="1032"/>
      <c r="AG76" s="1033"/>
      <c r="AH76" s="1033"/>
      <c r="AI76" s="1033"/>
      <c r="AJ76" s="1033"/>
      <c r="AK76" s="1034"/>
      <c r="AL76" s="1029">
        <v>138073.11507500001</v>
      </c>
      <c r="AM76" s="1030">
        <v>0</v>
      </c>
      <c r="AN76" s="1030">
        <v>97126.674924999999</v>
      </c>
      <c r="AO76" s="1031">
        <v>235199.79</v>
      </c>
    </row>
    <row r="77" spans="1:41">
      <c r="A77" s="1021" t="s">
        <v>189</v>
      </c>
      <c r="B77" s="1022" t="s">
        <v>190</v>
      </c>
      <c r="C77" s="1023">
        <f t="shared" si="5"/>
        <v>3404576.1150999996</v>
      </c>
      <c r="D77" s="1024">
        <f t="shared" si="6"/>
        <v>2577613.5548999999</v>
      </c>
      <c r="E77" s="1024">
        <f t="shared" si="7"/>
        <v>0.01</v>
      </c>
      <c r="F77" s="1024">
        <f t="shared" si="8"/>
        <v>0</v>
      </c>
      <c r="G77" s="1025">
        <f t="shared" si="8"/>
        <v>0.01</v>
      </c>
      <c r="H77" s="1029">
        <v>-13805.05</v>
      </c>
      <c r="I77" s="1030">
        <v>0</v>
      </c>
      <c r="J77" s="1030">
        <v>-13263.68</v>
      </c>
      <c r="K77" s="1030">
        <v>0</v>
      </c>
      <c r="L77" s="1030">
        <v>0.01</v>
      </c>
      <c r="M77" s="1031">
        <v>-27068.720000000001</v>
      </c>
      <c r="N77" s="1032"/>
      <c r="O77" s="1033"/>
      <c r="P77" s="1033"/>
      <c r="Q77" s="1033"/>
      <c r="R77" s="1033"/>
      <c r="S77" s="1034"/>
      <c r="T77" s="1032"/>
      <c r="U77" s="1033"/>
      <c r="V77" s="1033"/>
      <c r="W77" s="1033"/>
      <c r="X77" s="1033"/>
      <c r="Y77" s="1034"/>
      <c r="Z77" s="1032"/>
      <c r="AA77" s="1033"/>
      <c r="AB77" s="1033"/>
      <c r="AC77" s="1033"/>
      <c r="AD77" s="1033"/>
      <c r="AE77" s="1034"/>
      <c r="AF77" s="1029">
        <v>20708.990000000002</v>
      </c>
      <c r="AG77" s="1030">
        <v>0</v>
      </c>
      <c r="AH77" s="1030">
        <v>0</v>
      </c>
      <c r="AI77" s="1030">
        <v>0</v>
      </c>
      <c r="AJ77" s="1030">
        <v>0</v>
      </c>
      <c r="AK77" s="1031">
        <v>20708.990000000002</v>
      </c>
      <c r="AL77" s="1029">
        <v>3397672.1750999996</v>
      </c>
      <c r="AM77" s="1030">
        <v>0</v>
      </c>
      <c r="AN77" s="1030">
        <v>2590877.2349</v>
      </c>
      <c r="AO77" s="1031">
        <v>5988549.4100000001</v>
      </c>
    </row>
    <row r="78" spans="1:41">
      <c r="A78" s="1021" t="s">
        <v>191</v>
      </c>
      <c r="B78" s="1022" t="s">
        <v>192</v>
      </c>
      <c r="C78" s="1023">
        <f t="shared" si="5"/>
        <v>656104.44507499994</v>
      </c>
      <c r="D78" s="1024">
        <f t="shared" si="6"/>
        <v>241812.03492499999</v>
      </c>
      <c r="E78" s="1024">
        <f t="shared" si="7"/>
        <v>0</v>
      </c>
      <c r="F78" s="1024">
        <f t="shared" si="8"/>
        <v>0</v>
      </c>
      <c r="G78" s="1025">
        <f t="shared" si="8"/>
        <v>0</v>
      </c>
      <c r="H78" s="1029">
        <v>-498.63</v>
      </c>
      <c r="I78" s="1030">
        <v>0</v>
      </c>
      <c r="J78" s="1030">
        <v>-479.07</v>
      </c>
      <c r="K78" s="1030">
        <v>0</v>
      </c>
      <c r="L78" s="1030">
        <v>0</v>
      </c>
      <c r="M78" s="1031">
        <v>-977.7</v>
      </c>
      <c r="N78" s="1032"/>
      <c r="O78" s="1033"/>
      <c r="P78" s="1033"/>
      <c r="Q78" s="1033"/>
      <c r="R78" s="1033"/>
      <c r="S78" s="1034"/>
      <c r="T78" s="1032"/>
      <c r="U78" s="1033"/>
      <c r="V78" s="1033"/>
      <c r="W78" s="1033"/>
      <c r="X78" s="1033"/>
      <c r="Y78" s="1034"/>
      <c r="Z78" s="1032"/>
      <c r="AA78" s="1033"/>
      <c r="AB78" s="1033"/>
      <c r="AC78" s="1033"/>
      <c r="AD78" s="1033"/>
      <c r="AE78" s="1034"/>
      <c r="AF78" s="1029">
        <v>331778.34000000003</v>
      </c>
      <c r="AG78" s="1030">
        <v>0</v>
      </c>
      <c r="AH78" s="1030">
        <v>0</v>
      </c>
      <c r="AI78" s="1030">
        <v>0</v>
      </c>
      <c r="AJ78" s="1030">
        <v>0</v>
      </c>
      <c r="AK78" s="1031">
        <v>331778.34000000003</v>
      </c>
      <c r="AL78" s="1029">
        <v>324824.73507499998</v>
      </c>
      <c r="AM78" s="1030">
        <v>0</v>
      </c>
      <c r="AN78" s="1030">
        <v>242291.10492499999</v>
      </c>
      <c r="AO78" s="1031">
        <v>567115.84</v>
      </c>
    </row>
    <row r="79" spans="1:41">
      <c r="A79" s="1021" t="s">
        <v>195</v>
      </c>
      <c r="B79" s="1022" t="s">
        <v>196</v>
      </c>
      <c r="C79" s="1023">
        <f t="shared" si="5"/>
        <v>11377.5185</v>
      </c>
      <c r="D79" s="1024">
        <f t="shared" si="6"/>
        <v>7746.6814999999997</v>
      </c>
      <c r="E79" s="1024">
        <f t="shared" si="7"/>
        <v>0</v>
      </c>
      <c r="F79" s="1024">
        <f t="shared" si="8"/>
        <v>0</v>
      </c>
      <c r="G79" s="1025">
        <f t="shared" si="8"/>
        <v>0</v>
      </c>
      <c r="H79" s="1032"/>
      <c r="I79" s="1033"/>
      <c r="J79" s="1033"/>
      <c r="K79" s="1033"/>
      <c r="L79" s="1033"/>
      <c r="M79" s="1034"/>
      <c r="N79" s="1032"/>
      <c r="O79" s="1033"/>
      <c r="P79" s="1033"/>
      <c r="Q79" s="1033"/>
      <c r="R79" s="1033"/>
      <c r="S79" s="1034"/>
      <c r="T79" s="1032"/>
      <c r="U79" s="1033"/>
      <c r="V79" s="1033"/>
      <c r="W79" s="1033"/>
      <c r="X79" s="1033"/>
      <c r="Y79" s="1034"/>
      <c r="Z79" s="1032"/>
      <c r="AA79" s="1033"/>
      <c r="AB79" s="1033"/>
      <c r="AC79" s="1033"/>
      <c r="AD79" s="1033"/>
      <c r="AE79" s="1034"/>
      <c r="AF79" s="1032"/>
      <c r="AG79" s="1033"/>
      <c r="AH79" s="1033"/>
      <c r="AI79" s="1033"/>
      <c r="AJ79" s="1033"/>
      <c r="AK79" s="1034"/>
      <c r="AL79" s="1029">
        <v>11377.5185</v>
      </c>
      <c r="AM79" s="1030">
        <v>0</v>
      </c>
      <c r="AN79" s="1030">
        <v>7746.6814999999997</v>
      </c>
      <c r="AO79" s="1031">
        <v>19124.2</v>
      </c>
    </row>
    <row r="80" spans="1:41">
      <c r="A80" s="1021" t="s">
        <v>199</v>
      </c>
      <c r="B80" s="1022" t="s">
        <v>200</v>
      </c>
      <c r="C80" s="1023">
        <f t="shared" si="5"/>
        <v>52896.732025000012</v>
      </c>
      <c r="D80" s="1024">
        <f t="shared" si="6"/>
        <v>31102.907975000006</v>
      </c>
      <c r="E80" s="1024">
        <f t="shared" si="7"/>
        <v>-62</v>
      </c>
      <c r="F80" s="1024">
        <f t="shared" si="8"/>
        <v>0</v>
      </c>
      <c r="G80" s="1025">
        <f t="shared" si="8"/>
        <v>-62</v>
      </c>
      <c r="H80" s="1029">
        <v>31.62</v>
      </c>
      <c r="I80" s="1030">
        <v>0</v>
      </c>
      <c r="J80" s="1030">
        <v>30.38</v>
      </c>
      <c r="K80" s="1030">
        <v>0</v>
      </c>
      <c r="L80" s="1030">
        <v>-62</v>
      </c>
      <c r="M80" s="1031">
        <v>0</v>
      </c>
      <c r="N80" s="1032"/>
      <c r="O80" s="1033"/>
      <c r="P80" s="1033"/>
      <c r="Q80" s="1033"/>
      <c r="R80" s="1033"/>
      <c r="S80" s="1034"/>
      <c r="T80" s="1032"/>
      <c r="U80" s="1033"/>
      <c r="V80" s="1033"/>
      <c r="W80" s="1033"/>
      <c r="X80" s="1033"/>
      <c r="Y80" s="1034"/>
      <c r="Z80" s="1032"/>
      <c r="AA80" s="1033"/>
      <c r="AB80" s="1033"/>
      <c r="AC80" s="1033"/>
      <c r="AD80" s="1033"/>
      <c r="AE80" s="1034"/>
      <c r="AF80" s="1032"/>
      <c r="AG80" s="1033"/>
      <c r="AH80" s="1033"/>
      <c r="AI80" s="1033"/>
      <c r="AJ80" s="1033"/>
      <c r="AK80" s="1034"/>
      <c r="AL80" s="1029">
        <v>52865.112025000009</v>
      </c>
      <c r="AM80" s="1030">
        <v>0</v>
      </c>
      <c r="AN80" s="1030">
        <v>31072.527975000005</v>
      </c>
      <c r="AO80" s="1031">
        <v>83937.640000000014</v>
      </c>
    </row>
    <row r="81" spans="1:41">
      <c r="A81" s="1021" t="s">
        <v>203</v>
      </c>
      <c r="B81" s="1022" t="s">
        <v>204</v>
      </c>
      <c r="C81" s="1023">
        <f t="shared" si="5"/>
        <v>709486.07819999999</v>
      </c>
      <c r="D81" s="1024">
        <f t="shared" si="6"/>
        <v>516945.45179999998</v>
      </c>
      <c r="E81" s="1024">
        <f t="shared" si="7"/>
        <v>0</v>
      </c>
      <c r="F81" s="1024">
        <f t="shared" si="8"/>
        <v>0</v>
      </c>
      <c r="G81" s="1025">
        <f t="shared" si="8"/>
        <v>0</v>
      </c>
      <c r="H81" s="1029">
        <v>-736.66</v>
      </c>
      <c r="I81" s="1030">
        <v>0</v>
      </c>
      <c r="J81" s="1030">
        <v>-707.76</v>
      </c>
      <c r="K81" s="1030">
        <v>0</v>
      </c>
      <c r="L81" s="1030">
        <v>0</v>
      </c>
      <c r="M81" s="1031">
        <v>-1444.42</v>
      </c>
      <c r="N81" s="1032"/>
      <c r="O81" s="1033"/>
      <c r="P81" s="1033"/>
      <c r="Q81" s="1033"/>
      <c r="R81" s="1033"/>
      <c r="S81" s="1034"/>
      <c r="T81" s="1032"/>
      <c r="U81" s="1033"/>
      <c r="V81" s="1033"/>
      <c r="W81" s="1033"/>
      <c r="X81" s="1033"/>
      <c r="Y81" s="1034"/>
      <c r="Z81" s="1032"/>
      <c r="AA81" s="1033"/>
      <c r="AB81" s="1033"/>
      <c r="AC81" s="1033"/>
      <c r="AD81" s="1033"/>
      <c r="AE81" s="1034"/>
      <c r="AF81" s="1032"/>
      <c r="AG81" s="1033"/>
      <c r="AH81" s="1033"/>
      <c r="AI81" s="1033"/>
      <c r="AJ81" s="1033"/>
      <c r="AK81" s="1034"/>
      <c r="AL81" s="1029">
        <v>710222.73820000002</v>
      </c>
      <c r="AM81" s="1030">
        <v>0</v>
      </c>
      <c r="AN81" s="1030">
        <v>517653.21179999999</v>
      </c>
      <c r="AO81" s="1031">
        <v>1227875.95</v>
      </c>
    </row>
    <row r="82" spans="1:41">
      <c r="A82" s="1021" t="s">
        <v>205</v>
      </c>
      <c r="B82" s="1022" t="s">
        <v>206</v>
      </c>
      <c r="C82" s="1023">
        <f t="shared" si="5"/>
        <v>166864.57907499999</v>
      </c>
      <c r="D82" s="1024">
        <f t="shared" si="6"/>
        <v>119254.49092500001</v>
      </c>
      <c r="E82" s="1024">
        <f t="shared" si="7"/>
        <v>2630.5</v>
      </c>
      <c r="F82" s="1024">
        <f t="shared" si="8"/>
        <v>2630.5</v>
      </c>
      <c r="G82" s="1025">
        <f t="shared" si="8"/>
        <v>0</v>
      </c>
      <c r="H82" s="1032"/>
      <c r="I82" s="1033"/>
      <c r="J82" s="1033"/>
      <c r="K82" s="1033"/>
      <c r="L82" s="1033"/>
      <c r="M82" s="1034"/>
      <c r="N82" s="1032"/>
      <c r="O82" s="1033"/>
      <c r="P82" s="1033"/>
      <c r="Q82" s="1033"/>
      <c r="R82" s="1033"/>
      <c r="S82" s="1034"/>
      <c r="T82" s="1032"/>
      <c r="U82" s="1033"/>
      <c r="V82" s="1033"/>
      <c r="W82" s="1033"/>
      <c r="X82" s="1033"/>
      <c r="Y82" s="1034"/>
      <c r="Z82" s="1029">
        <v>7498.5</v>
      </c>
      <c r="AA82" s="1030">
        <v>0</v>
      </c>
      <c r="AB82" s="1030">
        <v>0</v>
      </c>
      <c r="AC82" s="1030">
        <v>2630.5</v>
      </c>
      <c r="AD82" s="1030">
        <v>0</v>
      </c>
      <c r="AE82" s="1031">
        <v>10129</v>
      </c>
      <c r="AF82" s="1032"/>
      <c r="AG82" s="1033"/>
      <c r="AH82" s="1033"/>
      <c r="AI82" s="1033"/>
      <c r="AJ82" s="1033"/>
      <c r="AK82" s="1034"/>
      <c r="AL82" s="1029">
        <v>159366.07907499999</v>
      </c>
      <c r="AM82" s="1030">
        <v>0</v>
      </c>
      <c r="AN82" s="1030">
        <v>119254.49092500001</v>
      </c>
      <c r="AO82" s="1031">
        <v>278620.57</v>
      </c>
    </row>
    <row r="83" spans="1:41">
      <c r="A83" s="1021" t="s">
        <v>207</v>
      </c>
      <c r="B83" s="1022" t="s">
        <v>208</v>
      </c>
      <c r="C83" s="1023">
        <f t="shared" si="5"/>
        <v>687475.01769999997</v>
      </c>
      <c r="D83" s="1024">
        <f t="shared" si="6"/>
        <v>610608.87229999993</v>
      </c>
      <c r="E83" s="1024">
        <f t="shared" si="7"/>
        <v>0</v>
      </c>
      <c r="F83" s="1024">
        <f t="shared" si="8"/>
        <v>0</v>
      </c>
      <c r="G83" s="1025">
        <f t="shared" si="8"/>
        <v>0</v>
      </c>
      <c r="H83" s="1029">
        <v>-2299.46</v>
      </c>
      <c r="I83" s="1030">
        <v>0</v>
      </c>
      <c r="J83" s="1030">
        <v>-2209.29</v>
      </c>
      <c r="K83" s="1030">
        <v>0</v>
      </c>
      <c r="L83" s="1030">
        <v>0</v>
      </c>
      <c r="M83" s="1031">
        <v>-4508.75</v>
      </c>
      <c r="N83" s="1032"/>
      <c r="O83" s="1033"/>
      <c r="P83" s="1033"/>
      <c r="Q83" s="1033"/>
      <c r="R83" s="1033"/>
      <c r="S83" s="1034"/>
      <c r="T83" s="1029">
        <v>0</v>
      </c>
      <c r="U83" s="1030">
        <v>0</v>
      </c>
      <c r="V83" s="1030">
        <v>173</v>
      </c>
      <c r="W83" s="1030">
        <v>0</v>
      </c>
      <c r="X83" s="1030">
        <v>0</v>
      </c>
      <c r="Y83" s="1031">
        <v>173</v>
      </c>
      <c r="Z83" s="1032"/>
      <c r="AA83" s="1033"/>
      <c r="AB83" s="1033"/>
      <c r="AC83" s="1033"/>
      <c r="AD83" s="1033"/>
      <c r="AE83" s="1034"/>
      <c r="AF83" s="1029">
        <v>56278.19</v>
      </c>
      <c r="AG83" s="1030">
        <v>0</v>
      </c>
      <c r="AH83" s="1030">
        <v>0</v>
      </c>
      <c r="AI83" s="1030">
        <v>0</v>
      </c>
      <c r="AJ83" s="1030">
        <v>0</v>
      </c>
      <c r="AK83" s="1031">
        <v>56278.19</v>
      </c>
      <c r="AL83" s="1029">
        <v>633496.28769999999</v>
      </c>
      <c r="AM83" s="1030">
        <v>0</v>
      </c>
      <c r="AN83" s="1030">
        <v>612645.16229999997</v>
      </c>
      <c r="AO83" s="1031">
        <v>1246141.4500000002</v>
      </c>
    </row>
    <row r="84" spans="1:41">
      <c r="A84" s="1021" t="s">
        <v>209</v>
      </c>
      <c r="B84" s="1022" t="s">
        <v>210</v>
      </c>
      <c r="C84" s="1023">
        <f t="shared" si="5"/>
        <v>419094.61647500005</v>
      </c>
      <c r="D84" s="1024">
        <f t="shared" si="6"/>
        <v>345150.46352500009</v>
      </c>
      <c r="E84" s="1024">
        <f t="shared" si="7"/>
        <v>0</v>
      </c>
      <c r="F84" s="1024">
        <f t="shared" si="8"/>
        <v>0</v>
      </c>
      <c r="G84" s="1025">
        <f t="shared" si="8"/>
        <v>0</v>
      </c>
      <c r="H84" s="1029">
        <v>256.66000000000003</v>
      </c>
      <c r="I84" s="1030">
        <v>0</v>
      </c>
      <c r="J84" s="1030">
        <v>246.59</v>
      </c>
      <c r="K84" s="1030">
        <v>0</v>
      </c>
      <c r="L84" s="1030">
        <v>0</v>
      </c>
      <c r="M84" s="1031">
        <v>503.25</v>
      </c>
      <c r="N84" s="1032"/>
      <c r="O84" s="1033"/>
      <c r="P84" s="1033"/>
      <c r="Q84" s="1033"/>
      <c r="R84" s="1033"/>
      <c r="S84" s="1034"/>
      <c r="T84" s="1032"/>
      <c r="U84" s="1033"/>
      <c r="V84" s="1033"/>
      <c r="W84" s="1033"/>
      <c r="X84" s="1033"/>
      <c r="Y84" s="1034"/>
      <c r="Z84" s="1032"/>
      <c r="AA84" s="1033"/>
      <c r="AB84" s="1033"/>
      <c r="AC84" s="1033"/>
      <c r="AD84" s="1033"/>
      <c r="AE84" s="1034"/>
      <c r="AF84" s="1032"/>
      <c r="AG84" s="1033"/>
      <c r="AH84" s="1033"/>
      <c r="AI84" s="1033"/>
      <c r="AJ84" s="1033"/>
      <c r="AK84" s="1034"/>
      <c r="AL84" s="1029">
        <v>418837.95647500007</v>
      </c>
      <c r="AM84" s="1030">
        <v>0</v>
      </c>
      <c r="AN84" s="1030">
        <v>344903.87352500006</v>
      </c>
      <c r="AO84" s="1031">
        <v>763741.83000000007</v>
      </c>
    </row>
    <row r="85" spans="1:41">
      <c r="A85" s="1021" t="s">
        <v>211</v>
      </c>
      <c r="B85" s="1022" t="s">
        <v>212</v>
      </c>
      <c r="C85" s="1023">
        <f t="shared" si="5"/>
        <v>341019.92589999997</v>
      </c>
      <c r="D85" s="1024">
        <f t="shared" si="6"/>
        <v>319131.50409999996</v>
      </c>
      <c r="E85" s="1024">
        <f t="shared" si="7"/>
        <v>0.01</v>
      </c>
      <c r="F85" s="1024">
        <f t="shared" si="8"/>
        <v>0</v>
      </c>
      <c r="G85" s="1025">
        <f t="shared" si="8"/>
        <v>0.01</v>
      </c>
      <c r="H85" s="1029">
        <v>-1520.19</v>
      </c>
      <c r="I85" s="1030">
        <v>0</v>
      </c>
      <c r="J85" s="1030">
        <v>-1460.57</v>
      </c>
      <c r="K85" s="1030">
        <v>0</v>
      </c>
      <c r="L85" s="1030">
        <v>0.01</v>
      </c>
      <c r="M85" s="1031">
        <v>-2980.75</v>
      </c>
      <c r="N85" s="1029">
        <v>255</v>
      </c>
      <c r="O85" s="1030">
        <v>0</v>
      </c>
      <c r="P85" s="1030">
        <v>245</v>
      </c>
      <c r="Q85" s="1030">
        <v>0</v>
      </c>
      <c r="R85" s="1030">
        <v>0</v>
      </c>
      <c r="S85" s="1031">
        <v>500</v>
      </c>
      <c r="T85" s="1032"/>
      <c r="U85" s="1033"/>
      <c r="V85" s="1033"/>
      <c r="W85" s="1033"/>
      <c r="X85" s="1033"/>
      <c r="Y85" s="1034"/>
      <c r="Z85" s="1032"/>
      <c r="AA85" s="1033"/>
      <c r="AB85" s="1033"/>
      <c r="AC85" s="1033"/>
      <c r="AD85" s="1033"/>
      <c r="AE85" s="1034"/>
      <c r="AF85" s="1032"/>
      <c r="AG85" s="1033"/>
      <c r="AH85" s="1033"/>
      <c r="AI85" s="1033"/>
      <c r="AJ85" s="1033"/>
      <c r="AK85" s="1034"/>
      <c r="AL85" s="1029">
        <v>342285.11589999998</v>
      </c>
      <c r="AM85" s="1030">
        <v>0</v>
      </c>
      <c r="AN85" s="1030">
        <v>320347.07409999997</v>
      </c>
      <c r="AO85" s="1031">
        <v>662632.18999999994</v>
      </c>
    </row>
    <row r="86" spans="1:41">
      <c r="A86" s="1021" t="s">
        <v>213</v>
      </c>
      <c r="B86" s="1022" t="s">
        <v>214</v>
      </c>
      <c r="C86" s="1023">
        <f t="shared" si="5"/>
        <v>153180.60949999999</v>
      </c>
      <c r="D86" s="1024">
        <f t="shared" si="6"/>
        <v>192362.21049999999</v>
      </c>
      <c r="E86" s="1024">
        <f t="shared" si="7"/>
        <v>0</v>
      </c>
      <c r="F86" s="1024">
        <f t="shared" si="8"/>
        <v>0</v>
      </c>
      <c r="G86" s="1025">
        <f t="shared" si="8"/>
        <v>0</v>
      </c>
      <c r="H86" s="1032"/>
      <c r="I86" s="1033"/>
      <c r="J86" s="1033"/>
      <c r="K86" s="1033"/>
      <c r="L86" s="1033"/>
      <c r="M86" s="1034"/>
      <c r="N86" s="1032"/>
      <c r="O86" s="1033"/>
      <c r="P86" s="1033"/>
      <c r="Q86" s="1033"/>
      <c r="R86" s="1033"/>
      <c r="S86" s="1034"/>
      <c r="T86" s="1032"/>
      <c r="U86" s="1033"/>
      <c r="V86" s="1033"/>
      <c r="W86" s="1033"/>
      <c r="X86" s="1033"/>
      <c r="Y86" s="1034"/>
      <c r="Z86" s="1032"/>
      <c r="AA86" s="1033"/>
      <c r="AB86" s="1033"/>
      <c r="AC86" s="1033"/>
      <c r="AD86" s="1033"/>
      <c r="AE86" s="1034"/>
      <c r="AF86" s="1032"/>
      <c r="AG86" s="1033"/>
      <c r="AH86" s="1033"/>
      <c r="AI86" s="1033"/>
      <c r="AJ86" s="1033"/>
      <c r="AK86" s="1034"/>
      <c r="AL86" s="1029">
        <v>153180.60949999999</v>
      </c>
      <c r="AM86" s="1030">
        <v>0</v>
      </c>
      <c r="AN86" s="1030">
        <v>192362.21049999999</v>
      </c>
      <c r="AO86" s="1031">
        <v>345542.82</v>
      </c>
    </row>
    <row r="87" spans="1:41">
      <c r="A87" s="1021" t="s">
        <v>215</v>
      </c>
      <c r="B87" s="1022" t="s">
        <v>216</v>
      </c>
      <c r="C87" s="1023">
        <f t="shared" si="5"/>
        <v>337288.28657499992</v>
      </c>
      <c r="D87" s="1024">
        <f t="shared" si="6"/>
        <v>270306.97342499997</v>
      </c>
      <c r="E87" s="1024">
        <f t="shared" si="7"/>
        <v>417.29</v>
      </c>
      <c r="F87" s="1024">
        <f t="shared" si="8"/>
        <v>417.29</v>
      </c>
      <c r="G87" s="1025">
        <f t="shared" si="8"/>
        <v>0</v>
      </c>
      <c r="H87" s="1029">
        <v>-482.97</v>
      </c>
      <c r="I87" s="1030">
        <v>0</v>
      </c>
      <c r="J87" s="1030">
        <v>-464.03</v>
      </c>
      <c r="K87" s="1030">
        <v>0</v>
      </c>
      <c r="L87" s="1030">
        <v>0</v>
      </c>
      <c r="M87" s="1031">
        <v>-947</v>
      </c>
      <c r="N87" s="1029">
        <v>1015.65</v>
      </c>
      <c r="O87" s="1030">
        <v>0</v>
      </c>
      <c r="P87" s="1030">
        <v>975.83</v>
      </c>
      <c r="Q87" s="1030">
        <v>0</v>
      </c>
      <c r="R87" s="1030">
        <v>0</v>
      </c>
      <c r="S87" s="1031">
        <v>1991.48</v>
      </c>
      <c r="T87" s="1029">
        <v>0</v>
      </c>
      <c r="U87" s="1030">
        <v>0</v>
      </c>
      <c r="V87" s="1030">
        <v>-215</v>
      </c>
      <c r="W87" s="1030">
        <v>0</v>
      </c>
      <c r="X87" s="1030">
        <v>0</v>
      </c>
      <c r="Y87" s="1031">
        <v>-215</v>
      </c>
      <c r="Z87" s="1029">
        <v>1368.3</v>
      </c>
      <c r="AA87" s="1030">
        <v>0</v>
      </c>
      <c r="AB87" s="1030">
        <v>0</v>
      </c>
      <c r="AC87" s="1030">
        <v>417.29</v>
      </c>
      <c r="AD87" s="1030">
        <v>0</v>
      </c>
      <c r="AE87" s="1031">
        <v>1785.59</v>
      </c>
      <c r="AF87" s="1032"/>
      <c r="AG87" s="1033"/>
      <c r="AH87" s="1033"/>
      <c r="AI87" s="1033"/>
      <c r="AJ87" s="1033"/>
      <c r="AK87" s="1034"/>
      <c r="AL87" s="1029">
        <v>335387.30657499994</v>
      </c>
      <c r="AM87" s="1030">
        <v>0</v>
      </c>
      <c r="AN87" s="1030">
        <v>270010.17342499999</v>
      </c>
      <c r="AO87" s="1031">
        <v>605397.48</v>
      </c>
    </row>
    <row r="88" spans="1:41">
      <c r="A88" s="1021" t="s">
        <v>217</v>
      </c>
      <c r="B88" s="1022" t="s">
        <v>218</v>
      </c>
      <c r="C88" s="1023">
        <f t="shared" si="5"/>
        <v>248880.19444999998</v>
      </c>
      <c r="D88" s="1024">
        <f t="shared" si="6"/>
        <v>162888.95554999996</v>
      </c>
      <c r="E88" s="1024">
        <f t="shared" si="7"/>
        <v>0</v>
      </c>
      <c r="F88" s="1024">
        <f t="shared" si="8"/>
        <v>0</v>
      </c>
      <c r="G88" s="1025">
        <f t="shared" si="8"/>
        <v>0</v>
      </c>
      <c r="H88" s="1029">
        <v>-18.87</v>
      </c>
      <c r="I88" s="1030">
        <v>0</v>
      </c>
      <c r="J88" s="1030">
        <v>-18.13</v>
      </c>
      <c r="K88" s="1030">
        <v>0</v>
      </c>
      <c r="L88" s="1030">
        <v>0</v>
      </c>
      <c r="M88" s="1031">
        <v>-37</v>
      </c>
      <c r="N88" s="1032"/>
      <c r="O88" s="1033"/>
      <c r="P88" s="1033"/>
      <c r="Q88" s="1033"/>
      <c r="R88" s="1033"/>
      <c r="S88" s="1034"/>
      <c r="T88" s="1032"/>
      <c r="U88" s="1033"/>
      <c r="V88" s="1033"/>
      <c r="W88" s="1033"/>
      <c r="X88" s="1033"/>
      <c r="Y88" s="1034"/>
      <c r="Z88" s="1032"/>
      <c r="AA88" s="1033"/>
      <c r="AB88" s="1033"/>
      <c r="AC88" s="1033"/>
      <c r="AD88" s="1033"/>
      <c r="AE88" s="1034"/>
      <c r="AF88" s="1032"/>
      <c r="AG88" s="1033"/>
      <c r="AH88" s="1033"/>
      <c r="AI88" s="1033"/>
      <c r="AJ88" s="1033"/>
      <c r="AK88" s="1034"/>
      <c r="AL88" s="1029">
        <v>248899.06444999998</v>
      </c>
      <c r="AM88" s="1030">
        <v>0</v>
      </c>
      <c r="AN88" s="1030">
        <v>162907.08554999996</v>
      </c>
      <c r="AO88" s="1031">
        <v>411806.14999999997</v>
      </c>
    </row>
    <row r="89" spans="1:41">
      <c r="A89" s="1021" t="s">
        <v>219</v>
      </c>
      <c r="B89" s="1022" t="s">
        <v>220</v>
      </c>
      <c r="C89" s="1023">
        <f t="shared" si="5"/>
        <v>1035322.7834499999</v>
      </c>
      <c r="D89" s="1024">
        <f t="shared" si="6"/>
        <v>713534.14655000006</v>
      </c>
      <c r="E89" s="1024">
        <f t="shared" si="7"/>
        <v>0.02</v>
      </c>
      <c r="F89" s="1024">
        <f t="shared" si="8"/>
        <v>0</v>
      </c>
      <c r="G89" s="1025">
        <f t="shared" si="8"/>
        <v>0.02</v>
      </c>
      <c r="H89" s="1029">
        <v>-297.39999999999998</v>
      </c>
      <c r="I89" s="1030">
        <v>0</v>
      </c>
      <c r="J89" s="1030">
        <v>-285.72000000000003</v>
      </c>
      <c r="K89" s="1030">
        <v>0</v>
      </c>
      <c r="L89" s="1030">
        <v>0.02</v>
      </c>
      <c r="M89" s="1031">
        <v>-583.1</v>
      </c>
      <c r="N89" s="1032"/>
      <c r="O89" s="1033"/>
      <c r="P89" s="1033"/>
      <c r="Q89" s="1033"/>
      <c r="R89" s="1033"/>
      <c r="S89" s="1034"/>
      <c r="T89" s="1032"/>
      <c r="U89" s="1033"/>
      <c r="V89" s="1033"/>
      <c r="W89" s="1033"/>
      <c r="X89" s="1033"/>
      <c r="Y89" s="1034"/>
      <c r="Z89" s="1032"/>
      <c r="AA89" s="1033"/>
      <c r="AB89" s="1033"/>
      <c r="AC89" s="1033"/>
      <c r="AD89" s="1033"/>
      <c r="AE89" s="1034"/>
      <c r="AF89" s="1029">
        <v>173663.81</v>
      </c>
      <c r="AG89" s="1030">
        <v>0</v>
      </c>
      <c r="AH89" s="1030">
        <v>0</v>
      </c>
      <c r="AI89" s="1030">
        <v>0</v>
      </c>
      <c r="AJ89" s="1030">
        <v>0</v>
      </c>
      <c r="AK89" s="1031">
        <v>173663.81</v>
      </c>
      <c r="AL89" s="1029">
        <v>861956.37344999984</v>
      </c>
      <c r="AM89" s="1030">
        <v>0</v>
      </c>
      <c r="AN89" s="1030">
        <v>713819.86655000004</v>
      </c>
      <c r="AO89" s="1031">
        <v>1575776.24</v>
      </c>
    </row>
    <row r="90" spans="1:41">
      <c r="A90" s="1021" t="s">
        <v>221</v>
      </c>
      <c r="B90" s="1022" t="s">
        <v>222</v>
      </c>
      <c r="C90" s="1023">
        <f t="shared" si="5"/>
        <v>629259.73899999994</v>
      </c>
      <c r="D90" s="1024">
        <f t="shared" si="6"/>
        <v>512194.48099999997</v>
      </c>
      <c r="E90" s="1024">
        <f t="shared" si="7"/>
        <v>7.0000000000000007E-2</v>
      </c>
      <c r="F90" s="1024">
        <f t="shared" si="8"/>
        <v>0</v>
      </c>
      <c r="G90" s="1025">
        <f t="shared" si="8"/>
        <v>7.0000000000000007E-2</v>
      </c>
      <c r="H90" s="1029">
        <v>-823.82</v>
      </c>
      <c r="I90" s="1030">
        <v>0</v>
      </c>
      <c r="J90" s="1030">
        <v>-791.5</v>
      </c>
      <c r="K90" s="1030">
        <v>0</v>
      </c>
      <c r="L90" s="1030">
        <v>7.0000000000000007E-2</v>
      </c>
      <c r="M90" s="1031">
        <v>-1615.25</v>
      </c>
      <c r="N90" s="1032"/>
      <c r="O90" s="1033"/>
      <c r="P90" s="1033"/>
      <c r="Q90" s="1033"/>
      <c r="R90" s="1033"/>
      <c r="S90" s="1034"/>
      <c r="T90" s="1032"/>
      <c r="U90" s="1033"/>
      <c r="V90" s="1033"/>
      <c r="W90" s="1033"/>
      <c r="X90" s="1033"/>
      <c r="Y90" s="1034"/>
      <c r="Z90" s="1032"/>
      <c r="AA90" s="1033"/>
      <c r="AB90" s="1033"/>
      <c r="AC90" s="1033"/>
      <c r="AD90" s="1033"/>
      <c r="AE90" s="1034"/>
      <c r="AF90" s="1032"/>
      <c r="AG90" s="1033"/>
      <c r="AH90" s="1033"/>
      <c r="AI90" s="1033"/>
      <c r="AJ90" s="1033"/>
      <c r="AK90" s="1034"/>
      <c r="AL90" s="1029">
        <v>630083.55899999989</v>
      </c>
      <c r="AM90" s="1030">
        <v>0</v>
      </c>
      <c r="AN90" s="1030">
        <v>512985.98099999997</v>
      </c>
      <c r="AO90" s="1031">
        <v>1143069.54</v>
      </c>
    </row>
    <row r="91" spans="1:41">
      <c r="A91" s="1021" t="s">
        <v>225</v>
      </c>
      <c r="B91" s="1022" t="s">
        <v>226</v>
      </c>
      <c r="C91" s="1023">
        <f t="shared" si="5"/>
        <v>129568.28767499999</v>
      </c>
      <c r="D91" s="1024">
        <f t="shared" si="6"/>
        <v>93695.992324999999</v>
      </c>
      <c r="E91" s="1024">
        <f t="shared" si="7"/>
        <v>0</v>
      </c>
      <c r="F91" s="1024">
        <f t="shared" si="8"/>
        <v>0</v>
      </c>
      <c r="G91" s="1025">
        <f t="shared" si="8"/>
        <v>0</v>
      </c>
      <c r="H91" s="1032"/>
      <c r="I91" s="1033"/>
      <c r="J91" s="1033"/>
      <c r="K91" s="1033"/>
      <c r="L91" s="1033"/>
      <c r="M91" s="1034"/>
      <c r="N91" s="1032"/>
      <c r="O91" s="1033"/>
      <c r="P91" s="1033"/>
      <c r="Q91" s="1033"/>
      <c r="R91" s="1033"/>
      <c r="S91" s="1034"/>
      <c r="T91" s="1032"/>
      <c r="U91" s="1033"/>
      <c r="V91" s="1033"/>
      <c r="W91" s="1033"/>
      <c r="X91" s="1033"/>
      <c r="Y91" s="1034"/>
      <c r="Z91" s="1032"/>
      <c r="AA91" s="1033"/>
      <c r="AB91" s="1033"/>
      <c r="AC91" s="1033"/>
      <c r="AD91" s="1033"/>
      <c r="AE91" s="1034"/>
      <c r="AF91" s="1029">
        <v>28548.97</v>
      </c>
      <c r="AG91" s="1030">
        <v>0</v>
      </c>
      <c r="AH91" s="1030">
        <v>0</v>
      </c>
      <c r="AI91" s="1030">
        <v>0</v>
      </c>
      <c r="AJ91" s="1030">
        <v>0</v>
      </c>
      <c r="AK91" s="1031">
        <v>28548.97</v>
      </c>
      <c r="AL91" s="1029">
        <v>101019.31767499998</v>
      </c>
      <c r="AM91" s="1030">
        <v>0</v>
      </c>
      <c r="AN91" s="1030">
        <v>93695.992324999999</v>
      </c>
      <c r="AO91" s="1031">
        <v>194715.31</v>
      </c>
    </row>
    <row r="92" spans="1:41">
      <c r="A92" s="1021" t="s">
        <v>227</v>
      </c>
      <c r="B92" s="1022" t="s">
        <v>228</v>
      </c>
      <c r="C92" s="1023">
        <f t="shared" si="5"/>
        <v>136333.38672499999</v>
      </c>
      <c r="D92" s="1024">
        <f t="shared" si="6"/>
        <v>91667.173274999994</v>
      </c>
      <c r="E92" s="1024">
        <f t="shared" si="7"/>
        <v>0</v>
      </c>
      <c r="F92" s="1024">
        <f t="shared" si="8"/>
        <v>0</v>
      </c>
      <c r="G92" s="1025">
        <f t="shared" si="8"/>
        <v>0</v>
      </c>
      <c r="H92" s="1029">
        <v>-1593.34</v>
      </c>
      <c r="I92" s="1030">
        <v>0</v>
      </c>
      <c r="J92" s="1030">
        <v>-1530.86</v>
      </c>
      <c r="K92" s="1030">
        <v>0</v>
      </c>
      <c r="L92" s="1030">
        <v>0</v>
      </c>
      <c r="M92" s="1031">
        <v>-3124.2</v>
      </c>
      <c r="N92" s="1029">
        <v>224.09</v>
      </c>
      <c r="O92" s="1030">
        <v>0</v>
      </c>
      <c r="P92" s="1030">
        <v>215.3</v>
      </c>
      <c r="Q92" s="1030">
        <v>0</v>
      </c>
      <c r="R92" s="1030">
        <v>0</v>
      </c>
      <c r="S92" s="1031">
        <v>439.39</v>
      </c>
      <c r="T92" s="1032"/>
      <c r="U92" s="1033"/>
      <c r="V92" s="1033"/>
      <c r="W92" s="1033"/>
      <c r="X92" s="1033"/>
      <c r="Y92" s="1034"/>
      <c r="Z92" s="1032"/>
      <c r="AA92" s="1033"/>
      <c r="AB92" s="1033"/>
      <c r="AC92" s="1033"/>
      <c r="AD92" s="1033"/>
      <c r="AE92" s="1034"/>
      <c r="AF92" s="1032"/>
      <c r="AG92" s="1033"/>
      <c r="AH92" s="1033"/>
      <c r="AI92" s="1033"/>
      <c r="AJ92" s="1033"/>
      <c r="AK92" s="1034"/>
      <c r="AL92" s="1029">
        <v>137702.63672499999</v>
      </c>
      <c r="AM92" s="1030">
        <v>0</v>
      </c>
      <c r="AN92" s="1030">
        <v>92982.733274999991</v>
      </c>
      <c r="AO92" s="1031">
        <v>230685.37</v>
      </c>
    </row>
    <row r="93" spans="1:41">
      <c r="A93" s="1021" t="s">
        <v>229</v>
      </c>
      <c r="B93" s="1022" t="s">
        <v>230</v>
      </c>
      <c r="C93" s="1023">
        <f t="shared" si="5"/>
        <v>448829.93862499995</v>
      </c>
      <c r="D93" s="1024">
        <f t="shared" si="6"/>
        <v>321745.33137499995</v>
      </c>
      <c r="E93" s="1024">
        <f t="shared" si="7"/>
        <v>489.8</v>
      </c>
      <c r="F93" s="1024">
        <f t="shared" si="8"/>
        <v>0</v>
      </c>
      <c r="G93" s="1025">
        <f t="shared" si="8"/>
        <v>489.8</v>
      </c>
      <c r="H93" s="1029">
        <v>-1939.54</v>
      </c>
      <c r="I93" s="1030">
        <v>0</v>
      </c>
      <c r="J93" s="1030">
        <v>-1863.47</v>
      </c>
      <c r="K93" s="1030">
        <v>0</v>
      </c>
      <c r="L93" s="1030">
        <v>0</v>
      </c>
      <c r="M93" s="1031">
        <v>-3803.01</v>
      </c>
      <c r="N93" s="1029">
        <v>255</v>
      </c>
      <c r="O93" s="1030">
        <v>0</v>
      </c>
      <c r="P93" s="1030">
        <v>245</v>
      </c>
      <c r="Q93" s="1030">
        <v>0</v>
      </c>
      <c r="R93" s="1030">
        <v>489.8</v>
      </c>
      <c r="S93" s="1031">
        <v>989.8</v>
      </c>
      <c r="T93" s="1029">
        <v>0</v>
      </c>
      <c r="U93" s="1030">
        <v>0</v>
      </c>
      <c r="V93" s="1030">
        <v>-761.3</v>
      </c>
      <c r="W93" s="1030">
        <v>0</v>
      </c>
      <c r="X93" s="1030">
        <v>0</v>
      </c>
      <c r="Y93" s="1031">
        <v>-761.3</v>
      </c>
      <c r="Z93" s="1032"/>
      <c r="AA93" s="1033"/>
      <c r="AB93" s="1033"/>
      <c r="AC93" s="1033"/>
      <c r="AD93" s="1033"/>
      <c r="AE93" s="1034"/>
      <c r="AF93" s="1032"/>
      <c r="AG93" s="1033"/>
      <c r="AH93" s="1033"/>
      <c r="AI93" s="1033"/>
      <c r="AJ93" s="1033"/>
      <c r="AK93" s="1034"/>
      <c r="AL93" s="1029">
        <v>450514.47862499993</v>
      </c>
      <c r="AM93" s="1030">
        <v>0</v>
      </c>
      <c r="AN93" s="1030">
        <v>324125.10137499997</v>
      </c>
      <c r="AO93" s="1031">
        <v>774639.58</v>
      </c>
    </row>
    <row r="94" spans="1:41">
      <c r="A94" s="1021" t="s">
        <v>233</v>
      </c>
      <c r="B94" s="1022" t="s">
        <v>234</v>
      </c>
      <c r="C94" s="1023">
        <f t="shared" si="5"/>
        <v>261589.57845</v>
      </c>
      <c r="D94" s="1024">
        <f t="shared" si="6"/>
        <v>226894.76155</v>
      </c>
      <c r="E94" s="1024">
        <f t="shared" si="7"/>
        <v>0</v>
      </c>
      <c r="F94" s="1024">
        <f t="shared" si="8"/>
        <v>0</v>
      </c>
      <c r="G94" s="1025">
        <f t="shared" si="8"/>
        <v>0</v>
      </c>
      <c r="H94" s="1029">
        <v>-702.27</v>
      </c>
      <c r="I94" s="1030">
        <v>0</v>
      </c>
      <c r="J94" s="1030">
        <v>-674.73</v>
      </c>
      <c r="K94" s="1030">
        <v>0</v>
      </c>
      <c r="L94" s="1030">
        <v>0</v>
      </c>
      <c r="M94" s="1031">
        <v>-1377</v>
      </c>
      <c r="N94" s="1032"/>
      <c r="O94" s="1033"/>
      <c r="P94" s="1033"/>
      <c r="Q94" s="1033"/>
      <c r="R94" s="1033"/>
      <c r="S94" s="1034"/>
      <c r="T94" s="1032"/>
      <c r="U94" s="1033"/>
      <c r="V94" s="1033"/>
      <c r="W94" s="1033"/>
      <c r="X94" s="1033"/>
      <c r="Y94" s="1034"/>
      <c r="Z94" s="1032"/>
      <c r="AA94" s="1033"/>
      <c r="AB94" s="1033"/>
      <c r="AC94" s="1033"/>
      <c r="AD94" s="1033"/>
      <c r="AE94" s="1034"/>
      <c r="AF94" s="1032"/>
      <c r="AG94" s="1033"/>
      <c r="AH94" s="1033"/>
      <c r="AI94" s="1033"/>
      <c r="AJ94" s="1033"/>
      <c r="AK94" s="1034"/>
      <c r="AL94" s="1029">
        <v>262291.84844999999</v>
      </c>
      <c r="AM94" s="1030">
        <v>0</v>
      </c>
      <c r="AN94" s="1030">
        <v>227569.49155000001</v>
      </c>
      <c r="AO94" s="1031">
        <v>489861.34</v>
      </c>
    </row>
    <row r="95" spans="1:41">
      <c r="A95" s="1021" t="s">
        <v>235</v>
      </c>
      <c r="B95" s="1022" t="s">
        <v>236</v>
      </c>
      <c r="C95" s="1023">
        <f t="shared" si="5"/>
        <v>381574.231225</v>
      </c>
      <c r="D95" s="1024">
        <f t="shared" si="6"/>
        <v>256972.56877499999</v>
      </c>
      <c r="E95" s="1024">
        <f t="shared" si="7"/>
        <v>-13164.510000000002</v>
      </c>
      <c r="F95" s="1024">
        <f t="shared" si="8"/>
        <v>8121.8</v>
      </c>
      <c r="G95" s="1025">
        <f t="shared" si="8"/>
        <v>-21286.31</v>
      </c>
      <c r="H95" s="1029">
        <v>349.86</v>
      </c>
      <c r="I95" s="1030">
        <v>0</v>
      </c>
      <c r="J95" s="1030">
        <v>336.14</v>
      </c>
      <c r="K95" s="1030">
        <v>0</v>
      </c>
      <c r="L95" s="1030">
        <v>0</v>
      </c>
      <c r="M95" s="1031">
        <v>686</v>
      </c>
      <c r="N95" s="1032"/>
      <c r="O95" s="1033"/>
      <c r="P95" s="1033"/>
      <c r="Q95" s="1033"/>
      <c r="R95" s="1033"/>
      <c r="S95" s="1034"/>
      <c r="T95" s="1032"/>
      <c r="U95" s="1033"/>
      <c r="V95" s="1033"/>
      <c r="W95" s="1033"/>
      <c r="X95" s="1033"/>
      <c r="Y95" s="1034"/>
      <c r="Z95" s="1029">
        <v>22561.23</v>
      </c>
      <c r="AA95" s="1030">
        <v>0</v>
      </c>
      <c r="AB95" s="1030">
        <v>0</v>
      </c>
      <c r="AC95" s="1030">
        <v>8121.8</v>
      </c>
      <c r="AD95" s="1030">
        <v>-21286.31</v>
      </c>
      <c r="AE95" s="1031">
        <v>9396.7199999999993</v>
      </c>
      <c r="AF95" s="1032"/>
      <c r="AG95" s="1033"/>
      <c r="AH95" s="1033"/>
      <c r="AI95" s="1033"/>
      <c r="AJ95" s="1033"/>
      <c r="AK95" s="1034"/>
      <c r="AL95" s="1029">
        <v>358663.14122499997</v>
      </c>
      <c r="AM95" s="1030">
        <v>0</v>
      </c>
      <c r="AN95" s="1030">
        <v>256636.42877499998</v>
      </c>
      <c r="AO95" s="1031">
        <v>615299.56999999995</v>
      </c>
    </row>
    <row r="96" spans="1:41">
      <c r="A96" s="1021" t="s">
        <v>237</v>
      </c>
      <c r="B96" s="1022" t="s">
        <v>238</v>
      </c>
      <c r="C96" s="1023">
        <f t="shared" si="5"/>
        <v>173607.79142499997</v>
      </c>
      <c r="D96" s="1024">
        <f t="shared" si="6"/>
        <v>129726.43857499999</v>
      </c>
      <c r="E96" s="1024">
        <f t="shared" si="7"/>
        <v>0</v>
      </c>
      <c r="F96" s="1024">
        <f t="shared" si="8"/>
        <v>0</v>
      </c>
      <c r="G96" s="1025">
        <f t="shared" si="8"/>
        <v>0</v>
      </c>
      <c r="H96" s="1029">
        <v>-320.82</v>
      </c>
      <c r="I96" s="1030">
        <v>0</v>
      </c>
      <c r="J96" s="1030">
        <v>-308.24</v>
      </c>
      <c r="K96" s="1030">
        <v>0</v>
      </c>
      <c r="L96" s="1030">
        <v>0</v>
      </c>
      <c r="M96" s="1031">
        <v>-629.05999999999995</v>
      </c>
      <c r="N96" s="1032"/>
      <c r="O96" s="1033"/>
      <c r="P96" s="1033"/>
      <c r="Q96" s="1033"/>
      <c r="R96" s="1033"/>
      <c r="S96" s="1034"/>
      <c r="T96" s="1032"/>
      <c r="U96" s="1033"/>
      <c r="V96" s="1033"/>
      <c r="W96" s="1033"/>
      <c r="X96" s="1033"/>
      <c r="Y96" s="1034"/>
      <c r="Z96" s="1032"/>
      <c r="AA96" s="1033"/>
      <c r="AB96" s="1033"/>
      <c r="AC96" s="1033"/>
      <c r="AD96" s="1033"/>
      <c r="AE96" s="1034"/>
      <c r="AF96" s="1032"/>
      <c r="AG96" s="1033"/>
      <c r="AH96" s="1033"/>
      <c r="AI96" s="1033"/>
      <c r="AJ96" s="1033"/>
      <c r="AK96" s="1034"/>
      <c r="AL96" s="1029">
        <v>173928.61142499998</v>
      </c>
      <c r="AM96" s="1030">
        <v>0</v>
      </c>
      <c r="AN96" s="1030">
        <v>130034.678575</v>
      </c>
      <c r="AO96" s="1031">
        <v>303963.29000000004</v>
      </c>
    </row>
    <row r="97" spans="1:41">
      <c r="A97" s="1021" t="s">
        <v>243</v>
      </c>
      <c r="B97" s="1022" t="s">
        <v>244</v>
      </c>
      <c r="C97" s="1023">
        <f t="shared" si="5"/>
        <v>734864.18769999989</v>
      </c>
      <c r="D97" s="1024">
        <f t="shared" si="6"/>
        <v>533726.38229999994</v>
      </c>
      <c r="E97" s="1024">
        <f t="shared" si="7"/>
        <v>0</v>
      </c>
      <c r="F97" s="1024">
        <f t="shared" si="8"/>
        <v>0</v>
      </c>
      <c r="G97" s="1025">
        <f t="shared" si="8"/>
        <v>0</v>
      </c>
      <c r="H97" s="1029">
        <v>-2136.2800000000002</v>
      </c>
      <c r="I97" s="1030">
        <v>0</v>
      </c>
      <c r="J97" s="1030">
        <v>-2052.52</v>
      </c>
      <c r="K97" s="1030">
        <v>0</v>
      </c>
      <c r="L97" s="1030">
        <v>0</v>
      </c>
      <c r="M97" s="1031">
        <v>-4188.8</v>
      </c>
      <c r="N97" s="1032"/>
      <c r="O97" s="1033"/>
      <c r="P97" s="1033"/>
      <c r="Q97" s="1033"/>
      <c r="R97" s="1033"/>
      <c r="S97" s="1034"/>
      <c r="T97" s="1032"/>
      <c r="U97" s="1033"/>
      <c r="V97" s="1033"/>
      <c r="W97" s="1033"/>
      <c r="X97" s="1033"/>
      <c r="Y97" s="1034"/>
      <c r="Z97" s="1032"/>
      <c r="AA97" s="1033"/>
      <c r="AB97" s="1033"/>
      <c r="AC97" s="1033"/>
      <c r="AD97" s="1033"/>
      <c r="AE97" s="1034"/>
      <c r="AF97" s="1032"/>
      <c r="AG97" s="1033"/>
      <c r="AH97" s="1033"/>
      <c r="AI97" s="1033"/>
      <c r="AJ97" s="1033"/>
      <c r="AK97" s="1034"/>
      <c r="AL97" s="1029">
        <v>737000.46769999992</v>
      </c>
      <c r="AM97" s="1030">
        <v>0</v>
      </c>
      <c r="AN97" s="1030">
        <v>535778.90229999996</v>
      </c>
      <c r="AO97" s="1031">
        <v>1272779.3699999999</v>
      </c>
    </row>
    <row r="98" spans="1:41">
      <c r="A98" s="1021" t="s">
        <v>245</v>
      </c>
      <c r="B98" s="1022" t="s">
        <v>246</v>
      </c>
      <c r="C98" s="1023">
        <f t="shared" si="5"/>
        <v>239379.46599999996</v>
      </c>
      <c r="D98" s="1024">
        <f t="shared" si="6"/>
        <v>182708.22399999999</v>
      </c>
      <c r="E98" s="1024">
        <f t="shared" si="7"/>
        <v>-398.75</v>
      </c>
      <c r="F98" s="1024">
        <f t="shared" si="8"/>
        <v>0</v>
      </c>
      <c r="G98" s="1025">
        <f t="shared" si="8"/>
        <v>-398.75</v>
      </c>
      <c r="H98" s="1029">
        <v>-894.46</v>
      </c>
      <c r="I98" s="1030">
        <v>0</v>
      </c>
      <c r="J98" s="1030">
        <v>-859.37</v>
      </c>
      <c r="K98" s="1030">
        <v>0</v>
      </c>
      <c r="L98" s="1030">
        <v>-398.75</v>
      </c>
      <c r="M98" s="1031">
        <v>-2152.58</v>
      </c>
      <c r="N98" s="1032"/>
      <c r="O98" s="1033"/>
      <c r="P98" s="1033"/>
      <c r="Q98" s="1033"/>
      <c r="R98" s="1033"/>
      <c r="S98" s="1034"/>
      <c r="T98" s="1032"/>
      <c r="U98" s="1033"/>
      <c r="V98" s="1033"/>
      <c r="W98" s="1033"/>
      <c r="X98" s="1033"/>
      <c r="Y98" s="1034"/>
      <c r="Z98" s="1032"/>
      <c r="AA98" s="1033"/>
      <c r="AB98" s="1033"/>
      <c r="AC98" s="1033"/>
      <c r="AD98" s="1033"/>
      <c r="AE98" s="1034"/>
      <c r="AF98" s="1032"/>
      <c r="AG98" s="1033"/>
      <c r="AH98" s="1033"/>
      <c r="AI98" s="1033"/>
      <c r="AJ98" s="1033"/>
      <c r="AK98" s="1034"/>
      <c r="AL98" s="1029">
        <v>240273.92599999995</v>
      </c>
      <c r="AM98" s="1030">
        <v>0</v>
      </c>
      <c r="AN98" s="1030">
        <v>183567.59399999998</v>
      </c>
      <c r="AO98" s="1031">
        <v>423841.51999999996</v>
      </c>
    </row>
    <row r="99" spans="1:41">
      <c r="A99" s="1021" t="s">
        <v>247</v>
      </c>
      <c r="B99" s="1022" t="s">
        <v>389</v>
      </c>
      <c r="C99" s="1023">
        <f t="shared" si="5"/>
        <v>377795.434725</v>
      </c>
      <c r="D99" s="1024">
        <f t="shared" si="6"/>
        <v>247239.53527500003</v>
      </c>
      <c r="E99" s="1024">
        <f t="shared" si="7"/>
        <v>0</v>
      </c>
      <c r="F99" s="1024">
        <f t="shared" si="8"/>
        <v>0</v>
      </c>
      <c r="G99" s="1025">
        <f t="shared" si="8"/>
        <v>0</v>
      </c>
      <c r="H99" s="1029">
        <v>-236.64</v>
      </c>
      <c r="I99" s="1030">
        <v>0</v>
      </c>
      <c r="J99" s="1030">
        <v>-227.36</v>
      </c>
      <c r="K99" s="1030">
        <v>0</v>
      </c>
      <c r="L99" s="1030">
        <v>0</v>
      </c>
      <c r="M99" s="1031">
        <v>-464</v>
      </c>
      <c r="N99" s="1032"/>
      <c r="O99" s="1033"/>
      <c r="P99" s="1033"/>
      <c r="Q99" s="1033"/>
      <c r="R99" s="1033"/>
      <c r="S99" s="1034"/>
      <c r="T99" s="1032"/>
      <c r="U99" s="1033"/>
      <c r="V99" s="1033"/>
      <c r="W99" s="1033"/>
      <c r="X99" s="1033"/>
      <c r="Y99" s="1034"/>
      <c r="Z99" s="1032"/>
      <c r="AA99" s="1033"/>
      <c r="AB99" s="1033"/>
      <c r="AC99" s="1033"/>
      <c r="AD99" s="1033"/>
      <c r="AE99" s="1034"/>
      <c r="AF99" s="1032"/>
      <c r="AG99" s="1033"/>
      <c r="AH99" s="1033"/>
      <c r="AI99" s="1033"/>
      <c r="AJ99" s="1033"/>
      <c r="AK99" s="1034"/>
      <c r="AL99" s="1029">
        <v>378032.07472500001</v>
      </c>
      <c r="AM99" s="1030">
        <v>0</v>
      </c>
      <c r="AN99" s="1030">
        <v>247466.89527500002</v>
      </c>
      <c r="AO99" s="1031">
        <v>625498.97</v>
      </c>
    </row>
    <row r="100" spans="1:41">
      <c r="A100" s="1021" t="s">
        <v>14</v>
      </c>
      <c r="B100" s="1022" t="s">
        <v>15</v>
      </c>
      <c r="C100" s="1023">
        <f t="shared" si="5"/>
        <v>1225601.8857749996</v>
      </c>
      <c r="D100" s="1024">
        <f t="shared" si="6"/>
        <v>827425.2242249999</v>
      </c>
      <c r="E100" s="1024">
        <f t="shared" si="7"/>
        <v>0</v>
      </c>
      <c r="F100" s="1024">
        <f t="shared" si="8"/>
        <v>0</v>
      </c>
      <c r="G100" s="1025">
        <f t="shared" si="8"/>
        <v>0</v>
      </c>
      <c r="H100" s="1029">
        <v>-350.88</v>
      </c>
      <c r="I100" s="1030">
        <v>0</v>
      </c>
      <c r="J100" s="1030">
        <v>-337.11</v>
      </c>
      <c r="K100" s="1030">
        <v>0</v>
      </c>
      <c r="L100" s="1030">
        <v>0</v>
      </c>
      <c r="M100" s="1031">
        <v>-687.99</v>
      </c>
      <c r="N100" s="1032"/>
      <c r="O100" s="1033"/>
      <c r="P100" s="1033"/>
      <c r="Q100" s="1033"/>
      <c r="R100" s="1033"/>
      <c r="S100" s="1034"/>
      <c r="T100" s="1032"/>
      <c r="U100" s="1033"/>
      <c r="V100" s="1033"/>
      <c r="W100" s="1033"/>
      <c r="X100" s="1033"/>
      <c r="Y100" s="1034"/>
      <c r="Z100" s="1032"/>
      <c r="AA100" s="1033"/>
      <c r="AB100" s="1033"/>
      <c r="AC100" s="1033"/>
      <c r="AD100" s="1033"/>
      <c r="AE100" s="1034"/>
      <c r="AF100" s="1029">
        <v>31477.27</v>
      </c>
      <c r="AG100" s="1030">
        <v>0</v>
      </c>
      <c r="AH100" s="1030">
        <v>0</v>
      </c>
      <c r="AI100" s="1030">
        <v>0</v>
      </c>
      <c r="AJ100" s="1030">
        <v>0</v>
      </c>
      <c r="AK100" s="1031">
        <v>31477.27</v>
      </c>
      <c r="AL100" s="1029">
        <v>1194475.4957749997</v>
      </c>
      <c r="AM100" s="1030">
        <v>0</v>
      </c>
      <c r="AN100" s="1030">
        <v>827762.33422499988</v>
      </c>
      <c r="AO100" s="1031">
        <v>2022237.8299999998</v>
      </c>
    </row>
    <row r="101" spans="1:41">
      <c r="A101" s="1021" t="s">
        <v>35</v>
      </c>
      <c r="B101" s="1022" t="s">
        <v>36</v>
      </c>
      <c r="C101" s="1023">
        <f t="shared" si="5"/>
        <v>533898.45657499996</v>
      </c>
      <c r="D101" s="1024">
        <f t="shared" si="6"/>
        <v>459306.84342499997</v>
      </c>
      <c r="E101" s="1024">
        <f t="shared" si="7"/>
        <v>0</v>
      </c>
      <c r="F101" s="1024">
        <f t="shared" si="8"/>
        <v>0</v>
      </c>
      <c r="G101" s="1025">
        <f t="shared" si="8"/>
        <v>0</v>
      </c>
      <c r="H101" s="1029">
        <v>428.4</v>
      </c>
      <c r="I101" s="1030">
        <v>0</v>
      </c>
      <c r="J101" s="1030">
        <v>411.6</v>
      </c>
      <c r="K101" s="1030">
        <v>0</v>
      </c>
      <c r="L101" s="1030">
        <v>0</v>
      </c>
      <c r="M101" s="1031">
        <v>840</v>
      </c>
      <c r="N101" s="1032"/>
      <c r="O101" s="1033"/>
      <c r="P101" s="1033"/>
      <c r="Q101" s="1033"/>
      <c r="R101" s="1033"/>
      <c r="S101" s="1034"/>
      <c r="T101" s="1029">
        <v>0</v>
      </c>
      <c r="U101" s="1030">
        <v>0</v>
      </c>
      <c r="V101" s="1030">
        <v>-2417.16</v>
      </c>
      <c r="W101" s="1030">
        <v>0</v>
      </c>
      <c r="X101" s="1030">
        <v>0</v>
      </c>
      <c r="Y101" s="1031">
        <v>-2417.16</v>
      </c>
      <c r="Z101" s="1032"/>
      <c r="AA101" s="1033"/>
      <c r="AB101" s="1033"/>
      <c r="AC101" s="1033"/>
      <c r="AD101" s="1033"/>
      <c r="AE101" s="1034"/>
      <c r="AF101" s="1032"/>
      <c r="AG101" s="1033"/>
      <c r="AH101" s="1033"/>
      <c r="AI101" s="1033"/>
      <c r="AJ101" s="1033"/>
      <c r="AK101" s="1034"/>
      <c r="AL101" s="1029">
        <v>533470.05657499994</v>
      </c>
      <c r="AM101" s="1030">
        <v>0</v>
      </c>
      <c r="AN101" s="1030">
        <v>461312.40342499997</v>
      </c>
      <c r="AO101" s="1031">
        <v>994782.46</v>
      </c>
    </row>
    <row r="102" spans="1:41">
      <c r="A102" s="1021" t="s">
        <v>53</v>
      </c>
      <c r="B102" s="1022" t="s">
        <v>54</v>
      </c>
      <c r="C102" s="1023">
        <f t="shared" si="5"/>
        <v>892622.18269999989</v>
      </c>
      <c r="D102" s="1024">
        <f t="shared" si="6"/>
        <v>637595.14729999995</v>
      </c>
      <c r="E102" s="1024">
        <f t="shared" si="7"/>
        <v>25643.79</v>
      </c>
      <c r="F102" s="1024">
        <f t="shared" si="8"/>
        <v>0</v>
      </c>
      <c r="G102" s="1025">
        <f t="shared" si="8"/>
        <v>25643.79</v>
      </c>
      <c r="H102" s="1029">
        <v>2807.91</v>
      </c>
      <c r="I102" s="1030">
        <v>0</v>
      </c>
      <c r="J102" s="1030">
        <v>2697.78</v>
      </c>
      <c r="K102" s="1030">
        <v>0</v>
      </c>
      <c r="L102" s="1030">
        <v>0</v>
      </c>
      <c r="M102" s="1031">
        <v>5505.69</v>
      </c>
      <c r="N102" s="1029">
        <v>504.34</v>
      </c>
      <c r="O102" s="1030">
        <v>0</v>
      </c>
      <c r="P102" s="1030">
        <v>484.56</v>
      </c>
      <c r="Q102" s="1030">
        <v>0</v>
      </c>
      <c r="R102" s="1030">
        <v>0</v>
      </c>
      <c r="S102" s="1031">
        <v>988.9</v>
      </c>
      <c r="T102" s="1029">
        <v>0</v>
      </c>
      <c r="U102" s="1030">
        <v>0</v>
      </c>
      <c r="V102" s="1030">
        <v>1689.58</v>
      </c>
      <c r="W102" s="1030">
        <v>0</v>
      </c>
      <c r="X102" s="1030">
        <v>0</v>
      </c>
      <c r="Y102" s="1031">
        <v>1689.58</v>
      </c>
      <c r="Z102" s="1029">
        <v>0</v>
      </c>
      <c r="AA102" s="1030">
        <v>0</v>
      </c>
      <c r="AB102" s="1030">
        <v>0</v>
      </c>
      <c r="AC102" s="1030">
        <v>0</v>
      </c>
      <c r="AD102" s="1030">
        <v>25643.79</v>
      </c>
      <c r="AE102" s="1031">
        <v>25643.79</v>
      </c>
      <c r="AF102" s="1029">
        <v>13140.11</v>
      </c>
      <c r="AG102" s="1030">
        <v>0</v>
      </c>
      <c r="AH102" s="1030">
        <v>0</v>
      </c>
      <c r="AI102" s="1030">
        <v>0</v>
      </c>
      <c r="AJ102" s="1030">
        <v>0</v>
      </c>
      <c r="AK102" s="1031">
        <v>13140.11</v>
      </c>
      <c r="AL102" s="1029">
        <v>876169.8226999999</v>
      </c>
      <c r="AM102" s="1030">
        <v>0</v>
      </c>
      <c r="AN102" s="1030">
        <v>632723.22729999991</v>
      </c>
      <c r="AO102" s="1031">
        <v>1508893.0499999998</v>
      </c>
    </row>
    <row r="103" spans="1:41">
      <c r="A103" s="1021" t="s">
        <v>55</v>
      </c>
      <c r="B103" s="1022" t="s">
        <v>56</v>
      </c>
      <c r="C103" s="1023">
        <f t="shared" si="5"/>
        <v>2579831.4483499997</v>
      </c>
      <c r="D103" s="1024">
        <f t="shared" si="6"/>
        <v>1535099.5016499998</v>
      </c>
      <c r="E103" s="1024">
        <f t="shared" si="7"/>
        <v>-2704.06</v>
      </c>
      <c r="F103" s="1024">
        <f t="shared" si="8"/>
        <v>0</v>
      </c>
      <c r="G103" s="1025">
        <f t="shared" si="8"/>
        <v>-2704.06</v>
      </c>
      <c r="H103" s="1029">
        <v>-2271.08</v>
      </c>
      <c r="I103" s="1030">
        <v>0</v>
      </c>
      <c r="J103" s="1030">
        <v>-2182.0100000000002</v>
      </c>
      <c r="K103" s="1030">
        <v>0</v>
      </c>
      <c r="L103" s="1030">
        <v>-2704.06</v>
      </c>
      <c r="M103" s="1031">
        <v>-7157.15</v>
      </c>
      <c r="N103" s="1032"/>
      <c r="O103" s="1033"/>
      <c r="P103" s="1033"/>
      <c r="Q103" s="1033"/>
      <c r="R103" s="1033"/>
      <c r="S103" s="1034"/>
      <c r="T103" s="1032"/>
      <c r="U103" s="1033"/>
      <c r="V103" s="1033"/>
      <c r="W103" s="1033"/>
      <c r="X103" s="1033"/>
      <c r="Y103" s="1034"/>
      <c r="Z103" s="1032"/>
      <c r="AA103" s="1033"/>
      <c r="AB103" s="1033"/>
      <c r="AC103" s="1033"/>
      <c r="AD103" s="1033"/>
      <c r="AE103" s="1034"/>
      <c r="AF103" s="1032"/>
      <c r="AG103" s="1033"/>
      <c r="AH103" s="1033"/>
      <c r="AI103" s="1033"/>
      <c r="AJ103" s="1033"/>
      <c r="AK103" s="1034"/>
      <c r="AL103" s="1029">
        <v>2582102.5283499998</v>
      </c>
      <c r="AM103" s="1030">
        <v>0</v>
      </c>
      <c r="AN103" s="1030">
        <v>1537281.5116499998</v>
      </c>
      <c r="AO103" s="1031">
        <v>4119384.0399999996</v>
      </c>
    </row>
    <row r="104" spans="1:41">
      <c r="A104" s="1021" t="s">
        <v>67</v>
      </c>
      <c r="B104" s="1022" t="s">
        <v>68</v>
      </c>
      <c r="C104" s="1023">
        <f t="shared" si="5"/>
        <v>818185.13764999993</v>
      </c>
      <c r="D104" s="1024">
        <f t="shared" si="6"/>
        <v>497288.63235000003</v>
      </c>
      <c r="E104" s="1024">
        <f t="shared" si="7"/>
        <v>0</v>
      </c>
      <c r="F104" s="1024">
        <f t="shared" si="8"/>
        <v>0</v>
      </c>
      <c r="G104" s="1025">
        <f t="shared" si="8"/>
        <v>0</v>
      </c>
      <c r="H104" s="1029">
        <v>-875.52</v>
      </c>
      <c r="I104" s="1030">
        <v>0</v>
      </c>
      <c r="J104" s="1030">
        <v>-841.18</v>
      </c>
      <c r="K104" s="1030">
        <v>0</v>
      </c>
      <c r="L104" s="1030">
        <v>0</v>
      </c>
      <c r="M104" s="1031">
        <v>-1716.7</v>
      </c>
      <c r="N104" s="1032"/>
      <c r="O104" s="1033"/>
      <c r="P104" s="1033"/>
      <c r="Q104" s="1033"/>
      <c r="R104" s="1033"/>
      <c r="S104" s="1034"/>
      <c r="T104" s="1032"/>
      <c r="U104" s="1033"/>
      <c r="V104" s="1033"/>
      <c r="W104" s="1033"/>
      <c r="X104" s="1033"/>
      <c r="Y104" s="1034"/>
      <c r="Z104" s="1032"/>
      <c r="AA104" s="1033"/>
      <c r="AB104" s="1033"/>
      <c r="AC104" s="1033"/>
      <c r="AD104" s="1033"/>
      <c r="AE104" s="1034"/>
      <c r="AF104" s="1032"/>
      <c r="AG104" s="1033"/>
      <c r="AH104" s="1033"/>
      <c r="AI104" s="1033"/>
      <c r="AJ104" s="1033"/>
      <c r="AK104" s="1034"/>
      <c r="AL104" s="1029">
        <v>819060.65764999995</v>
      </c>
      <c r="AM104" s="1030">
        <v>0</v>
      </c>
      <c r="AN104" s="1030">
        <v>498129.81235000002</v>
      </c>
      <c r="AO104" s="1031">
        <v>1317190.47</v>
      </c>
    </row>
    <row r="105" spans="1:41">
      <c r="A105" s="1021" t="s">
        <v>83</v>
      </c>
      <c r="B105" s="1022" t="s">
        <v>390</v>
      </c>
      <c r="C105" s="1023">
        <f t="shared" si="5"/>
        <v>169583.29819999996</v>
      </c>
      <c r="D105" s="1024">
        <f t="shared" si="6"/>
        <v>117244.56179999998</v>
      </c>
      <c r="E105" s="1024">
        <f t="shared" si="7"/>
        <v>0</v>
      </c>
      <c r="F105" s="1024">
        <f t="shared" si="8"/>
        <v>0</v>
      </c>
      <c r="G105" s="1025">
        <f t="shared" si="8"/>
        <v>0</v>
      </c>
      <c r="H105" s="1029">
        <v>62.86</v>
      </c>
      <c r="I105" s="1030">
        <v>0</v>
      </c>
      <c r="J105" s="1030">
        <v>60.39</v>
      </c>
      <c r="K105" s="1030">
        <v>0</v>
      </c>
      <c r="L105" s="1030">
        <v>0</v>
      </c>
      <c r="M105" s="1031">
        <v>123.25</v>
      </c>
      <c r="N105" s="1032"/>
      <c r="O105" s="1033"/>
      <c r="P105" s="1033"/>
      <c r="Q105" s="1033"/>
      <c r="R105" s="1033"/>
      <c r="S105" s="1034"/>
      <c r="T105" s="1032"/>
      <c r="U105" s="1033"/>
      <c r="V105" s="1033"/>
      <c r="W105" s="1033"/>
      <c r="X105" s="1033"/>
      <c r="Y105" s="1034"/>
      <c r="Z105" s="1032"/>
      <c r="AA105" s="1033"/>
      <c r="AB105" s="1033"/>
      <c r="AC105" s="1033"/>
      <c r="AD105" s="1033"/>
      <c r="AE105" s="1034"/>
      <c r="AF105" s="1032"/>
      <c r="AG105" s="1033"/>
      <c r="AH105" s="1033"/>
      <c r="AI105" s="1033"/>
      <c r="AJ105" s="1033"/>
      <c r="AK105" s="1034"/>
      <c r="AL105" s="1029">
        <v>169520.43819999998</v>
      </c>
      <c r="AM105" s="1030">
        <v>0</v>
      </c>
      <c r="AN105" s="1030">
        <v>117184.17179999998</v>
      </c>
      <c r="AO105" s="1031">
        <v>286704.61</v>
      </c>
    </row>
    <row r="106" spans="1:41">
      <c r="A106" s="1021" t="s">
        <v>89</v>
      </c>
      <c r="B106" s="1022" t="s">
        <v>90</v>
      </c>
      <c r="C106" s="1023">
        <f t="shared" si="5"/>
        <v>485478.78892499988</v>
      </c>
      <c r="D106" s="1024">
        <f t="shared" si="6"/>
        <v>415606.22107499995</v>
      </c>
      <c r="E106" s="1024">
        <f t="shared" si="7"/>
        <v>0</v>
      </c>
      <c r="F106" s="1024">
        <f t="shared" si="8"/>
        <v>0</v>
      </c>
      <c r="G106" s="1025">
        <f t="shared" si="8"/>
        <v>0</v>
      </c>
      <c r="H106" s="1032"/>
      <c r="I106" s="1033"/>
      <c r="J106" s="1033"/>
      <c r="K106" s="1033"/>
      <c r="L106" s="1033"/>
      <c r="M106" s="1034"/>
      <c r="N106" s="1032"/>
      <c r="O106" s="1033"/>
      <c r="P106" s="1033"/>
      <c r="Q106" s="1033"/>
      <c r="R106" s="1033"/>
      <c r="S106" s="1034"/>
      <c r="T106" s="1029">
        <v>0</v>
      </c>
      <c r="U106" s="1030">
        <v>0</v>
      </c>
      <c r="V106" s="1030">
        <v>-1233</v>
      </c>
      <c r="W106" s="1030">
        <v>0</v>
      </c>
      <c r="X106" s="1030">
        <v>0</v>
      </c>
      <c r="Y106" s="1031">
        <v>-1233</v>
      </c>
      <c r="Z106" s="1032"/>
      <c r="AA106" s="1033"/>
      <c r="AB106" s="1033"/>
      <c r="AC106" s="1033"/>
      <c r="AD106" s="1033"/>
      <c r="AE106" s="1034"/>
      <c r="AF106" s="1032"/>
      <c r="AG106" s="1033"/>
      <c r="AH106" s="1033"/>
      <c r="AI106" s="1033"/>
      <c r="AJ106" s="1033"/>
      <c r="AK106" s="1034"/>
      <c r="AL106" s="1029">
        <v>485478.78892499988</v>
      </c>
      <c r="AM106" s="1030">
        <v>0</v>
      </c>
      <c r="AN106" s="1030">
        <v>416839.22107499995</v>
      </c>
      <c r="AO106" s="1031">
        <v>902318.00999999989</v>
      </c>
    </row>
    <row r="107" spans="1:41">
      <c r="A107" s="1021" t="s">
        <v>91</v>
      </c>
      <c r="B107" s="1022" t="s">
        <v>92</v>
      </c>
      <c r="C107" s="1023">
        <f t="shared" si="5"/>
        <v>138031.52280000001</v>
      </c>
      <c r="D107" s="1024">
        <f t="shared" si="6"/>
        <v>126858.51719999999</v>
      </c>
      <c r="E107" s="1024">
        <f t="shared" si="7"/>
        <v>0</v>
      </c>
      <c r="F107" s="1024">
        <f t="shared" si="8"/>
        <v>0</v>
      </c>
      <c r="G107" s="1025">
        <f t="shared" si="8"/>
        <v>0</v>
      </c>
      <c r="H107" s="1029">
        <v>-147.77000000000001</v>
      </c>
      <c r="I107" s="1030">
        <v>0</v>
      </c>
      <c r="J107" s="1030">
        <v>-141.97999999999999</v>
      </c>
      <c r="K107" s="1030">
        <v>0</v>
      </c>
      <c r="L107" s="1030">
        <v>0</v>
      </c>
      <c r="M107" s="1031">
        <v>-289.75</v>
      </c>
      <c r="N107" s="1029">
        <v>255</v>
      </c>
      <c r="O107" s="1030">
        <v>0</v>
      </c>
      <c r="P107" s="1030">
        <v>245</v>
      </c>
      <c r="Q107" s="1030">
        <v>0</v>
      </c>
      <c r="R107" s="1030">
        <v>0</v>
      </c>
      <c r="S107" s="1031">
        <v>500</v>
      </c>
      <c r="T107" s="1032"/>
      <c r="U107" s="1033"/>
      <c r="V107" s="1033"/>
      <c r="W107" s="1033"/>
      <c r="X107" s="1033"/>
      <c r="Y107" s="1034"/>
      <c r="Z107" s="1032"/>
      <c r="AA107" s="1033"/>
      <c r="AB107" s="1033"/>
      <c r="AC107" s="1033"/>
      <c r="AD107" s="1033"/>
      <c r="AE107" s="1034"/>
      <c r="AF107" s="1032"/>
      <c r="AG107" s="1033"/>
      <c r="AH107" s="1033"/>
      <c r="AI107" s="1033"/>
      <c r="AJ107" s="1033"/>
      <c r="AK107" s="1034"/>
      <c r="AL107" s="1029">
        <v>137924.2928</v>
      </c>
      <c r="AM107" s="1030">
        <v>0</v>
      </c>
      <c r="AN107" s="1030">
        <v>126755.49719999998</v>
      </c>
      <c r="AO107" s="1031">
        <v>264679.78999999998</v>
      </c>
    </row>
    <row r="108" spans="1:41">
      <c r="A108" s="1021" t="s">
        <v>107</v>
      </c>
      <c r="B108" s="1022" t="s">
        <v>108</v>
      </c>
      <c r="C108" s="1023">
        <f t="shared" si="5"/>
        <v>3404491.8128999998</v>
      </c>
      <c r="D108" s="1024">
        <f t="shared" si="6"/>
        <v>2204661.9670999995</v>
      </c>
      <c r="E108" s="1024">
        <f t="shared" si="7"/>
        <v>0</v>
      </c>
      <c r="F108" s="1024">
        <f t="shared" si="8"/>
        <v>0</v>
      </c>
      <c r="G108" s="1025">
        <f t="shared" si="8"/>
        <v>0</v>
      </c>
      <c r="H108" s="1029">
        <v>-5941.8</v>
      </c>
      <c r="I108" s="1030">
        <v>0</v>
      </c>
      <c r="J108" s="1030">
        <v>-5708.77</v>
      </c>
      <c r="K108" s="1030">
        <v>0</v>
      </c>
      <c r="L108" s="1030">
        <v>0</v>
      </c>
      <c r="M108" s="1031">
        <v>-11650.57</v>
      </c>
      <c r="N108" s="1032"/>
      <c r="O108" s="1033"/>
      <c r="P108" s="1033"/>
      <c r="Q108" s="1033"/>
      <c r="R108" s="1033"/>
      <c r="S108" s="1034"/>
      <c r="T108" s="1032"/>
      <c r="U108" s="1033"/>
      <c r="V108" s="1033"/>
      <c r="W108" s="1033"/>
      <c r="X108" s="1033"/>
      <c r="Y108" s="1034"/>
      <c r="Z108" s="1032"/>
      <c r="AA108" s="1033"/>
      <c r="AB108" s="1033"/>
      <c r="AC108" s="1033"/>
      <c r="AD108" s="1033"/>
      <c r="AE108" s="1034"/>
      <c r="AF108" s="1032"/>
      <c r="AG108" s="1033"/>
      <c r="AH108" s="1033"/>
      <c r="AI108" s="1033"/>
      <c r="AJ108" s="1033"/>
      <c r="AK108" s="1034"/>
      <c r="AL108" s="1029">
        <v>3410433.6128999996</v>
      </c>
      <c r="AM108" s="1030">
        <v>0</v>
      </c>
      <c r="AN108" s="1030">
        <v>2210370.7370999996</v>
      </c>
      <c r="AO108" s="1031">
        <v>5620804.3499999996</v>
      </c>
    </row>
    <row r="109" spans="1:41">
      <c r="A109" s="1021" t="s">
        <v>117</v>
      </c>
      <c r="B109" s="1022" t="s">
        <v>118</v>
      </c>
      <c r="C109" s="1023">
        <f t="shared" si="5"/>
        <v>773275.90664999979</v>
      </c>
      <c r="D109" s="1024">
        <f t="shared" si="6"/>
        <v>528196.62334999989</v>
      </c>
      <c r="E109" s="1024">
        <f t="shared" si="7"/>
        <v>0</v>
      </c>
      <c r="F109" s="1024">
        <f t="shared" si="8"/>
        <v>0</v>
      </c>
      <c r="G109" s="1025">
        <f t="shared" si="8"/>
        <v>0</v>
      </c>
      <c r="H109" s="1032"/>
      <c r="I109" s="1033"/>
      <c r="J109" s="1033"/>
      <c r="K109" s="1033"/>
      <c r="L109" s="1033"/>
      <c r="M109" s="1034"/>
      <c r="N109" s="1029">
        <v>255</v>
      </c>
      <c r="O109" s="1030">
        <v>0</v>
      </c>
      <c r="P109" s="1030">
        <v>245</v>
      </c>
      <c r="Q109" s="1030">
        <v>0</v>
      </c>
      <c r="R109" s="1030">
        <v>0</v>
      </c>
      <c r="S109" s="1031">
        <v>500</v>
      </c>
      <c r="T109" s="1032"/>
      <c r="U109" s="1033"/>
      <c r="V109" s="1033"/>
      <c r="W109" s="1033"/>
      <c r="X109" s="1033"/>
      <c r="Y109" s="1034"/>
      <c r="Z109" s="1032"/>
      <c r="AA109" s="1033"/>
      <c r="AB109" s="1033"/>
      <c r="AC109" s="1033"/>
      <c r="AD109" s="1033"/>
      <c r="AE109" s="1034"/>
      <c r="AF109" s="1032"/>
      <c r="AG109" s="1033"/>
      <c r="AH109" s="1033"/>
      <c r="AI109" s="1033"/>
      <c r="AJ109" s="1033"/>
      <c r="AK109" s="1034"/>
      <c r="AL109" s="1029">
        <v>773020.90664999979</v>
      </c>
      <c r="AM109" s="1030">
        <v>0</v>
      </c>
      <c r="AN109" s="1030">
        <v>527951.62334999989</v>
      </c>
      <c r="AO109" s="1031">
        <v>1300972.5299999996</v>
      </c>
    </row>
    <row r="110" spans="1:41">
      <c r="A110" s="1021" t="s">
        <v>139</v>
      </c>
      <c r="B110" s="1022" t="s">
        <v>140</v>
      </c>
      <c r="C110" s="1023">
        <f t="shared" si="5"/>
        <v>1347093.2825999998</v>
      </c>
      <c r="D110" s="1024">
        <f t="shared" si="6"/>
        <v>806362.24739999999</v>
      </c>
      <c r="E110" s="1024">
        <f t="shared" si="7"/>
        <v>-1203.2</v>
      </c>
      <c r="F110" s="1024">
        <f t="shared" si="8"/>
        <v>0</v>
      </c>
      <c r="G110" s="1025">
        <f t="shared" si="8"/>
        <v>-1203.2</v>
      </c>
      <c r="H110" s="1029">
        <v>613.64</v>
      </c>
      <c r="I110" s="1030">
        <v>0</v>
      </c>
      <c r="J110" s="1030">
        <v>589.55999999999995</v>
      </c>
      <c r="K110" s="1030">
        <v>0</v>
      </c>
      <c r="L110" s="1030">
        <v>-1203.2</v>
      </c>
      <c r="M110" s="1031">
        <v>0</v>
      </c>
      <c r="N110" s="1029">
        <v>255</v>
      </c>
      <c r="O110" s="1030">
        <v>0</v>
      </c>
      <c r="P110" s="1030">
        <v>245</v>
      </c>
      <c r="Q110" s="1030">
        <v>0</v>
      </c>
      <c r="R110" s="1030">
        <v>0</v>
      </c>
      <c r="S110" s="1031">
        <v>500</v>
      </c>
      <c r="T110" s="1032"/>
      <c r="U110" s="1033"/>
      <c r="V110" s="1033"/>
      <c r="W110" s="1033"/>
      <c r="X110" s="1033"/>
      <c r="Y110" s="1034"/>
      <c r="Z110" s="1032"/>
      <c r="AA110" s="1033"/>
      <c r="AB110" s="1033"/>
      <c r="AC110" s="1033"/>
      <c r="AD110" s="1033"/>
      <c r="AE110" s="1034"/>
      <c r="AF110" s="1029">
        <v>105104.36</v>
      </c>
      <c r="AG110" s="1030">
        <v>0</v>
      </c>
      <c r="AH110" s="1030">
        <v>0</v>
      </c>
      <c r="AI110" s="1030">
        <v>0</v>
      </c>
      <c r="AJ110" s="1030">
        <v>0</v>
      </c>
      <c r="AK110" s="1031">
        <v>105104.36</v>
      </c>
      <c r="AL110" s="1029">
        <v>1241120.2825999998</v>
      </c>
      <c r="AM110" s="1030">
        <v>0</v>
      </c>
      <c r="AN110" s="1030">
        <v>805527.68739999994</v>
      </c>
      <c r="AO110" s="1031">
        <v>2046647.97</v>
      </c>
    </row>
    <row r="111" spans="1:41">
      <c r="A111" s="1021" t="s">
        <v>143</v>
      </c>
      <c r="B111" s="1022" t="s">
        <v>144</v>
      </c>
      <c r="C111" s="1023">
        <f t="shared" si="5"/>
        <v>527028.83257500001</v>
      </c>
      <c r="D111" s="1024">
        <f t="shared" si="6"/>
        <v>371791.54742500006</v>
      </c>
      <c r="E111" s="1024">
        <f t="shared" si="7"/>
        <v>570</v>
      </c>
      <c r="F111" s="1024">
        <f t="shared" si="8"/>
        <v>0</v>
      </c>
      <c r="G111" s="1025">
        <f t="shared" si="8"/>
        <v>570</v>
      </c>
      <c r="H111" s="1029">
        <v>-290.7</v>
      </c>
      <c r="I111" s="1030">
        <v>0</v>
      </c>
      <c r="J111" s="1030">
        <v>-279.3</v>
      </c>
      <c r="K111" s="1030">
        <v>0</v>
      </c>
      <c r="L111" s="1030">
        <v>570</v>
      </c>
      <c r="M111" s="1031">
        <v>0</v>
      </c>
      <c r="N111" s="1032"/>
      <c r="O111" s="1033"/>
      <c r="P111" s="1033"/>
      <c r="Q111" s="1033"/>
      <c r="R111" s="1033"/>
      <c r="S111" s="1034"/>
      <c r="T111" s="1032"/>
      <c r="U111" s="1033"/>
      <c r="V111" s="1033"/>
      <c r="W111" s="1033"/>
      <c r="X111" s="1033"/>
      <c r="Y111" s="1034"/>
      <c r="Z111" s="1032"/>
      <c r="AA111" s="1033"/>
      <c r="AB111" s="1033"/>
      <c r="AC111" s="1033"/>
      <c r="AD111" s="1033"/>
      <c r="AE111" s="1034"/>
      <c r="AF111" s="1032"/>
      <c r="AG111" s="1033"/>
      <c r="AH111" s="1033"/>
      <c r="AI111" s="1033"/>
      <c r="AJ111" s="1033"/>
      <c r="AK111" s="1034"/>
      <c r="AL111" s="1029">
        <v>527319.53257499996</v>
      </c>
      <c r="AM111" s="1030">
        <v>0</v>
      </c>
      <c r="AN111" s="1030">
        <v>372070.84742500004</v>
      </c>
      <c r="AO111" s="1031">
        <v>899390.38</v>
      </c>
    </row>
    <row r="112" spans="1:41">
      <c r="A112" s="1021" t="s">
        <v>145</v>
      </c>
      <c r="B112" s="1022" t="s">
        <v>146</v>
      </c>
      <c r="C112" s="1023">
        <f t="shared" si="5"/>
        <v>114010.943325</v>
      </c>
      <c r="D112" s="1024">
        <f t="shared" si="6"/>
        <v>72704.906674999991</v>
      </c>
      <c r="E112" s="1024">
        <f t="shared" si="7"/>
        <v>-977</v>
      </c>
      <c r="F112" s="1024">
        <f t="shared" si="8"/>
        <v>0</v>
      </c>
      <c r="G112" s="1025">
        <f t="shared" si="8"/>
        <v>-977</v>
      </c>
      <c r="H112" s="1029">
        <v>-20.399999999999999</v>
      </c>
      <c r="I112" s="1030">
        <v>0</v>
      </c>
      <c r="J112" s="1030">
        <v>-19.600000000000001</v>
      </c>
      <c r="K112" s="1030">
        <v>0</v>
      </c>
      <c r="L112" s="1030">
        <v>-977</v>
      </c>
      <c r="M112" s="1031">
        <v>-1017</v>
      </c>
      <c r="N112" s="1032"/>
      <c r="O112" s="1033"/>
      <c r="P112" s="1033"/>
      <c r="Q112" s="1033"/>
      <c r="R112" s="1033"/>
      <c r="S112" s="1034"/>
      <c r="T112" s="1032"/>
      <c r="U112" s="1033"/>
      <c r="V112" s="1033"/>
      <c r="W112" s="1033"/>
      <c r="X112" s="1033"/>
      <c r="Y112" s="1034"/>
      <c r="Z112" s="1032"/>
      <c r="AA112" s="1033"/>
      <c r="AB112" s="1033"/>
      <c r="AC112" s="1033"/>
      <c r="AD112" s="1033"/>
      <c r="AE112" s="1034"/>
      <c r="AF112" s="1032"/>
      <c r="AG112" s="1033"/>
      <c r="AH112" s="1033"/>
      <c r="AI112" s="1033"/>
      <c r="AJ112" s="1033"/>
      <c r="AK112" s="1034"/>
      <c r="AL112" s="1029">
        <v>114031.34332499999</v>
      </c>
      <c r="AM112" s="1030">
        <v>0</v>
      </c>
      <c r="AN112" s="1030">
        <v>72724.506674999997</v>
      </c>
      <c r="AO112" s="1031">
        <v>186755.85</v>
      </c>
    </row>
    <row r="113" spans="1:41">
      <c r="A113" s="1021" t="s">
        <v>159</v>
      </c>
      <c r="B113" s="1022" t="s">
        <v>160</v>
      </c>
      <c r="C113" s="1023">
        <f t="shared" si="5"/>
        <v>3974633.3424500003</v>
      </c>
      <c r="D113" s="1024">
        <f t="shared" si="6"/>
        <v>2601851.3775500003</v>
      </c>
      <c r="E113" s="1024">
        <f t="shared" si="7"/>
        <v>500.01</v>
      </c>
      <c r="F113" s="1024">
        <f t="shared" si="8"/>
        <v>0</v>
      </c>
      <c r="G113" s="1025">
        <f t="shared" si="8"/>
        <v>500.01</v>
      </c>
      <c r="H113" s="1029">
        <v>-3951.55</v>
      </c>
      <c r="I113" s="1030">
        <v>0</v>
      </c>
      <c r="J113" s="1030">
        <v>-3796.59</v>
      </c>
      <c r="K113" s="1030">
        <v>0</v>
      </c>
      <c r="L113" s="1030">
        <v>0.01</v>
      </c>
      <c r="M113" s="1031">
        <v>-7748.13</v>
      </c>
      <c r="N113" s="1029">
        <v>255</v>
      </c>
      <c r="O113" s="1030">
        <v>0</v>
      </c>
      <c r="P113" s="1030">
        <v>245</v>
      </c>
      <c r="Q113" s="1030">
        <v>0</v>
      </c>
      <c r="R113" s="1030">
        <v>500</v>
      </c>
      <c r="S113" s="1031">
        <v>1000</v>
      </c>
      <c r="T113" s="1029">
        <v>0</v>
      </c>
      <c r="U113" s="1030">
        <v>0</v>
      </c>
      <c r="V113" s="1030">
        <v>762</v>
      </c>
      <c r="W113" s="1030">
        <v>0</v>
      </c>
      <c r="X113" s="1030">
        <v>0</v>
      </c>
      <c r="Y113" s="1031">
        <v>762</v>
      </c>
      <c r="Z113" s="1032"/>
      <c r="AA113" s="1033"/>
      <c r="AB113" s="1033"/>
      <c r="AC113" s="1033"/>
      <c r="AD113" s="1033"/>
      <c r="AE113" s="1034"/>
      <c r="AF113" s="1032"/>
      <c r="AG113" s="1033"/>
      <c r="AH113" s="1033"/>
      <c r="AI113" s="1033"/>
      <c r="AJ113" s="1033"/>
      <c r="AK113" s="1034"/>
      <c r="AL113" s="1029">
        <v>3978329.8924500002</v>
      </c>
      <c r="AM113" s="1030">
        <v>0</v>
      </c>
      <c r="AN113" s="1030">
        <v>2604640.9675500002</v>
      </c>
      <c r="AO113" s="1031">
        <v>6582970.8600000003</v>
      </c>
    </row>
    <row r="114" spans="1:41">
      <c r="A114" s="1021" t="s">
        <v>161</v>
      </c>
      <c r="B114" s="1022" t="s">
        <v>162</v>
      </c>
      <c r="C114" s="1023">
        <f t="shared" si="5"/>
        <v>5373074.5290249996</v>
      </c>
      <c r="D114" s="1024">
        <f t="shared" si="6"/>
        <v>3104123.0009749993</v>
      </c>
      <c r="E114" s="1024">
        <f t="shared" si="7"/>
        <v>4669.9399999999996</v>
      </c>
      <c r="F114" s="1024">
        <f t="shared" si="8"/>
        <v>0</v>
      </c>
      <c r="G114" s="1025">
        <f t="shared" si="8"/>
        <v>4669.9399999999996</v>
      </c>
      <c r="H114" s="1029">
        <v>-7446.88</v>
      </c>
      <c r="I114" s="1030">
        <v>0</v>
      </c>
      <c r="J114" s="1030">
        <v>-7154.83</v>
      </c>
      <c r="K114" s="1030">
        <v>0</v>
      </c>
      <c r="L114" s="1030">
        <v>4669.9399999999996</v>
      </c>
      <c r="M114" s="1031">
        <v>-9931.77</v>
      </c>
      <c r="N114" s="1032"/>
      <c r="O114" s="1033"/>
      <c r="P114" s="1033"/>
      <c r="Q114" s="1033"/>
      <c r="R114" s="1033"/>
      <c r="S114" s="1034"/>
      <c r="T114" s="1032"/>
      <c r="U114" s="1033"/>
      <c r="V114" s="1033"/>
      <c r="W114" s="1033"/>
      <c r="X114" s="1033"/>
      <c r="Y114" s="1034"/>
      <c r="Z114" s="1032"/>
      <c r="AA114" s="1033"/>
      <c r="AB114" s="1033"/>
      <c r="AC114" s="1033"/>
      <c r="AD114" s="1033"/>
      <c r="AE114" s="1034"/>
      <c r="AF114" s="1029">
        <v>258868.17</v>
      </c>
      <c r="AG114" s="1030">
        <v>0</v>
      </c>
      <c r="AH114" s="1030">
        <v>15255</v>
      </c>
      <c r="AI114" s="1030">
        <v>0</v>
      </c>
      <c r="AJ114" s="1030">
        <v>0</v>
      </c>
      <c r="AK114" s="1031">
        <v>274123.17</v>
      </c>
      <c r="AL114" s="1029">
        <v>5121653.2390249996</v>
      </c>
      <c r="AM114" s="1030">
        <v>0</v>
      </c>
      <c r="AN114" s="1030">
        <v>3096022.8309749993</v>
      </c>
      <c r="AO114" s="1031">
        <v>8217676.0699999994</v>
      </c>
    </row>
    <row r="115" spans="1:41">
      <c r="A115" s="1021" t="s">
        <v>167</v>
      </c>
      <c r="B115" s="1022" t="s">
        <v>168</v>
      </c>
      <c r="C115" s="1023">
        <f t="shared" si="5"/>
        <v>115114.8489</v>
      </c>
      <c r="D115" s="1024">
        <f t="shared" si="6"/>
        <v>81578.031100000007</v>
      </c>
      <c r="E115" s="1024">
        <f t="shared" si="7"/>
        <v>0</v>
      </c>
      <c r="F115" s="1024">
        <f t="shared" si="8"/>
        <v>0</v>
      </c>
      <c r="G115" s="1025">
        <f t="shared" si="8"/>
        <v>0</v>
      </c>
      <c r="H115" s="1032"/>
      <c r="I115" s="1033"/>
      <c r="J115" s="1033"/>
      <c r="K115" s="1033"/>
      <c r="L115" s="1033"/>
      <c r="M115" s="1034"/>
      <c r="N115" s="1032"/>
      <c r="O115" s="1033"/>
      <c r="P115" s="1033"/>
      <c r="Q115" s="1033"/>
      <c r="R115" s="1033"/>
      <c r="S115" s="1034"/>
      <c r="T115" s="1032"/>
      <c r="U115" s="1033"/>
      <c r="V115" s="1033"/>
      <c r="W115" s="1033"/>
      <c r="X115" s="1033"/>
      <c r="Y115" s="1034"/>
      <c r="Z115" s="1032"/>
      <c r="AA115" s="1033"/>
      <c r="AB115" s="1033"/>
      <c r="AC115" s="1033"/>
      <c r="AD115" s="1033"/>
      <c r="AE115" s="1034"/>
      <c r="AF115" s="1032"/>
      <c r="AG115" s="1033"/>
      <c r="AH115" s="1033"/>
      <c r="AI115" s="1033"/>
      <c r="AJ115" s="1033"/>
      <c r="AK115" s="1034"/>
      <c r="AL115" s="1029">
        <v>115114.8489</v>
      </c>
      <c r="AM115" s="1030">
        <v>0</v>
      </c>
      <c r="AN115" s="1030">
        <v>81578.031100000007</v>
      </c>
      <c r="AO115" s="1031">
        <v>196692.88</v>
      </c>
    </row>
    <row r="116" spans="1:41">
      <c r="A116" s="1021" t="s">
        <v>177</v>
      </c>
      <c r="B116" s="1022" t="s">
        <v>178</v>
      </c>
      <c r="C116" s="1023">
        <f t="shared" si="5"/>
        <v>1222936.481525</v>
      </c>
      <c r="D116" s="1024">
        <f t="shared" si="6"/>
        <v>807208.24847500003</v>
      </c>
      <c r="E116" s="1024">
        <f t="shared" si="7"/>
        <v>4098.67</v>
      </c>
      <c r="F116" s="1024">
        <f t="shared" si="8"/>
        <v>5247.77</v>
      </c>
      <c r="G116" s="1025">
        <f t="shared" si="8"/>
        <v>-1149.0999999999999</v>
      </c>
      <c r="H116" s="1029">
        <v>-5145.3</v>
      </c>
      <c r="I116" s="1030">
        <v>0</v>
      </c>
      <c r="J116" s="1030">
        <v>-4943.5</v>
      </c>
      <c r="K116" s="1030">
        <v>0</v>
      </c>
      <c r="L116" s="1030">
        <v>-1149.0999999999999</v>
      </c>
      <c r="M116" s="1031">
        <v>-11237.9</v>
      </c>
      <c r="N116" s="1032"/>
      <c r="O116" s="1033"/>
      <c r="P116" s="1033"/>
      <c r="Q116" s="1033"/>
      <c r="R116" s="1033"/>
      <c r="S116" s="1034"/>
      <c r="T116" s="1029">
        <v>0</v>
      </c>
      <c r="U116" s="1030">
        <v>0</v>
      </c>
      <c r="V116" s="1030">
        <v>1325</v>
      </c>
      <c r="W116" s="1030">
        <v>0</v>
      </c>
      <c r="X116" s="1030">
        <v>0</v>
      </c>
      <c r="Y116" s="1031">
        <v>1325</v>
      </c>
      <c r="Z116" s="1029">
        <v>9597.41</v>
      </c>
      <c r="AA116" s="1030">
        <v>0</v>
      </c>
      <c r="AB116" s="1030">
        <v>0</v>
      </c>
      <c r="AC116" s="1030">
        <v>5247.77</v>
      </c>
      <c r="AD116" s="1030">
        <v>0</v>
      </c>
      <c r="AE116" s="1031">
        <v>14845.18</v>
      </c>
      <c r="AF116" s="1032"/>
      <c r="AG116" s="1033"/>
      <c r="AH116" s="1033"/>
      <c r="AI116" s="1033"/>
      <c r="AJ116" s="1033"/>
      <c r="AK116" s="1034"/>
      <c r="AL116" s="1029">
        <v>1218484.3715249998</v>
      </c>
      <c r="AM116" s="1030">
        <v>0</v>
      </c>
      <c r="AN116" s="1030">
        <v>810826.74847500003</v>
      </c>
      <c r="AO116" s="1031">
        <v>2029311.12</v>
      </c>
    </row>
    <row r="117" spans="1:41">
      <c r="A117" s="1021" t="s">
        <v>181</v>
      </c>
      <c r="B117" s="1022" t="s">
        <v>182</v>
      </c>
      <c r="C117" s="1023">
        <f t="shared" si="5"/>
        <v>2619791.2851999998</v>
      </c>
      <c r="D117" s="1024">
        <f t="shared" si="6"/>
        <v>1572225.8847999997</v>
      </c>
      <c r="E117" s="1024">
        <f t="shared" si="7"/>
        <v>0</v>
      </c>
      <c r="F117" s="1024">
        <f t="shared" si="8"/>
        <v>0</v>
      </c>
      <c r="G117" s="1025">
        <f t="shared" si="8"/>
        <v>0</v>
      </c>
      <c r="H117" s="1029">
        <v>-1392.89</v>
      </c>
      <c r="I117" s="1030">
        <v>0</v>
      </c>
      <c r="J117" s="1030">
        <v>-1338.27</v>
      </c>
      <c r="K117" s="1030">
        <v>0</v>
      </c>
      <c r="L117" s="1030">
        <v>0</v>
      </c>
      <c r="M117" s="1031">
        <v>-2731.16</v>
      </c>
      <c r="N117" s="1029">
        <v>831.81</v>
      </c>
      <c r="O117" s="1030">
        <v>0</v>
      </c>
      <c r="P117" s="1030">
        <v>799.19</v>
      </c>
      <c r="Q117" s="1030">
        <v>0</v>
      </c>
      <c r="R117" s="1030">
        <v>0</v>
      </c>
      <c r="S117" s="1031">
        <v>1631</v>
      </c>
      <c r="T117" s="1032"/>
      <c r="U117" s="1033"/>
      <c r="V117" s="1033"/>
      <c r="W117" s="1033"/>
      <c r="X117" s="1033"/>
      <c r="Y117" s="1034"/>
      <c r="Z117" s="1032"/>
      <c r="AA117" s="1033"/>
      <c r="AB117" s="1033"/>
      <c r="AC117" s="1033"/>
      <c r="AD117" s="1033"/>
      <c r="AE117" s="1034"/>
      <c r="AF117" s="1032"/>
      <c r="AG117" s="1033"/>
      <c r="AH117" s="1033"/>
      <c r="AI117" s="1033"/>
      <c r="AJ117" s="1033"/>
      <c r="AK117" s="1034"/>
      <c r="AL117" s="1029">
        <v>2620352.3651999999</v>
      </c>
      <c r="AM117" s="1030">
        <v>0</v>
      </c>
      <c r="AN117" s="1030">
        <v>1572764.9647999997</v>
      </c>
      <c r="AO117" s="1031">
        <v>4193117.33</v>
      </c>
    </row>
    <row r="118" spans="1:41">
      <c r="A118" s="1021" t="s">
        <v>193</v>
      </c>
      <c r="B118" s="1022" t="s">
        <v>194</v>
      </c>
      <c r="C118" s="1023">
        <f t="shared" si="5"/>
        <v>144310.63357499999</v>
      </c>
      <c r="D118" s="1024">
        <f t="shared" si="6"/>
        <v>104337.286425</v>
      </c>
      <c r="E118" s="1024">
        <f t="shared" si="7"/>
        <v>0</v>
      </c>
      <c r="F118" s="1024">
        <f t="shared" si="8"/>
        <v>0</v>
      </c>
      <c r="G118" s="1025">
        <f t="shared" si="8"/>
        <v>0</v>
      </c>
      <c r="H118" s="1032"/>
      <c r="I118" s="1033"/>
      <c r="J118" s="1033"/>
      <c r="K118" s="1033"/>
      <c r="L118" s="1033"/>
      <c r="M118" s="1034"/>
      <c r="N118" s="1032"/>
      <c r="O118" s="1033"/>
      <c r="P118" s="1033"/>
      <c r="Q118" s="1033"/>
      <c r="R118" s="1033"/>
      <c r="S118" s="1034"/>
      <c r="T118" s="1032"/>
      <c r="U118" s="1033"/>
      <c r="V118" s="1033"/>
      <c r="W118" s="1033"/>
      <c r="X118" s="1033"/>
      <c r="Y118" s="1034"/>
      <c r="Z118" s="1032"/>
      <c r="AA118" s="1033"/>
      <c r="AB118" s="1033"/>
      <c r="AC118" s="1033"/>
      <c r="AD118" s="1033"/>
      <c r="AE118" s="1034"/>
      <c r="AF118" s="1032"/>
      <c r="AG118" s="1033"/>
      <c r="AH118" s="1033"/>
      <c r="AI118" s="1033"/>
      <c r="AJ118" s="1033"/>
      <c r="AK118" s="1034"/>
      <c r="AL118" s="1029">
        <v>144310.63357499999</v>
      </c>
      <c r="AM118" s="1030">
        <v>0</v>
      </c>
      <c r="AN118" s="1030">
        <v>104337.286425</v>
      </c>
      <c r="AO118" s="1031">
        <v>248647.91999999998</v>
      </c>
    </row>
    <row r="119" spans="1:41">
      <c r="A119" s="1021" t="s">
        <v>197</v>
      </c>
      <c r="B119" s="1022" t="s">
        <v>391</v>
      </c>
      <c r="C119" s="1023">
        <f t="shared" si="5"/>
        <v>6157546.1141749993</v>
      </c>
      <c r="D119" s="1024">
        <f t="shared" si="6"/>
        <v>3854221.1458249995</v>
      </c>
      <c r="E119" s="1024">
        <f t="shared" si="7"/>
        <v>1353.1</v>
      </c>
      <c r="F119" s="1024">
        <f t="shared" si="8"/>
        <v>0</v>
      </c>
      <c r="G119" s="1025">
        <f t="shared" si="8"/>
        <v>1353.1</v>
      </c>
      <c r="H119" s="1029">
        <v>-4803.43</v>
      </c>
      <c r="I119" s="1030">
        <v>0</v>
      </c>
      <c r="J119" s="1030">
        <v>-4615.07</v>
      </c>
      <c r="K119" s="1030">
        <v>0</v>
      </c>
      <c r="L119" s="1030">
        <v>738</v>
      </c>
      <c r="M119" s="1031">
        <v>-8680.5</v>
      </c>
      <c r="N119" s="1029">
        <v>785.91</v>
      </c>
      <c r="O119" s="1030">
        <v>0</v>
      </c>
      <c r="P119" s="1030">
        <v>755.09</v>
      </c>
      <c r="Q119" s="1030">
        <v>0</v>
      </c>
      <c r="R119" s="1030">
        <v>615.1</v>
      </c>
      <c r="S119" s="1031">
        <v>2156.1</v>
      </c>
      <c r="T119" s="1029">
        <v>0</v>
      </c>
      <c r="U119" s="1030">
        <v>0</v>
      </c>
      <c r="V119" s="1030">
        <v>382</v>
      </c>
      <c r="W119" s="1030">
        <v>0</v>
      </c>
      <c r="X119" s="1030">
        <v>0</v>
      </c>
      <c r="Y119" s="1031">
        <v>382</v>
      </c>
      <c r="Z119" s="1032"/>
      <c r="AA119" s="1033"/>
      <c r="AB119" s="1033"/>
      <c r="AC119" s="1033"/>
      <c r="AD119" s="1033"/>
      <c r="AE119" s="1034"/>
      <c r="AF119" s="1032"/>
      <c r="AG119" s="1033"/>
      <c r="AH119" s="1033"/>
      <c r="AI119" s="1033"/>
      <c r="AJ119" s="1033"/>
      <c r="AK119" s="1034"/>
      <c r="AL119" s="1029">
        <v>6161563.6341749988</v>
      </c>
      <c r="AM119" s="1030">
        <v>0</v>
      </c>
      <c r="AN119" s="1030">
        <v>3857699.1258249995</v>
      </c>
      <c r="AO119" s="1031">
        <v>10019262.759999998</v>
      </c>
    </row>
    <row r="120" spans="1:41">
      <c r="A120" s="1021" t="s">
        <v>201</v>
      </c>
      <c r="B120" s="1022" t="s">
        <v>392</v>
      </c>
      <c r="C120" s="1023">
        <f t="shared" si="5"/>
        <v>2769754.7812999999</v>
      </c>
      <c r="D120" s="1024">
        <f t="shared" si="6"/>
        <v>1763058.0386999999</v>
      </c>
      <c r="E120" s="1024">
        <f t="shared" si="7"/>
        <v>-2514.0300000000002</v>
      </c>
      <c r="F120" s="1024">
        <f t="shared" si="8"/>
        <v>0</v>
      </c>
      <c r="G120" s="1025">
        <f t="shared" si="8"/>
        <v>-2514.0300000000002</v>
      </c>
      <c r="H120" s="1029">
        <v>-9863.44</v>
      </c>
      <c r="I120" s="1030">
        <v>0</v>
      </c>
      <c r="J120" s="1030">
        <v>-9476.6200000000008</v>
      </c>
      <c r="K120" s="1030">
        <v>0</v>
      </c>
      <c r="L120" s="1030">
        <v>-2514.0300000000002</v>
      </c>
      <c r="M120" s="1031">
        <v>-21854.09</v>
      </c>
      <c r="N120" s="1029">
        <v>1020</v>
      </c>
      <c r="O120" s="1030">
        <v>0</v>
      </c>
      <c r="P120" s="1030">
        <v>980</v>
      </c>
      <c r="Q120" s="1030">
        <v>0</v>
      </c>
      <c r="R120" s="1030">
        <v>0</v>
      </c>
      <c r="S120" s="1031">
        <v>2000</v>
      </c>
      <c r="T120" s="1032"/>
      <c r="U120" s="1033"/>
      <c r="V120" s="1033"/>
      <c r="W120" s="1033"/>
      <c r="X120" s="1033"/>
      <c r="Y120" s="1034"/>
      <c r="Z120" s="1032"/>
      <c r="AA120" s="1033"/>
      <c r="AB120" s="1033"/>
      <c r="AC120" s="1033"/>
      <c r="AD120" s="1033"/>
      <c r="AE120" s="1034"/>
      <c r="AF120" s="1029">
        <v>336738.19</v>
      </c>
      <c r="AG120" s="1030">
        <v>0</v>
      </c>
      <c r="AH120" s="1030">
        <v>0</v>
      </c>
      <c r="AI120" s="1030">
        <v>0</v>
      </c>
      <c r="AJ120" s="1030">
        <v>0</v>
      </c>
      <c r="AK120" s="1031">
        <v>336738.19</v>
      </c>
      <c r="AL120" s="1029">
        <v>2441860.0312999999</v>
      </c>
      <c r="AM120" s="1030">
        <v>0</v>
      </c>
      <c r="AN120" s="1030">
        <v>1771554.6587</v>
      </c>
      <c r="AO120" s="1031">
        <v>4213414.6899999995</v>
      </c>
    </row>
    <row r="121" spans="1:41">
      <c r="A121" s="1021" t="s">
        <v>223</v>
      </c>
      <c r="B121" s="1022" t="s">
        <v>224</v>
      </c>
      <c r="C121" s="1023">
        <f t="shared" si="5"/>
        <v>885176.33964999975</v>
      </c>
      <c r="D121" s="1024">
        <f t="shared" si="6"/>
        <v>496943.5903499999</v>
      </c>
      <c r="E121" s="1024">
        <f t="shared" si="7"/>
        <v>0</v>
      </c>
      <c r="F121" s="1024">
        <f t="shared" si="8"/>
        <v>0</v>
      </c>
      <c r="G121" s="1025">
        <f t="shared" si="8"/>
        <v>0</v>
      </c>
      <c r="H121" s="1029">
        <v>-4531.33</v>
      </c>
      <c r="I121" s="1030">
        <v>0</v>
      </c>
      <c r="J121" s="1030">
        <v>-4353.63</v>
      </c>
      <c r="K121" s="1030">
        <v>0</v>
      </c>
      <c r="L121" s="1030">
        <v>0</v>
      </c>
      <c r="M121" s="1031">
        <v>-8884.9599999999991</v>
      </c>
      <c r="N121" s="1029">
        <v>1040.92</v>
      </c>
      <c r="O121" s="1030">
        <v>0</v>
      </c>
      <c r="P121" s="1030">
        <v>1000.11</v>
      </c>
      <c r="Q121" s="1030">
        <v>0</v>
      </c>
      <c r="R121" s="1030">
        <v>0</v>
      </c>
      <c r="S121" s="1031">
        <v>2041.03</v>
      </c>
      <c r="T121" s="1032"/>
      <c r="U121" s="1033"/>
      <c r="V121" s="1033"/>
      <c r="W121" s="1033"/>
      <c r="X121" s="1033"/>
      <c r="Y121" s="1034"/>
      <c r="Z121" s="1032"/>
      <c r="AA121" s="1033"/>
      <c r="AB121" s="1033"/>
      <c r="AC121" s="1033"/>
      <c r="AD121" s="1033"/>
      <c r="AE121" s="1034"/>
      <c r="AF121" s="1029">
        <v>77892.800000000003</v>
      </c>
      <c r="AG121" s="1030">
        <v>0</v>
      </c>
      <c r="AH121" s="1030">
        <v>0</v>
      </c>
      <c r="AI121" s="1030">
        <v>0</v>
      </c>
      <c r="AJ121" s="1030">
        <v>0</v>
      </c>
      <c r="AK121" s="1031">
        <v>77892.800000000003</v>
      </c>
      <c r="AL121" s="1029">
        <v>810773.94964999973</v>
      </c>
      <c r="AM121" s="1030">
        <v>0</v>
      </c>
      <c r="AN121" s="1030">
        <v>500297.11034999992</v>
      </c>
      <c r="AO121" s="1031">
        <v>1311071.0599999998</v>
      </c>
    </row>
    <row r="122" spans="1:41">
      <c r="A122" s="1021" t="s">
        <v>231</v>
      </c>
      <c r="B122" s="1022" t="s">
        <v>232</v>
      </c>
      <c r="C122" s="1023">
        <f t="shared" si="5"/>
        <v>2558334.1397499996</v>
      </c>
      <c r="D122" s="1024">
        <f t="shared" si="6"/>
        <v>1402314.9502499998</v>
      </c>
      <c r="E122" s="1024">
        <f t="shared" si="7"/>
        <v>1099.53</v>
      </c>
      <c r="F122" s="1024">
        <f t="shared" si="8"/>
        <v>0</v>
      </c>
      <c r="G122" s="1025">
        <f t="shared" si="8"/>
        <v>1099.53</v>
      </c>
      <c r="H122" s="1029">
        <v>-13486.72</v>
      </c>
      <c r="I122" s="1030">
        <v>0</v>
      </c>
      <c r="J122" s="1030">
        <v>-12957.8</v>
      </c>
      <c r="K122" s="1030">
        <v>0</v>
      </c>
      <c r="L122" s="1030">
        <v>0</v>
      </c>
      <c r="M122" s="1031">
        <v>-26444.52</v>
      </c>
      <c r="N122" s="1032"/>
      <c r="O122" s="1033"/>
      <c r="P122" s="1033"/>
      <c r="Q122" s="1033"/>
      <c r="R122" s="1033"/>
      <c r="S122" s="1034"/>
      <c r="T122" s="1032"/>
      <c r="U122" s="1033"/>
      <c r="V122" s="1033"/>
      <c r="W122" s="1033"/>
      <c r="X122" s="1033"/>
      <c r="Y122" s="1034"/>
      <c r="Z122" s="1032"/>
      <c r="AA122" s="1033"/>
      <c r="AB122" s="1033"/>
      <c r="AC122" s="1033"/>
      <c r="AD122" s="1033"/>
      <c r="AE122" s="1034"/>
      <c r="AF122" s="1029">
        <v>299583.18</v>
      </c>
      <c r="AG122" s="1030">
        <v>0</v>
      </c>
      <c r="AH122" s="1030">
        <v>0</v>
      </c>
      <c r="AI122" s="1030">
        <v>0</v>
      </c>
      <c r="AJ122" s="1030">
        <v>1099.53</v>
      </c>
      <c r="AK122" s="1031">
        <v>300682.71000000002</v>
      </c>
      <c r="AL122" s="1029">
        <v>2272237.6797499997</v>
      </c>
      <c r="AM122" s="1030">
        <v>0</v>
      </c>
      <c r="AN122" s="1030">
        <v>1415272.7502499998</v>
      </c>
      <c r="AO122" s="1031">
        <v>3687510.4299999997</v>
      </c>
    </row>
    <row r="123" spans="1:41">
      <c r="A123" s="1021" t="s">
        <v>239</v>
      </c>
      <c r="B123" s="1022" t="s">
        <v>240</v>
      </c>
      <c r="C123" s="1023">
        <f t="shared" si="5"/>
        <v>126223.57879999999</v>
      </c>
      <c r="D123" s="1024">
        <f t="shared" si="6"/>
        <v>55966.60119999999</v>
      </c>
      <c r="E123" s="1024">
        <f t="shared" si="7"/>
        <v>1592.94</v>
      </c>
      <c r="F123" s="1024">
        <f t="shared" si="8"/>
        <v>0</v>
      </c>
      <c r="G123" s="1025">
        <f t="shared" si="8"/>
        <v>1592.94</v>
      </c>
      <c r="H123" s="1032"/>
      <c r="I123" s="1033"/>
      <c r="J123" s="1033"/>
      <c r="K123" s="1033"/>
      <c r="L123" s="1033"/>
      <c r="M123" s="1034"/>
      <c r="N123" s="1032"/>
      <c r="O123" s="1033"/>
      <c r="P123" s="1033"/>
      <c r="Q123" s="1033"/>
      <c r="R123" s="1033"/>
      <c r="S123" s="1034"/>
      <c r="T123" s="1032"/>
      <c r="U123" s="1033"/>
      <c r="V123" s="1033"/>
      <c r="W123" s="1033"/>
      <c r="X123" s="1033"/>
      <c r="Y123" s="1034"/>
      <c r="Z123" s="1032"/>
      <c r="AA123" s="1033"/>
      <c r="AB123" s="1033"/>
      <c r="AC123" s="1033"/>
      <c r="AD123" s="1033"/>
      <c r="AE123" s="1034"/>
      <c r="AF123" s="1029">
        <v>54824.25</v>
      </c>
      <c r="AG123" s="1030">
        <v>0</v>
      </c>
      <c r="AH123" s="1030">
        <v>0</v>
      </c>
      <c r="AI123" s="1030">
        <v>0</v>
      </c>
      <c r="AJ123" s="1030">
        <v>1592.94</v>
      </c>
      <c r="AK123" s="1031">
        <v>56417.19</v>
      </c>
      <c r="AL123" s="1029">
        <v>71399.328799999988</v>
      </c>
      <c r="AM123" s="1030">
        <v>0</v>
      </c>
      <c r="AN123" s="1030">
        <v>55966.60119999999</v>
      </c>
      <c r="AO123" s="1031">
        <v>127365.93</v>
      </c>
    </row>
    <row r="124" spans="1:41">
      <c r="A124" s="1021" t="s">
        <v>241</v>
      </c>
      <c r="B124" s="1022" t="s">
        <v>242</v>
      </c>
      <c r="C124" s="1023">
        <f t="shared" si="5"/>
        <v>322274.10509999999</v>
      </c>
      <c r="D124" s="1024">
        <f t="shared" si="6"/>
        <v>252012.03490000003</v>
      </c>
      <c r="E124" s="1024">
        <f t="shared" si="7"/>
        <v>5383.16</v>
      </c>
      <c r="F124" s="1024">
        <f t="shared" si="8"/>
        <v>4185.5600000000004</v>
      </c>
      <c r="G124" s="1025">
        <f t="shared" si="8"/>
        <v>1197.5999999999999</v>
      </c>
      <c r="H124" s="1029">
        <v>-429.47</v>
      </c>
      <c r="I124" s="1030">
        <v>0</v>
      </c>
      <c r="J124" s="1030">
        <v>-412.63</v>
      </c>
      <c r="K124" s="1030">
        <v>0</v>
      </c>
      <c r="L124" s="1030">
        <v>-19.899999999999999</v>
      </c>
      <c r="M124" s="1031">
        <v>-862</v>
      </c>
      <c r="N124" s="1032"/>
      <c r="O124" s="1033"/>
      <c r="P124" s="1033"/>
      <c r="Q124" s="1033"/>
      <c r="R124" s="1033"/>
      <c r="S124" s="1034"/>
      <c r="T124" s="1029">
        <v>0</v>
      </c>
      <c r="U124" s="1030">
        <v>0</v>
      </c>
      <c r="V124" s="1030">
        <v>-390</v>
      </c>
      <c r="W124" s="1030">
        <v>0</v>
      </c>
      <c r="X124" s="1030">
        <v>0</v>
      </c>
      <c r="Y124" s="1031">
        <v>-390</v>
      </c>
      <c r="Z124" s="1029">
        <v>5746.94</v>
      </c>
      <c r="AA124" s="1030">
        <v>0</v>
      </c>
      <c r="AB124" s="1030">
        <v>0</v>
      </c>
      <c r="AC124" s="1030">
        <v>4185.5600000000004</v>
      </c>
      <c r="AD124" s="1030">
        <v>1217.5</v>
      </c>
      <c r="AE124" s="1031">
        <v>11150</v>
      </c>
      <c r="AF124" s="1032"/>
      <c r="AG124" s="1033"/>
      <c r="AH124" s="1033"/>
      <c r="AI124" s="1033"/>
      <c r="AJ124" s="1033"/>
      <c r="AK124" s="1034"/>
      <c r="AL124" s="1029">
        <v>316956.63510000001</v>
      </c>
      <c r="AM124" s="1030">
        <v>0</v>
      </c>
      <c r="AN124" s="1030">
        <v>252814.66490000003</v>
      </c>
      <c r="AO124" s="1031">
        <v>569771.30000000005</v>
      </c>
    </row>
    <row r="127" spans="1:41" s="538" customFormat="1">
      <c r="A127" s="538" t="s">
        <v>1026</v>
      </c>
      <c r="B127" s="836"/>
      <c r="C127" s="540"/>
    </row>
    <row r="128" spans="1:41" s="538" customFormat="1"/>
    <row r="129" spans="1:2" s="519" customFormat="1">
      <c r="A129" s="519" t="s">
        <v>250</v>
      </c>
    </row>
    <row r="130" spans="1:2">
      <c r="A130" s="536" t="s">
        <v>251</v>
      </c>
      <c r="B130" s="407" t="s">
        <v>252</v>
      </c>
    </row>
  </sheetData>
  <hyperlinks>
    <hyperlink ref="B130" r:id="rId1"/>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AF129"/>
  <sheetViews>
    <sheetView workbookViewId="0">
      <pane ySplit="4" topLeftCell="A26" activePane="bottomLeft" state="frozen"/>
      <selection pane="bottomLeft" activeCell="A126" sqref="A126"/>
    </sheetView>
  </sheetViews>
  <sheetFormatPr defaultColWidth="13.25" defaultRowHeight="12.75"/>
  <cols>
    <col min="1" max="1" width="13.25" style="654"/>
    <col min="2" max="2" width="27.375" style="654" customWidth="1"/>
    <col min="3" max="4" width="13.25" style="654"/>
    <col min="5" max="5" width="19.875" style="654" customWidth="1"/>
    <col min="6" max="9" width="13.25" style="654"/>
    <col min="10" max="32" width="13.25" style="844"/>
    <col min="33" max="16384" width="13.25" style="654"/>
  </cols>
  <sheetData>
    <row r="1" spans="1:31" ht="15.75">
      <c r="A1" s="1068" t="s">
        <v>1103</v>
      </c>
      <c r="B1" s="1049"/>
      <c r="J1" s="654"/>
      <c r="K1" s="654"/>
      <c r="L1" s="654"/>
      <c r="M1" s="1051"/>
      <c r="N1" s="1050"/>
      <c r="O1" s="1050"/>
      <c r="P1" s="1050"/>
      <c r="Q1" s="1050"/>
      <c r="R1" s="1050"/>
      <c r="S1" s="1051"/>
      <c r="T1" s="1050"/>
      <c r="U1" s="1050"/>
      <c r="V1" s="1050"/>
      <c r="W1" s="1050"/>
      <c r="X1" s="1050"/>
      <c r="Y1" s="1048"/>
      <c r="Z1" s="654"/>
      <c r="AA1" s="654"/>
      <c r="AB1" s="654"/>
      <c r="AC1" s="654"/>
      <c r="AD1" s="654"/>
    </row>
    <row r="2" spans="1:31" s="844" customFormat="1">
      <c r="A2" s="654"/>
      <c r="B2" s="654"/>
      <c r="C2" s="654"/>
      <c r="D2" s="654"/>
      <c r="F2" s="654"/>
      <c r="H2" s="1050"/>
      <c r="I2" s="1050"/>
      <c r="J2" s="1050"/>
      <c r="K2" s="1050"/>
      <c r="L2" s="1050"/>
      <c r="M2" s="1050"/>
      <c r="N2" s="1050"/>
      <c r="O2" s="1050"/>
      <c r="P2" s="1050"/>
      <c r="Q2" s="1050"/>
      <c r="R2" s="1050"/>
      <c r="S2" s="1050"/>
      <c r="T2" s="1050"/>
      <c r="U2" s="1050"/>
      <c r="V2" s="1050"/>
      <c r="W2" s="1050"/>
      <c r="X2" s="1050"/>
      <c r="Y2" s="1050"/>
      <c r="Z2" s="1050"/>
      <c r="AA2" s="1050"/>
      <c r="AB2" s="1050"/>
      <c r="AC2" s="1050"/>
      <c r="AD2" s="1050"/>
      <c r="AE2" s="1050"/>
    </row>
    <row r="3" spans="1:31" s="844" customFormat="1">
      <c r="A3" s="1052" t="s">
        <v>372</v>
      </c>
      <c r="B3" s="1052" t="s">
        <v>373</v>
      </c>
      <c r="C3" s="1053" t="s">
        <v>393</v>
      </c>
      <c r="D3" s="1054" t="s">
        <v>394</v>
      </c>
      <c r="E3" s="1054" t="s">
        <v>555</v>
      </c>
      <c r="F3" s="1054" t="s">
        <v>395</v>
      </c>
      <c r="G3" s="1055" t="s">
        <v>595</v>
      </c>
      <c r="H3" s="1062" t="s">
        <v>631</v>
      </c>
      <c r="I3" s="1063" t="s">
        <v>632</v>
      </c>
      <c r="J3" s="1063" t="s">
        <v>633</v>
      </c>
      <c r="K3" s="1063" t="s">
        <v>634</v>
      </c>
      <c r="L3" s="1063" t="s">
        <v>635</v>
      </c>
      <c r="M3" s="1064" t="s">
        <v>636</v>
      </c>
      <c r="N3" s="1062" t="s">
        <v>637</v>
      </c>
      <c r="O3" s="1063" t="s">
        <v>638</v>
      </c>
      <c r="P3" s="1063" t="s">
        <v>639</v>
      </c>
      <c r="Q3" s="1063" t="s">
        <v>640</v>
      </c>
      <c r="R3" s="1063" t="s">
        <v>641</v>
      </c>
      <c r="S3" s="1064" t="s">
        <v>642</v>
      </c>
      <c r="T3" s="1062" t="s">
        <v>643</v>
      </c>
      <c r="U3" s="1063" t="s">
        <v>644</v>
      </c>
      <c r="V3" s="1063" t="s">
        <v>645</v>
      </c>
      <c r="W3" s="1063" t="s">
        <v>646</v>
      </c>
      <c r="X3" s="1063" t="s">
        <v>647</v>
      </c>
      <c r="Y3" s="1064" t="s">
        <v>648</v>
      </c>
      <c r="Z3" s="1062" t="s">
        <v>649</v>
      </c>
      <c r="AA3" s="1063" t="s">
        <v>650</v>
      </c>
      <c r="AB3" s="1063" t="s">
        <v>651</v>
      </c>
      <c r="AC3" s="1063" t="s">
        <v>652</v>
      </c>
      <c r="AD3" s="1063" t="s">
        <v>653</v>
      </c>
      <c r="AE3" s="1064" t="s">
        <v>654</v>
      </c>
    </row>
    <row r="4" spans="1:31" s="844" customFormat="1">
      <c r="A4" s="1059">
        <v>999</v>
      </c>
      <c r="B4" s="1059" t="s">
        <v>9</v>
      </c>
      <c r="C4" s="1056">
        <f t="shared" ref="C4:L4" si="0">SUM(C5:C124)</f>
        <v>1015114.73</v>
      </c>
      <c r="D4" s="1057">
        <f t="shared" si="0"/>
        <v>24314296.699999999</v>
      </c>
      <c r="E4" s="1057">
        <f t="shared" si="0"/>
        <v>7195014.8799999962</v>
      </c>
      <c r="F4" s="1057">
        <f t="shared" si="0"/>
        <v>6793766.4099999983</v>
      </c>
      <c r="G4" s="1058">
        <f t="shared" si="0"/>
        <v>401248.46999999986</v>
      </c>
      <c r="H4" s="1056">
        <f t="shared" si="0"/>
        <v>0</v>
      </c>
      <c r="I4" s="1057">
        <f t="shared" si="0"/>
        <v>0</v>
      </c>
      <c r="J4" s="1057">
        <f t="shared" si="0"/>
        <v>22273398.399999999</v>
      </c>
      <c r="K4" s="1057">
        <f t="shared" si="0"/>
        <v>5568349.5400000019</v>
      </c>
      <c r="L4" s="1057">
        <f t="shared" si="0"/>
        <v>8000</v>
      </c>
      <c r="M4" s="1065">
        <f t="shared" ref="M4:Y4" si="1">SUM(M5:M124)</f>
        <v>27849747.940000001</v>
      </c>
      <c r="N4" s="1066">
        <f t="shared" si="1"/>
        <v>0</v>
      </c>
      <c r="O4" s="1067">
        <f t="shared" si="1"/>
        <v>0</v>
      </c>
      <c r="P4" s="1067">
        <f t="shared" si="1"/>
        <v>2040047.6599999995</v>
      </c>
      <c r="Q4" s="1067">
        <f t="shared" si="1"/>
        <v>1224028.99</v>
      </c>
      <c r="R4" s="1067">
        <f t="shared" si="1"/>
        <v>393248.48999999987</v>
      </c>
      <c r="S4" s="1065">
        <f t="shared" si="1"/>
        <v>3657325.1399999997</v>
      </c>
      <c r="T4" s="1066">
        <f t="shared" si="1"/>
        <v>1008399.1799999999</v>
      </c>
      <c r="U4" s="1067">
        <f t="shared" si="1"/>
        <v>0</v>
      </c>
      <c r="V4" s="1067">
        <f t="shared" si="1"/>
        <v>0</v>
      </c>
      <c r="W4" s="1067">
        <f t="shared" si="1"/>
        <v>0</v>
      </c>
      <c r="X4" s="1067">
        <f t="shared" si="1"/>
        <v>0</v>
      </c>
      <c r="Y4" s="1065">
        <f t="shared" si="1"/>
        <v>1008399.1799999999</v>
      </c>
      <c r="Z4" s="1056">
        <f t="shared" ref="Z4:AE4" si="2">SUM(Z5:Z124)</f>
        <v>6715.55</v>
      </c>
      <c r="AA4" s="1057">
        <f t="shared" si="2"/>
        <v>0</v>
      </c>
      <c r="AB4" s="1057">
        <f t="shared" si="2"/>
        <v>850.64</v>
      </c>
      <c r="AC4" s="1057">
        <f t="shared" si="2"/>
        <v>1387.88</v>
      </c>
      <c r="AD4" s="1057">
        <f t="shared" si="2"/>
        <v>-0.02</v>
      </c>
      <c r="AE4" s="1058">
        <f t="shared" si="2"/>
        <v>8954.0499999999993</v>
      </c>
    </row>
    <row r="5" spans="1:31" s="844" customFormat="1">
      <c r="A5" s="1061" t="s">
        <v>10</v>
      </c>
      <c r="B5" s="1061" t="s">
        <v>11</v>
      </c>
      <c r="C5" s="1023">
        <f>+H5+I5+N5+O5+T5+U5+Z5+AA5</f>
        <v>1135.1199999999999</v>
      </c>
      <c r="D5" s="1024">
        <f>+J5+P5+V5+AB5</f>
        <v>192847.95</v>
      </c>
      <c r="E5" s="1024">
        <f>+F5+G5</f>
        <v>48226.25</v>
      </c>
      <c r="F5" s="1024">
        <f>+K5+Q5+W5+AC5</f>
        <v>48226.25</v>
      </c>
      <c r="G5" s="1025">
        <f>+L5+R5+X5+AD5</f>
        <v>0</v>
      </c>
      <c r="H5" s="1029">
        <v>0</v>
      </c>
      <c r="I5" s="1030">
        <v>0</v>
      </c>
      <c r="J5" s="1030">
        <v>192807.2</v>
      </c>
      <c r="K5" s="1030">
        <v>48201.8</v>
      </c>
      <c r="L5" s="1030">
        <v>0</v>
      </c>
      <c r="M5" s="1031">
        <v>241009</v>
      </c>
      <c r="N5" s="1029">
        <v>0</v>
      </c>
      <c r="O5" s="1030">
        <v>0</v>
      </c>
      <c r="P5" s="1030">
        <v>40.75</v>
      </c>
      <c r="Q5" s="1030">
        <v>24.45</v>
      </c>
      <c r="R5" s="1030">
        <v>0</v>
      </c>
      <c r="S5" s="1031">
        <v>65.2</v>
      </c>
      <c r="T5" s="1029">
        <v>1135.1199999999999</v>
      </c>
      <c r="U5" s="1030">
        <v>0</v>
      </c>
      <c r="V5" s="1030">
        <v>0</v>
      </c>
      <c r="W5" s="1030">
        <v>0</v>
      </c>
      <c r="X5" s="1030">
        <v>0</v>
      </c>
      <c r="Y5" s="1031">
        <v>1135.1199999999999</v>
      </c>
      <c r="Z5" s="1032"/>
      <c r="AA5" s="1033"/>
      <c r="AB5" s="1033"/>
      <c r="AC5" s="1033"/>
      <c r="AD5" s="1033"/>
      <c r="AE5" s="1034"/>
    </row>
    <row r="6" spans="1:31" s="844" customFormat="1">
      <c r="A6" s="1061" t="s">
        <v>12</v>
      </c>
      <c r="B6" s="1061" t="s">
        <v>13</v>
      </c>
      <c r="C6" s="1023">
        <f t="shared" ref="C6:C69" si="3">+H6+I6+N6+O6+T6+U6+Z6+AA6</f>
        <v>4233</v>
      </c>
      <c r="D6" s="1024">
        <f t="shared" ref="D6:D69" si="4">+J6+P6+V6+AB6</f>
        <v>134633.53</v>
      </c>
      <c r="E6" s="1024">
        <f t="shared" ref="E6:E69" si="5">+F6+G6</f>
        <v>34622.61</v>
      </c>
      <c r="F6" s="1024">
        <f t="shared" ref="F6:G69" si="6">+K6+Q6+W6+AC6</f>
        <v>34622.71</v>
      </c>
      <c r="G6" s="1025">
        <f t="shared" si="6"/>
        <v>-0.1</v>
      </c>
      <c r="H6" s="1029">
        <v>0</v>
      </c>
      <c r="I6" s="1030">
        <v>0</v>
      </c>
      <c r="J6" s="1030">
        <v>131878.39999999999</v>
      </c>
      <c r="K6" s="1030">
        <v>32969.599999999999</v>
      </c>
      <c r="L6" s="1030">
        <v>0</v>
      </c>
      <c r="M6" s="1031">
        <v>164848</v>
      </c>
      <c r="N6" s="1029">
        <v>0</v>
      </c>
      <c r="O6" s="1030">
        <v>0</v>
      </c>
      <c r="P6" s="1030">
        <v>2755.13</v>
      </c>
      <c r="Q6" s="1030">
        <v>1653.11</v>
      </c>
      <c r="R6" s="1030">
        <v>-0.1</v>
      </c>
      <c r="S6" s="1031">
        <v>4408.1400000000003</v>
      </c>
      <c r="T6" s="1029">
        <v>4233</v>
      </c>
      <c r="U6" s="1030">
        <v>0</v>
      </c>
      <c r="V6" s="1030">
        <v>0</v>
      </c>
      <c r="W6" s="1030">
        <v>0</v>
      </c>
      <c r="X6" s="1030">
        <v>0</v>
      </c>
      <c r="Y6" s="1031">
        <v>4233</v>
      </c>
      <c r="Z6" s="1032"/>
      <c r="AA6" s="1033"/>
      <c r="AB6" s="1033"/>
      <c r="AC6" s="1033"/>
      <c r="AD6" s="1033"/>
      <c r="AE6" s="1034"/>
    </row>
    <row r="7" spans="1:31" s="844" customFormat="1">
      <c r="A7" s="1061" t="s">
        <v>16</v>
      </c>
      <c r="B7" s="1061" t="s">
        <v>364</v>
      </c>
      <c r="C7" s="1023">
        <f t="shared" si="3"/>
        <v>0</v>
      </c>
      <c r="D7" s="1024">
        <f t="shared" si="4"/>
        <v>76699.399999999994</v>
      </c>
      <c r="E7" s="1024">
        <f t="shared" si="5"/>
        <v>19393.599999999999</v>
      </c>
      <c r="F7" s="1024">
        <f t="shared" si="6"/>
        <v>19393.599999999999</v>
      </c>
      <c r="G7" s="1025">
        <f t="shared" si="6"/>
        <v>0</v>
      </c>
      <c r="H7" s="1029">
        <v>0</v>
      </c>
      <c r="I7" s="1030">
        <v>0</v>
      </c>
      <c r="J7" s="1030">
        <v>76074.399999999994</v>
      </c>
      <c r="K7" s="1030">
        <v>19018.599999999999</v>
      </c>
      <c r="L7" s="1030">
        <v>0</v>
      </c>
      <c r="M7" s="1031">
        <v>95093</v>
      </c>
      <c r="N7" s="1029">
        <v>0</v>
      </c>
      <c r="O7" s="1030">
        <v>0</v>
      </c>
      <c r="P7" s="1030">
        <v>625</v>
      </c>
      <c r="Q7" s="1030">
        <v>375</v>
      </c>
      <c r="R7" s="1030">
        <v>0</v>
      </c>
      <c r="S7" s="1031">
        <v>1000</v>
      </c>
      <c r="T7" s="1032"/>
      <c r="U7" s="1033"/>
      <c r="V7" s="1033"/>
      <c r="W7" s="1033"/>
      <c r="X7" s="1033"/>
      <c r="Y7" s="1034"/>
      <c r="Z7" s="1032"/>
      <c r="AA7" s="1033"/>
      <c r="AB7" s="1033"/>
      <c r="AC7" s="1033"/>
      <c r="AD7" s="1033"/>
      <c r="AE7" s="1034"/>
    </row>
    <row r="8" spans="1:31" s="844" customFormat="1">
      <c r="A8" s="1061" t="s">
        <v>18</v>
      </c>
      <c r="B8" s="1061" t="s">
        <v>19</v>
      </c>
      <c r="C8" s="1023">
        <f t="shared" si="3"/>
        <v>0</v>
      </c>
      <c r="D8" s="1024">
        <f t="shared" si="4"/>
        <v>75466.399999999994</v>
      </c>
      <c r="E8" s="1024">
        <f t="shared" si="5"/>
        <v>18866.599999999999</v>
      </c>
      <c r="F8" s="1024">
        <f t="shared" si="6"/>
        <v>18866.599999999999</v>
      </c>
      <c r="G8" s="1025">
        <f t="shared" si="6"/>
        <v>0</v>
      </c>
      <c r="H8" s="1029">
        <v>0</v>
      </c>
      <c r="I8" s="1030">
        <v>0</v>
      </c>
      <c r="J8" s="1030">
        <v>75466.399999999994</v>
      </c>
      <c r="K8" s="1030">
        <v>18866.599999999999</v>
      </c>
      <c r="L8" s="1030">
        <v>0</v>
      </c>
      <c r="M8" s="1031">
        <v>94333</v>
      </c>
      <c r="N8" s="1032"/>
      <c r="O8" s="1033"/>
      <c r="P8" s="1033"/>
      <c r="Q8" s="1033"/>
      <c r="R8" s="1033"/>
      <c r="S8" s="1034"/>
      <c r="T8" s="1032"/>
      <c r="U8" s="1033"/>
      <c r="V8" s="1033"/>
      <c r="W8" s="1033"/>
      <c r="X8" s="1033"/>
      <c r="Y8" s="1034"/>
      <c r="Z8" s="1032"/>
      <c r="AA8" s="1033"/>
      <c r="AB8" s="1033"/>
      <c r="AC8" s="1033"/>
      <c r="AD8" s="1033"/>
      <c r="AE8" s="1034"/>
    </row>
    <row r="9" spans="1:31" s="844" customFormat="1">
      <c r="A9" s="1061" t="s">
        <v>20</v>
      </c>
      <c r="B9" s="1061" t="s">
        <v>21</v>
      </c>
      <c r="C9" s="1023">
        <f t="shared" si="3"/>
        <v>0</v>
      </c>
      <c r="D9" s="1024">
        <f t="shared" si="4"/>
        <v>84695.67</v>
      </c>
      <c r="E9" s="1024">
        <f t="shared" si="5"/>
        <v>20679.329999999998</v>
      </c>
      <c r="F9" s="1024">
        <f t="shared" si="6"/>
        <v>20679.32</v>
      </c>
      <c r="G9" s="1025">
        <f t="shared" si="6"/>
        <v>0.01</v>
      </c>
      <c r="H9" s="1029">
        <v>0</v>
      </c>
      <c r="I9" s="1030">
        <v>0</v>
      </c>
      <c r="J9" s="1030">
        <v>86108.800000000003</v>
      </c>
      <c r="K9" s="1030">
        <v>21527.200000000001</v>
      </c>
      <c r="L9" s="1030">
        <v>0</v>
      </c>
      <c r="M9" s="1031">
        <v>107636</v>
      </c>
      <c r="N9" s="1029">
        <v>0</v>
      </c>
      <c r="O9" s="1030">
        <v>0</v>
      </c>
      <c r="P9" s="1030">
        <v>-1413.13</v>
      </c>
      <c r="Q9" s="1030">
        <v>-847.88</v>
      </c>
      <c r="R9" s="1030">
        <v>0.01</v>
      </c>
      <c r="S9" s="1031">
        <v>-2261</v>
      </c>
      <c r="T9" s="1032"/>
      <c r="U9" s="1033"/>
      <c r="V9" s="1033"/>
      <c r="W9" s="1033"/>
      <c r="X9" s="1033"/>
      <c r="Y9" s="1034"/>
      <c r="Z9" s="1032"/>
      <c r="AA9" s="1033"/>
      <c r="AB9" s="1033"/>
      <c r="AC9" s="1033"/>
      <c r="AD9" s="1033"/>
      <c r="AE9" s="1034"/>
    </row>
    <row r="10" spans="1:31" s="844" customFormat="1">
      <c r="A10" s="1061" t="s">
        <v>22</v>
      </c>
      <c r="B10" s="1061" t="s">
        <v>23</v>
      </c>
      <c r="C10" s="1023">
        <f t="shared" si="3"/>
        <v>0</v>
      </c>
      <c r="D10" s="1024">
        <f t="shared" si="4"/>
        <v>80580</v>
      </c>
      <c r="E10" s="1024">
        <f t="shared" si="5"/>
        <v>20145</v>
      </c>
      <c r="F10" s="1024">
        <f t="shared" si="6"/>
        <v>20145</v>
      </c>
      <c r="G10" s="1025">
        <f t="shared" si="6"/>
        <v>0</v>
      </c>
      <c r="H10" s="1029">
        <v>0</v>
      </c>
      <c r="I10" s="1030">
        <v>0</v>
      </c>
      <c r="J10" s="1030">
        <v>80580</v>
      </c>
      <c r="K10" s="1030">
        <v>20145</v>
      </c>
      <c r="L10" s="1030">
        <v>0</v>
      </c>
      <c r="M10" s="1031">
        <v>100725</v>
      </c>
      <c r="N10" s="1032"/>
      <c r="O10" s="1033"/>
      <c r="P10" s="1033"/>
      <c r="Q10" s="1033"/>
      <c r="R10" s="1033"/>
      <c r="S10" s="1034"/>
      <c r="T10" s="1032"/>
      <c r="U10" s="1033"/>
      <c r="V10" s="1033"/>
      <c r="W10" s="1033"/>
      <c r="X10" s="1033"/>
      <c r="Y10" s="1034"/>
      <c r="Z10" s="1032"/>
      <c r="AA10" s="1033"/>
      <c r="AB10" s="1033"/>
      <c r="AC10" s="1033"/>
      <c r="AD10" s="1033"/>
      <c r="AE10" s="1034"/>
    </row>
    <row r="11" spans="1:31" s="844" customFormat="1">
      <c r="A11" s="1061" t="s">
        <v>24</v>
      </c>
      <c r="B11" s="1061" t="s">
        <v>25</v>
      </c>
      <c r="C11" s="1023">
        <f t="shared" si="3"/>
        <v>67327.97</v>
      </c>
      <c r="D11" s="1024">
        <f t="shared" si="4"/>
        <v>503473.80000000005</v>
      </c>
      <c r="E11" s="1024">
        <f t="shared" si="5"/>
        <v>205095.19</v>
      </c>
      <c r="F11" s="1024">
        <f t="shared" si="6"/>
        <v>205095.28</v>
      </c>
      <c r="G11" s="1025">
        <f t="shared" si="6"/>
        <v>-0.09</v>
      </c>
      <c r="H11" s="1029">
        <v>0</v>
      </c>
      <c r="I11" s="1030">
        <v>0</v>
      </c>
      <c r="J11" s="1030">
        <v>277111.58</v>
      </c>
      <c r="K11" s="1030">
        <v>69277.91</v>
      </c>
      <c r="L11" s="1030">
        <v>0</v>
      </c>
      <c r="M11" s="1031">
        <v>346389.49</v>
      </c>
      <c r="N11" s="1029">
        <v>0</v>
      </c>
      <c r="O11" s="1030">
        <v>0</v>
      </c>
      <c r="P11" s="1030">
        <v>226362.22</v>
      </c>
      <c r="Q11" s="1030">
        <v>135817.37</v>
      </c>
      <c r="R11" s="1030">
        <v>-0.09</v>
      </c>
      <c r="S11" s="1031">
        <v>362179.5</v>
      </c>
      <c r="T11" s="1029">
        <v>67327.97</v>
      </c>
      <c r="U11" s="1030">
        <v>0</v>
      </c>
      <c r="V11" s="1030">
        <v>0</v>
      </c>
      <c r="W11" s="1030">
        <v>0</v>
      </c>
      <c r="X11" s="1030">
        <v>0</v>
      </c>
      <c r="Y11" s="1031">
        <v>67327.97</v>
      </c>
      <c r="Z11" s="1032"/>
      <c r="AA11" s="1033"/>
      <c r="AB11" s="1033"/>
      <c r="AC11" s="1033"/>
      <c r="AD11" s="1033"/>
      <c r="AE11" s="1034"/>
    </row>
    <row r="12" spans="1:31" s="844" customFormat="1">
      <c r="A12" s="1061" t="s">
        <v>26</v>
      </c>
      <c r="B12" s="1061" t="s">
        <v>1114</v>
      </c>
      <c r="C12" s="1023">
        <f t="shared" si="3"/>
        <v>0</v>
      </c>
      <c r="D12" s="1024">
        <f t="shared" si="4"/>
        <v>319407.19</v>
      </c>
      <c r="E12" s="1024">
        <f t="shared" si="5"/>
        <v>95238.04</v>
      </c>
      <c r="F12" s="1024">
        <f t="shared" si="6"/>
        <v>88371.92</v>
      </c>
      <c r="G12" s="1025">
        <f t="shared" si="6"/>
        <v>6866.12</v>
      </c>
      <c r="H12" s="1029">
        <v>0</v>
      </c>
      <c r="I12" s="1030">
        <v>0</v>
      </c>
      <c r="J12" s="1030">
        <v>295064</v>
      </c>
      <c r="K12" s="1030">
        <v>73766</v>
      </c>
      <c r="L12" s="1030">
        <v>0</v>
      </c>
      <c r="M12" s="1031">
        <v>368830</v>
      </c>
      <c r="N12" s="1029">
        <v>0</v>
      </c>
      <c r="O12" s="1030">
        <v>0</v>
      </c>
      <c r="P12" s="1030">
        <v>24343.19</v>
      </c>
      <c r="Q12" s="1030">
        <v>14605.92</v>
      </c>
      <c r="R12" s="1030">
        <v>6866.12</v>
      </c>
      <c r="S12" s="1031">
        <v>45815.23</v>
      </c>
      <c r="T12" s="1032"/>
      <c r="U12" s="1033"/>
      <c r="V12" s="1033"/>
      <c r="W12" s="1033"/>
      <c r="X12" s="1033"/>
      <c r="Y12" s="1034"/>
      <c r="Z12" s="1032"/>
      <c r="AA12" s="1033"/>
      <c r="AB12" s="1033"/>
      <c r="AC12" s="1033"/>
      <c r="AD12" s="1033"/>
      <c r="AE12" s="1034"/>
    </row>
    <row r="13" spans="1:31" s="844" customFormat="1">
      <c r="A13" s="1061" t="s">
        <v>27</v>
      </c>
      <c r="B13" s="1061" t="s">
        <v>28</v>
      </c>
      <c r="C13" s="1023">
        <f t="shared" si="3"/>
        <v>0</v>
      </c>
      <c r="D13" s="1024">
        <f t="shared" si="4"/>
        <v>4128</v>
      </c>
      <c r="E13" s="1024">
        <f t="shared" si="5"/>
        <v>1032</v>
      </c>
      <c r="F13" s="1024">
        <f t="shared" si="6"/>
        <v>1032</v>
      </c>
      <c r="G13" s="1025">
        <f t="shared" si="6"/>
        <v>0</v>
      </c>
      <c r="H13" s="1029">
        <v>0</v>
      </c>
      <c r="I13" s="1030">
        <v>0</v>
      </c>
      <c r="J13" s="1030">
        <v>4128</v>
      </c>
      <c r="K13" s="1030">
        <v>1032</v>
      </c>
      <c r="L13" s="1030">
        <v>0</v>
      </c>
      <c r="M13" s="1031">
        <v>5160</v>
      </c>
      <c r="N13" s="1032"/>
      <c r="O13" s="1033"/>
      <c r="P13" s="1033"/>
      <c r="Q13" s="1033"/>
      <c r="R13" s="1033"/>
      <c r="S13" s="1034"/>
      <c r="T13" s="1032"/>
      <c r="U13" s="1033"/>
      <c r="V13" s="1033"/>
      <c r="W13" s="1033"/>
      <c r="X13" s="1033"/>
      <c r="Y13" s="1034"/>
      <c r="Z13" s="1032"/>
      <c r="AA13" s="1033"/>
      <c r="AB13" s="1033"/>
      <c r="AC13" s="1033"/>
      <c r="AD13" s="1033"/>
      <c r="AE13" s="1034"/>
    </row>
    <row r="14" spans="1:31" s="844" customFormat="1">
      <c r="A14" s="1061" t="s">
        <v>29</v>
      </c>
      <c r="B14" s="1061" t="s">
        <v>386</v>
      </c>
      <c r="C14" s="1023">
        <f t="shared" si="3"/>
        <v>0</v>
      </c>
      <c r="D14" s="1024">
        <f t="shared" si="4"/>
        <v>233558.39999999999</v>
      </c>
      <c r="E14" s="1024">
        <f t="shared" si="5"/>
        <v>58389.599999999999</v>
      </c>
      <c r="F14" s="1024">
        <f t="shared" si="6"/>
        <v>58389.599999999999</v>
      </c>
      <c r="G14" s="1025">
        <f t="shared" si="6"/>
        <v>0</v>
      </c>
      <c r="H14" s="1029">
        <v>0</v>
      </c>
      <c r="I14" s="1030">
        <v>0</v>
      </c>
      <c r="J14" s="1030">
        <v>233558.39999999999</v>
      </c>
      <c r="K14" s="1030">
        <v>58389.599999999999</v>
      </c>
      <c r="L14" s="1030">
        <v>0</v>
      </c>
      <c r="M14" s="1031">
        <v>291948</v>
      </c>
      <c r="N14" s="1032"/>
      <c r="O14" s="1033"/>
      <c r="P14" s="1033"/>
      <c r="Q14" s="1033"/>
      <c r="R14" s="1033"/>
      <c r="S14" s="1034"/>
      <c r="T14" s="1032"/>
      <c r="U14" s="1033"/>
      <c r="V14" s="1033"/>
      <c r="W14" s="1033"/>
      <c r="X14" s="1033"/>
      <c r="Y14" s="1034"/>
      <c r="Z14" s="1032"/>
      <c r="AA14" s="1033"/>
      <c r="AB14" s="1033"/>
      <c r="AC14" s="1033"/>
      <c r="AD14" s="1033"/>
      <c r="AE14" s="1034"/>
    </row>
    <row r="15" spans="1:31" s="844" customFormat="1">
      <c r="A15" s="1061" t="s">
        <v>31</v>
      </c>
      <c r="B15" s="1061" t="s">
        <v>32</v>
      </c>
      <c r="C15" s="1023">
        <f t="shared" si="3"/>
        <v>0</v>
      </c>
      <c r="D15" s="1024">
        <f t="shared" si="4"/>
        <v>7968</v>
      </c>
      <c r="E15" s="1024">
        <f t="shared" si="5"/>
        <v>1992</v>
      </c>
      <c r="F15" s="1024">
        <f t="shared" si="6"/>
        <v>1992</v>
      </c>
      <c r="G15" s="1025">
        <f t="shared" si="6"/>
        <v>0</v>
      </c>
      <c r="H15" s="1029">
        <v>0</v>
      </c>
      <c r="I15" s="1030">
        <v>0</v>
      </c>
      <c r="J15" s="1030">
        <v>7968</v>
      </c>
      <c r="K15" s="1030">
        <v>1992</v>
      </c>
      <c r="L15" s="1030">
        <v>0</v>
      </c>
      <c r="M15" s="1031">
        <v>9960</v>
      </c>
      <c r="N15" s="1032"/>
      <c r="O15" s="1033"/>
      <c r="P15" s="1033"/>
      <c r="Q15" s="1033"/>
      <c r="R15" s="1033"/>
      <c r="S15" s="1034"/>
      <c r="T15" s="1032"/>
      <c r="U15" s="1033"/>
      <c r="V15" s="1033"/>
      <c r="W15" s="1033"/>
      <c r="X15" s="1033"/>
      <c r="Y15" s="1034"/>
      <c r="Z15" s="1032"/>
      <c r="AA15" s="1033"/>
      <c r="AB15" s="1033"/>
      <c r="AC15" s="1033"/>
      <c r="AD15" s="1033"/>
      <c r="AE15" s="1034"/>
    </row>
    <row r="16" spans="1:31" s="844" customFormat="1">
      <c r="A16" s="1061" t="s">
        <v>33</v>
      </c>
      <c r="B16" s="1061" t="s">
        <v>34</v>
      </c>
      <c r="C16" s="1023">
        <f t="shared" si="3"/>
        <v>0</v>
      </c>
      <c r="D16" s="1024">
        <f t="shared" si="4"/>
        <v>69078.98</v>
      </c>
      <c r="E16" s="1024">
        <f t="shared" si="5"/>
        <v>17783.189999999999</v>
      </c>
      <c r="F16" s="1024">
        <f t="shared" si="6"/>
        <v>17783.189999999999</v>
      </c>
      <c r="G16" s="1025">
        <f t="shared" si="6"/>
        <v>0</v>
      </c>
      <c r="H16" s="1029">
        <v>0</v>
      </c>
      <c r="I16" s="1030">
        <v>0</v>
      </c>
      <c r="J16" s="1030">
        <v>67612</v>
      </c>
      <c r="K16" s="1030">
        <v>16903</v>
      </c>
      <c r="L16" s="1030">
        <v>0</v>
      </c>
      <c r="M16" s="1031">
        <v>84515</v>
      </c>
      <c r="N16" s="1029">
        <v>0</v>
      </c>
      <c r="O16" s="1030">
        <v>0</v>
      </c>
      <c r="P16" s="1030">
        <v>1466.98</v>
      </c>
      <c r="Q16" s="1030">
        <v>880.19</v>
      </c>
      <c r="R16" s="1030">
        <v>0</v>
      </c>
      <c r="S16" s="1031">
        <v>2347.17</v>
      </c>
      <c r="T16" s="1032"/>
      <c r="U16" s="1033"/>
      <c r="V16" s="1033"/>
      <c r="W16" s="1033"/>
      <c r="X16" s="1033"/>
      <c r="Y16" s="1034"/>
      <c r="Z16" s="1032"/>
      <c r="AA16" s="1033"/>
      <c r="AB16" s="1033"/>
      <c r="AC16" s="1033"/>
      <c r="AD16" s="1033"/>
      <c r="AE16" s="1034"/>
    </row>
    <row r="17" spans="1:31" s="844" customFormat="1">
      <c r="A17" s="1061" t="s">
        <v>37</v>
      </c>
      <c r="B17" s="1061" t="s">
        <v>38</v>
      </c>
      <c r="C17" s="1023">
        <f t="shared" si="3"/>
        <v>0</v>
      </c>
      <c r="D17" s="1024">
        <f t="shared" si="4"/>
        <v>121751.2</v>
      </c>
      <c r="E17" s="1024">
        <f t="shared" si="5"/>
        <v>30437.8</v>
      </c>
      <c r="F17" s="1024">
        <f t="shared" si="6"/>
        <v>30437.8</v>
      </c>
      <c r="G17" s="1025">
        <f t="shared" si="6"/>
        <v>0</v>
      </c>
      <c r="H17" s="1029">
        <v>0</v>
      </c>
      <c r="I17" s="1030">
        <v>0</v>
      </c>
      <c r="J17" s="1030">
        <v>121751.2</v>
      </c>
      <c r="K17" s="1030">
        <v>30437.8</v>
      </c>
      <c r="L17" s="1030">
        <v>0</v>
      </c>
      <c r="M17" s="1031">
        <v>152189</v>
      </c>
      <c r="N17" s="1032"/>
      <c r="O17" s="1033"/>
      <c r="P17" s="1033"/>
      <c r="Q17" s="1033"/>
      <c r="R17" s="1033"/>
      <c r="S17" s="1034"/>
      <c r="T17" s="1032"/>
      <c r="U17" s="1033"/>
      <c r="V17" s="1033"/>
      <c r="W17" s="1033"/>
      <c r="X17" s="1033"/>
      <c r="Y17" s="1034"/>
      <c r="Z17" s="1032"/>
      <c r="AA17" s="1033"/>
      <c r="AB17" s="1033"/>
      <c r="AC17" s="1033"/>
      <c r="AD17" s="1033"/>
      <c r="AE17" s="1034"/>
    </row>
    <row r="18" spans="1:31" s="844" customFormat="1">
      <c r="A18" s="1061" t="s">
        <v>39</v>
      </c>
      <c r="B18" s="1061" t="s">
        <v>40</v>
      </c>
      <c r="C18" s="1023">
        <f t="shared" si="3"/>
        <v>0</v>
      </c>
      <c r="D18" s="1024">
        <f t="shared" si="4"/>
        <v>107012.5</v>
      </c>
      <c r="E18" s="1024">
        <f t="shared" si="5"/>
        <v>26862.5</v>
      </c>
      <c r="F18" s="1024">
        <f t="shared" si="6"/>
        <v>26862.5</v>
      </c>
      <c r="G18" s="1025">
        <f t="shared" si="6"/>
        <v>0</v>
      </c>
      <c r="H18" s="1029">
        <v>0</v>
      </c>
      <c r="I18" s="1030">
        <v>0</v>
      </c>
      <c r="J18" s="1030">
        <v>106700</v>
      </c>
      <c r="K18" s="1030">
        <v>26675</v>
      </c>
      <c r="L18" s="1030">
        <v>0</v>
      </c>
      <c r="M18" s="1031">
        <v>133375</v>
      </c>
      <c r="N18" s="1029">
        <v>0</v>
      </c>
      <c r="O18" s="1030">
        <v>0</v>
      </c>
      <c r="P18" s="1030">
        <v>312.5</v>
      </c>
      <c r="Q18" s="1030">
        <v>187.5</v>
      </c>
      <c r="R18" s="1030">
        <v>0</v>
      </c>
      <c r="S18" s="1031">
        <v>500</v>
      </c>
      <c r="T18" s="1032"/>
      <c r="U18" s="1033"/>
      <c r="V18" s="1033"/>
      <c r="W18" s="1033"/>
      <c r="X18" s="1033"/>
      <c r="Y18" s="1034"/>
      <c r="Z18" s="1032"/>
      <c r="AA18" s="1033"/>
      <c r="AB18" s="1033"/>
      <c r="AC18" s="1033"/>
      <c r="AD18" s="1033"/>
      <c r="AE18" s="1034"/>
    </row>
    <row r="19" spans="1:31" s="844" customFormat="1">
      <c r="A19" s="1061" t="s">
        <v>41</v>
      </c>
      <c r="B19" s="1061" t="s">
        <v>42</v>
      </c>
      <c r="C19" s="1023">
        <f t="shared" si="3"/>
        <v>0</v>
      </c>
      <c r="D19" s="1024">
        <f t="shared" si="4"/>
        <v>61473.599999999999</v>
      </c>
      <c r="E19" s="1024">
        <f t="shared" si="5"/>
        <v>15368.4</v>
      </c>
      <c r="F19" s="1024">
        <f t="shared" si="6"/>
        <v>15368.4</v>
      </c>
      <c r="G19" s="1025">
        <f t="shared" si="6"/>
        <v>0</v>
      </c>
      <c r="H19" s="1029">
        <v>0</v>
      </c>
      <c r="I19" s="1030">
        <v>0</v>
      </c>
      <c r="J19" s="1030">
        <v>61473.599999999999</v>
      </c>
      <c r="K19" s="1030">
        <v>15368.4</v>
      </c>
      <c r="L19" s="1030">
        <v>0</v>
      </c>
      <c r="M19" s="1031">
        <v>76842</v>
      </c>
      <c r="N19" s="1032"/>
      <c r="O19" s="1033"/>
      <c r="P19" s="1033"/>
      <c r="Q19" s="1033"/>
      <c r="R19" s="1033"/>
      <c r="S19" s="1034"/>
      <c r="T19" s="1032"/>
      <c r="U19" s="1033"/>
      <c r="V19" s="1033"/>
      <c r="W19" s="1033"/>
      <c r="X19" s="1033"/>
      <c r="Y19" s="1034"/>
      <c r="Z19" s="1032"/>
      <c r="AA19" s="1033"/>
      <c r="AB19" s="1033"/>
      <c r="AC19" s="1033"/>
      <c r="AD19" s="1033"/>
      <c r="AE19" s="1034"/>
    </row>
    <row r="20" spans="1:31" s="844" customFormat="1">
      <c r="A20" s="1061" t="s">
        <v>43</v>
      </c>
      <c r="B20" s="1061" t="s">
        <v>44</v>
      </c>
      <c r="C20" s="1023">
        <f t="shared" si="3"/>
        <v>0</v>
      </c>
      <c r="D20" s="1024">
        <f t="shared" si="4"/>
        <v>203995.88</v>
      </c>
      <c r="E20" s="1024">
        <f t="shared" si="5"/>
        <v>60705.599999999999</v>
      </c>
      <c r="F20" s="1024">
        <f t="shared" si="6"/>
        <v>60705.7</v>
      </c>
      <c r="G20" s="1025">
        <f t="shared" si="6"/>
        <v>-0.1</v>
      </c>
      <c r="H20" s="1029">
        <v>0</v>
      </c>
      <c r="I20" s="1030">
        <v>0</v>
      </c>
      <c r="J20" s="1030">
        <v>176262.39999999999</v>
      </c>
      <c r="K20" s="1030">
        <v>44065.599999999999</v>
      </c>
      <c r="L20" s="1030">
        <v>0</v>
      </c>
      <c r="M20" s="1031">
        <v>220328</v>
      </c>
      <c r="N20" s="1029">
        <v>0</v>
      </c>
      <c r="O20" s="1030">
        <v>0</v>
      </c>
      <c r="P20" s="1030">
        <v>27733.48</v>
      </c>
      <c r="Q20" s="1030">
        <v>16640.099999999999</v>
      </c>
      <c r="R20" s="1030">
        <v>-0.1</v>
      </c>
      <c r="S20" s="1031">
        <v>44373.48</v>
      </c>
      <c r="T20" s="1032"/>
      <c r="U20" s="1033"/>
      <c r="V20" s="1033"/>
      <c r="W20" s="1033"/>
      <c r="X20" s="1033"/>
      <c r="Y20" s="1034"/>
      <c r="Z20" s="1032"/>
      <c r="AA20" s="1033"/>
      <c r="AB20" s="1033"/>
      <c r="AC20" s="1033"/>
      <c r="AD20" s="1033"/>
      <c r="AE20" s="1034"/>
    </row>
    <row r="21" spans="1:31" s="844" customFormat="1">
      <c r="A21" s="1061" t="s">
        <v>45</v>
      </c>
      <c r="B21" s="1061" t="s">
        <v>46</v>
      </c>
      <c r="C21" s="1023">
        <f t="shared" si="3"/>
        <v>0</v>
      </c>
      <c r="D21" s="1024">
        <f t="shared" si="4"/>
        <v>43697.630000000005</v>
      </c>
      <c r="E21" s="1024">
        <f t="shared" si="5"/>
        <v>13027.52</v>
      </c>
      <c r="F21" s="1024">
        <f t="shared" si="6"/>
        <v>13027.52</v>
      </c>
      <c r="G21" s="1025">
        <f t="shared" si="6"/>
        <v>0</v>
      </c>
      <c r="H21" s="1029">
        <v>0</v>
      </c>
      <c r="I21" s="1030">
        <v>0</v>
      </c>
      <c r="J21" s="1030">
        <v>37688.800000000003</v>
      </c>
      <c r="K21" s="1030">
        <v>9422.2000000000007</v>
      </c>
      <c r="L21" s="1030">
        <v>0</v>
      </c>
      <c r="M21" s="1031">
        <v>47111</v>
      </c>
      <c r="N21" s="1029">
        <v>0</v>
      </c>
      <c r="O21" s="1030">
        <v>0</v>
      </c>
      <c r="P21" s="1030">
        <v>6008.83</v>
      </c>
      <c r="Q21" s="1030">
        <v>3605.32</v>
      </c>
      <c r="R21" s="1030">
        <v>0</v>
      </c>
      <c r="S21" s="1031">
        <v>9614.15</v>
      </c>
      <c r="T21" s="1032"/>
      <c r="U21" s="1033"/>
      <c r="V21" s="1033"/>
      <c r="W21" s="1033"/>
      <c r="X21" s="1033"/>
      <c r="Y21" s="1034"/>
      <c r="Z21" s="1032"/>
      <c r="AA21" s="1033"/>
      <c r="AB21" s="1033"/>
      <c r="AC21" s="1033"/>
      <c r="AD21" s="1033"/>
      <c r="AE21" s="1034"/>
    </row>
    <row r="22" spans="1:31" s="844" customFormat="1">
      <c r="A22" s="1061" t="s">
        <v>47</v>
      </c>
      <c r="B22" s="1061" t="s">
        <v>48</v>
      </c>
      <c r="C22" s="1023">
        <f t="shared" si="3"/>
        <v>0</v>
      </c>
      <c r="D22" s="1024">
        <f t="shared" si="4"/>
        <v>137591.20000000001</v>
      </c>
      <c r="E22" s="1024">
        <f t="shared" si="5"/>
        <v>34397.800000000003</v>
      </c>
      <c r="F22" s="1024">
        <f t="shared" si="6"/>
        <v>34397.800000000003</v>
      </c>
      <c r="G22" s="1025">
        <f t="shared" si="6"/>
        <v>0</v>
      </c>
      <c r="H22" s="1029">
        <v>0</v>
      </c>
      <c r="I22" s="1030">
        <v>0</v>
      </c>
      <c r="J22" s="1030">
        <v>137591.20000000001</v>
      </c>
      <c r="K22" s="1030">
        <v>34397.800000000003</v>
      </c>
      <c r="L22" s="1030">
        <v>0</v>
      </c>
      <c r="M22" s="1031">
        <v>171989</v>
      </c>
      <c r="N22" s="1032"/>
      <c r="O22" s="1033"/>
      <c r="P22" s="1033"/>
      <c r="Q22" s="1033"/>
      <c r="R22" s="1033"/>
      <c r="S22" s="1034"/>
      <c r="T22" s="1032"/>
      <c r="U22" s="1033"/>
      <c r="V22" s="1033"/>
      <c r="W22" s="1033"/>
      <c r="X22" s="1033"/>
      <c r="Y22" s="1034"/>
      <c r="Z22" s="1032"/>
      <c r="AA22" s="1033"/>
      <c r="AB22" s="1033"/>
      <c r="AC22" s="1033"/>
      <c r="AD22" s="1033"/>
      <c r="AE22" s="1034"/>
    </row>
    <row r="23" spans="1:31" s="844" customFormat="1">
      <c r="A23" s="1061" t="s">
        <v>49</v>
      </c>
      <c r="B23" s="1061" t="s">
        <v>279</v>
      </c>
      <c r="C23" s="1023">
        <f t="shared" si="3"/>
        <v>0</v>
      </c>
      <c r="D23" s="1024">
        <f t="shared" si="4"/>
        <v>31395</v>
      </c>
      <c r="E23" s="1024">
        <f t="shared" si="5"/>
        <v>9726</v>
      </c>
      <c r="F23" s="1024">
        <f t="shared" si="6"/>
        <v>8169</v>
      </c>
      <c r="G23" s="1025">
        <f t="shared" si="6"/>
        <v>1557</v>
      </c>
      <c r="H23" s="1029">
        <v>0</v>
      </c>
      <c r="I23" s="1030">
        <v>0</v>
      </c>
      <c r="J23" s="1030">
        <v>30480</v>
      </c>
      <c r="K23" s="1030">
        <v>7620</v>
      </c>
      <c r="L23" s="1030">
        <v>1557</v>
      </c>
      <c r="M23" s="1031">
        <v>39657</v>
      </c>
      <c r="N23" s="1029">
        <v>0</v>
      </c>
      <c r="O23" s="1030">
        <v>0</v>
      </c>
      <c r="P23" s="1030">
        <v>915</v>
      </c>
      <c r="Q23" s="1030">
        <v>549</v>
      </c>
      <c r="R23" s="1030">
        <v>0</v>
      </c>
      <c r="S23" s="1031">
        <v>1464</v>
      </c>
      <c r="T23" s="1032"/>
      <c r="U23" s="1033"/>
      <c r="V23" s="1033"/>
      <c r="W23" s="1033"/>
      <c r="X23" s="1033"/>
      <c r="Y23" s="1034"/>
      <c r="Z23" s="1032"/>
      <c r="AA23" s="1033"/>
      <c r="AB23" s="1033"/>
      <c r="AC23" s="1033"/>
      <c r="AD23" s="1033"/>
      <c r="AE23" s="1034"/>
    </row>
    <row r="24" spans="1:31" s="844" customFormat="1">
      <c r="A24" s="1061" t="s">
        <v>51</v>
      </c>
      <c r="B24" s="1061" t="s">
        <v>52</v>
      </c>
      <c r="C24" s="1023">
        <f t="shared" si="3"/>
        <v>0</v>
      </c>
      <c r="D24" s="1024">
        <f t="shared" si="4"/>
        <v>95282.4</v>
      </c>
      <c r="E24" s="1024">
        <f t="shared" si="5"/>
        <v>23820.6</v>
      </c>
      <c r="F24" s="1024">
        <f t="shared" si="6"/>
        <v>23820.6</v>
      </c>
      <c r="G24" s="1025">
        <f t="shared" si="6"/>
        <v>0</v>
      </c>
      <c r="H24" s="1029">
        <v>0</v>
      </c>
      <c r="I24" s="1030">
        <v>0</v>
      </c>
      <c r="J24" s="1030">
        <v>95282.4</v>
      </c>
      <c r="K24" s="1030">
        <v>23820.6</v>
      </c>
      <c r="L24" s="1030">
        <v>0</v>
      </c>
      <c r="M24" s="1031">
        <v>119103</v>
      </c>
      <c r="N24" s="1032"/>
      <c r="O24" s="1033"/>
      <c r="P24" s="1033"/>
      <c r="Q24" s="1033"/>
      <c r="R24" s="1033"/>
      <c r="S24" s="1034"/>
      <c r="T24" s="1032"/>
      <c r="U24" s="1033"/>
      <c r="V24" s="1033"/>
      <c r="W24" s="1033"/>
      <c r="X24" s="1033"/>
      <c r="Y24" s="1034"/>
      <c r="Z24" s="1032"/>
      <c r="AA24" s="1033"/>
      <c r="AB24" s="1033"/>
      <c r="AC24" s="1033"/>
      <c r="AD24" s="1033"/>
      <c r="AE24" s="1034"/>
    </row>
    <row r="25" spans="1:31" s="844" customFormat="1">
      <c r="A25" s="1061" t="s">
        <v>57</v>
      </c>
      <c r="B25" s="1061" t="s">
        <v>362</v>
      </c>
      <c r="C25" s="1023">
        <f t="shared" si="3"/>
        <v>7089</v>
      </c>
      <c r="D25" s="1024">
        <f t="shared" si="4"/>
        <v>627714.97000000009</v>
      </c>
      <c r="E25" s="1024">
        <f t="shared" si="5"/>
        <v>192201.31999999998</v>
      </c>
      <c r="F25" s="1024">
        <f t="shared" si="6"/>
        <v>191879.38999999998</v>
      </c>
      <c r="G25" s="1025">
        <f t="shared" si="6"/>
        <v>321.93</v>
      </c>
      <c r="H25" s="1029">
        <v>0</v>
      </c>
      <c r="I25" s="1030">
        <v>0</v>
      </c>
      <c r="J25" s="1030">
        <v>527856.06000000006</v>
      </c>
      <c r="K25" s="1030">
        <v>131964.01999999999</v>
      </c>
      <c r="L25" s="1030">
        <v>0</v>
      </c>
      <c r="M25" s="1031">
        <v>659820.07999999996</v>
      </c>
      <c r="N25" s="1029">
        <v>0</v>
      </c>
      <c r="O25" s="1030">
        <v>0</v>
      </c>
      <c r="P25" s="1030">
        <v>99858.91</v>
      </c>
      <c r="Q25" s="1030">
        <v>59915.37</v>
      </c>
      <c r="R25" s="1030">
        <v>321.93</v>
      </c>
      <c r="S25" s="1031">
        <v>160096.21</v>
      </c>
      <c r="T25" s="1029">
        <v>7089</v>
      </c>
      <c r="U25" s="1030">
        <v>0</v>
      </c>
      <c r="V25" s="1030">
        <v>0</v>
      </c>
      <c r="W25" s="1030">
        <v>0</v>
      </c>
      <c r="X25" s="1030">
        <v>0</v>
      </c>
      <c r="Y25" s="1031">
        <v>7089</v>
      </c>
      <c r="Z25" s="1032"/>
      <c r="AA25" s="1033"/>
      <c r="AB25" s="1033"/>
      <c r="AC25" s="1033"/>
      <c r="AD25" s="1033"/>
      <c r="AE25" s="1034"/>
    </row>
    <row r="26" spans="1:31" s="844" customFormat="1">
      <c r="A26" s="1061" t="s">
        <v>59</v>
      </c>
      <c r="B26" s="1061" t="s">
        <v>60</v>
      </c>
      <c r="C26" s="1023">
        <f t="shared" si="3"/>
        <v>0</v>
      </c>
      <c r="D26" s="1024">
        <f t="shared" si="4"/>
        <v>35272.370000000003</v>
      </c>
      <c r="E26" s="1024">
        <f t="shared" si="5"/>
        <v>8997.1400000000012</v>
      </c>
      <c r="F26" s="1024">
        <f t="shared" si="6"/>
        <v>8997.1400000000012</v>
      </c>
      <c r="G26" s="1025">
        <f t="shared" si="6"/>
        <v>0</v>
      </c>
      <c r="H26" s="1029">
        <v>0</v>
      </c>
      <c r="I26" s="1030">
        <v>0</v>
      </c>
      <c r="J26" s="1030">
        <v>34760.800000000003</v>
      </c>
      <c r="K26" s="1030">
        <v>8690.2000000000007</v>
      </c>
      <c r="L26" s="1030">
        <v>0</v>
      </c>
      <c r="M26" s="1031">
        <v>43451</v>
      </c>
      <c r="N26" s="1029">
        <v>0</v>
      </c>
      <c r="O26" s="1030">
        <v>0</v>
      </c>
      <c r="P26" s="1030">
        <v>511.57</v>
      </c>
      <c r="Q26" s="1030">
        <v>306.94</v>
      </c>
      <c r="R26" s="1030">
        <v>0</v>
      </c>
      <c r="S26" s="1031">
        <v>818.51</v>
      </c>
      <c r="T26" s="1032"/>
      <c r="U26" s="1033"/>
      <c r="V26" s="1033"/>
      <c r="W26" s="1033"/>
      <c r="X26" s="1033"/>
      <c r="Y26" s="1034"/>
      <c r="Z26" s="1032"/>
      <c r="AA26" s="1033"/>
      <c r="AB26" s="1033"/>
      <c r="AC26" s="1033"/>
      <c r="AD26" s="1033"/>
      <c r="AE26" s="1034"/>
    </row>
    <row r="27" spans="1:31" s="844" customFormat="1">
      <c r="A27" s="1061" t="s">
        <v>61</v>
      </c>
      <c r="B27" s="1061" t="s">
        <v>62</v>
      </c>
      <c r="C27" s="1023">
        <f t="shared" si="3"/>
        <v>0</v>
      </c>
      <c r="D27" s="1024">
        <f t="shared" si="4"/>
        <v>21787.200000000001</v>
      </c>
      <c r="E27" s="1024">
        <f t="shared" si="5"/>
        <v>5446.8</v>
      </c>
      <c r="F27" s="1024">
        <f t="shared" si="6"/>
        <v>5446.8</v>
      </c>
      <c r="G27" s="1025">
        <f t="shared" si="6"/>
        <v>0</v>
      </c>
      <c r="H27" s="1029">
        <v>0</v>
      </c>
      <c r="I27" s="1030">
        <v>0</v>
      </c>
      <c r="J27" s="1030">
        <v>21787.200000000001</v>
      </c>
      <c r="K27" s="1030">
        <v>5446.8</v>
      </c>
      <c r="L27" s="1030">
        <v>0</v>
      </c>
      <c r="M27" s="1031">
        <v>27234</v>
      </c>
      <c r="N27" s="1032"/>
      <c r="O27" s="1033"/>
      <c r="P27" s="1033"/>
      <c r="Q27" s="1033"/>
      <c r="R27" s="1033"/>
      <c r="S27" s="1034"/>
      <c r="T27" s="1032"/>
      <c r="U27" s="1033"/>
      <c r="V27" s="1033"/>
      <c r="W27" s="1033"/>
      <c r="X27" s="1033"/>
      <c r="Y27" s="1034"/>
      <c r="Z27" s="1032"/>
      <c r="AA27" s="1033"/>
      <c r="AB27" s="1033"/>
      <c r="AC27" s="1033"/>
      <c r="AD27" s="1033"/>
      <c r="AE27" s="1034"/>
    </row>
    <row r="28" spans="1:31" s="844" customFormat="1">
      <c r="A28" s="1061" t="s">
        <v>63</v>
      </c>
      <c r="B28" s="1061" t="s">
        <v>64</v>
      </c>
      <c r="C28" s="1023">
        <f t="shared" si="3"/>
        <v>0</v>
      </c>
      <c r="D28" s="1024">
        <f t="shared" si="4"/>
        <v>70826.600000000006</v>
      </c>
      <c r="E28" s="1024">
        <f t="shared" si="5"/>
        <v>20755.32</v>
      </c>
      <c r="F28" s="1024">
        <f t="shared" si="6"/>
        <v>20337.32</v>
      </c>
      <c r="G28" s="1025">
        <f t="shared" si="6"/>
        <v>418</v>
      </c>
      <c r="H28" s="1029">
        <v>0</v>
      </c>
      <c r="I28" s="1030">
        <v>0</v>
      </c>
      <c r="J28" s="1030">
        <v>63310.400000000001</v>
      </c>
      <c r="K28" s="1030">
        <v>15827.6</v>
      </c>
      <c r="L28" s="1030">
        <v>0</v>
      </c>
      <c r="M28" s="1031">
        <v>79138</v>
      </c>
      <c r="N28" s="1029">
        <v>0</v>
      </c>
      <c r="O28" s="1030">
        <v>0</v>
      </c>
      <c r="P28" s="1030">
        <v>7516.2</v>
      </c>
      <c r="Q28" s="1030">
        <v>4509.72</v>
      </c>
      <c r="R28" s="1030">
        <v>418</v>
      </c>
      <c r="S28" s="1031">
        <v>12443.92</v>
      </c>
      <c r="T28" s="1032"/>
      <c r="U28" s="1033"/>
      <c r="V28" s="1033"/>
      <c r="W28" s="1033"/>
      <c r="X28" s="1033"/>
      <c r="Y28" s="1034"/>
      <c r="Z28" s="1032"/>
      <c r="AA28" s="1033"/>
      <c r="AB28" s="1033"/>
      <c r="AC28" s="1033"/>
      <c r="AD28" s="1033"/>
      <c r="AE28" s="1034"/>
    </row>
    <row r="29" spans="1:31" s="844" customFormat="1">
      <c r="A29" s="1061" t="s">
        <v>65</v>
      </c>
      <c r="B29" s="1061" t="s">
        <v>66</v>
      </c>
      <c r="C29" s="1023">
        <f t="shared" si="3"/>
        <v>0</v>
      </c>
      <c r="D29" s="1024">
        <f t="shared" si="4"/>
        <v>72044.680000000008</v>
      </c>
      <c r="E29" s="1024">
        <f t="shared" si="5"/>
        <v>18120.320000000003</v>
      </c>
      <c r="F29" s="1024">
        <f t="shared" si="6"/>
        <v>18120.330000000002</v>
      </c>
      <c r="G29" s="1025">
        <f t="shared" si="6"/>
        <v>-0.01</v>
      </c>
      <c r="H29" s="1029">
        <v>0</v>
      </c>
      <c r="I29" s="1030">
        <v>0</v>
      </c>
      <c r="J29" s="1030">
        <v>71732.800000000003</v>
      </c>
      <c r="K29" s="1030">
        <v>17933.2</v>
      </c>
      <c r="L29" s="1030">
        <v>0</v>
      </c>
      <c r="M29" s="1031">
        <v>89666</v>
      </c>
      <c r="N29" s="1029">
        <v>0</v>
      </c>
      <c r="O29" s="1030">
        <v>0</v>
      </c>
      <c r="P29" s="1030">
        <v>311.88</v>
      </c>
      <c r="Q29" s="1030">
        <v>187.13</v>
      </c>
      <c r="R29" s="1030">
        <v>-0.01</v>
      </c>
      <c r="S29" s="1031">
        <v>499</v>
      </c>
      <c r="T29" s="1032"/>
      <c r="U29" s="1033"/>
      <c r="V29" s="1033"/>
      <c r="W29" s="1033"/>
      <c r="X29" s="1033"/>
      <c r="Y29" s="1034"/>
      <c r="Z29" s="1032"/>
      <c r="AA29" s="1033"/>
      <c r="AB29" s="1033"/>
      <c r="AC29" s="1033"/>
      <c r="AD29" s="1033"/>
      <c r="AE29" s="1034"/>
    </row>
    <row r="30" spans="1:31" s="844" customFormat="1">
      <c r="A30" s="1061" t="s">
        <v>69</v>
      </c>
      <c r="B30" s="1061" t="s">
        <v>70</v>
      </c>
      <c r="C30" s="1023">
        <f t="shared" si="3"/>
        <v>0</v>
      </c>
      <c r="D30" s="1024">
        <f t="shared" si="4"/>
        <v>33920</v>
      </c>
      <c r="E30" s="1024">
        <f t="shared" si="5"/>
        <v>8480</v>
      </c>
      <c r="F30" s="1024">
        <f t="shared" si="6"/>
        <v>8480</v>
      </c>
      <c r="G30" s="1025">
        <f t="shared" si="6"/>
        <v>0</v>
      </c>
      <c r="H30" s="1029">
        <v>0</v>
      </c>
      <c r="I30" s="1030">
        <v>0</v>
      </c>
      <c r="J30" s="1030">
        <v>33920</v>
      </c>
      <c r="K30" s="1030">
        <v>8480</v>
      </c>
      <c r="L30" s="1030">
        <v>0</v>
      </c>
      <c r="M30" s="1031">
        <v>42400</v>
      </c>
      <c r="N30" s="1032"/>
      <c r="O30" s="1033"/>
      <c r="P30" s="1033"/>
      <c r="Q30" s="1033"/>
      <c r="R30" s="1033"/>
      <c r="S30" s="1034"/>
      <c r="T30" s="1032"/>
      <c r="U30" s="1033"/>
      <c r="V30" s="1033"/>
      <c r="W30" s="1033"/>
      <c r="X30" s="1033"/>
      <c r="Y30" s="1034"/>
      <c r="Z30" s="1032"/>
      <c r="AA30" s="1033"/>
      <c r="AB30" s="1033"/>
      <c r="AC30" s="1033"/>
      <c r="AD30" s="1033"/>
      <c r="AE30" s="1034"/>
    </row>
    <row r="31" spans="1:31" s="844" customFormat="1">
      <c r="A31" s="1061" t="s">
        <v>71</v>
      </c>
      <c r="B31" s="1061" t="s">
        <v>72</v>
      </c>
      <c r="C31" s="1023">
        <f t="shared" si="3"/>
        <v>0</v>
      </c>
      <c r="D31" s="1024">
        <f t="shared" si="4"/>
        <v>148562.4</v>
      </c>
      <c r="E31" s="1024">
        <f t="shared" si="5"/>
        <v>37140.6</v>
      </c>
      <c r="F31" s="1024">
        <f t="shared" si="6"/>
        <v>37140.6</v>
      </c>
      <c r="G31" s="1025">
        <f t="shared" si="6"/>
        <v>0</v>
      </c>
      <c r="H31" s="1029">
        <v>0</v>
      </c>
      <c r="I31" s="1030">
        <v>0</v>
      </c>
      <c r="J31" s="1030">
        <v>148562.4</v>
      </c>
      <c r="K31" s="1030">
        <v>37140.6</v>
      </c>
      <c r="L31" s="1030">
        <v>0</v>
      </c>
      <c r="M31" s="1031">
        <v>185703</v>
      </c>
      <c r="N31" s="1032"/>
      <c r="O31" s="1033"/>
      <c r="P31" s="1033"/>
      <c r="Q31" s="1033"/>
      <c r="R31" s="1033"/>
      <c r="S31" s="1034"/>
      <c r="T31" s="1032"/>
      <c r="U31" s="1033"/>
      <c r="V31" s="1033"/>
      <c r="W31" s="1033"/>
      <c r="X31" s="1033"/>
      <c r="Y31" s="1034"/>
      <c r="Z31" s="1032"/>
      <c r="AA31" s="1033"/>
      <c r="AB31" s="1033"/>
      <c r="AC31" s="1033"/>
      <c r="AD31" s="1033"/>
      <c r="AE31" s="1034"/>
    </row>
    <row r="32" spans="1:31" s="844" customFormat="1">
      <c r="A32" s="1061" t="s">
        <v>73</v>
      </c>
      <c r="B32" s="1061" t="s">
        <v>74</v>
      </c>
      <c r="C32" s="1023">
        <f t="shared" si="3"/>
        <v>0</v>
      </c>
      <c r="D32" s="1024">
        <f t="shared" si="4"/>
        <v>20565.599999999999</v>
      </c>
      <c r="E32" s="1024">
        <f t="shared" si="5"/>
        <v>5141.3999999999996</v>
      </c>
      <c r="F32" s="1024">
        <f t="shared" si="6"/>
        <v>5141.3999999999996</v>
      </c>
      <c r="G32" s="1025">
        <f t="shared" si="6"/>
        <v>0</v>
      </c>
      <c r="H32" s="1029">
        <v>0</v>
      </c>
      <c r="I32" s="1030">
        <v>0</v>
      </c>
      <c r="J32" s="1030">
        <v>20565.599999999999</v>
      </c>
      <c r="K32" s="1030">
        <v>5141.3999999999996</v>
      </c>
      <c r="L32" s="1030">
        <v>0</v>
      </c>
      <c r="M32" s="1031">
        <v>25707</v>
      </c>
      <c r="N32" s="1032"/>
      <c r="O32" s="1033"/>
      <c r="P32" s="1033"/>
      <c r="Q32" s="1033"/>
      <c r="R32" s="1033"/>
      <c r="S32" s="1034"/>
      <c r="T32" s="1032"/>
      <c r="U32" s="1033"/>
      <c r="V32" s="1033"/>
      <c r="W32" s="1033"/>
      <c r="X32" s="1033"/>
      <c r="Y32" s="1034"/>
      <c r="Z32" s="1032"/>
      <c r="AA32" s="1033"/>
      <c r="AB32" s="1033"/>
      <c r="AC32" s="1033"/>
      <c r="AD32" s="1033"/>
      <c r="AE32" s="1034"/>
    </row>
    <row r="33" spans="1:31" s="844" customFormat="1">
      <c r="A33" s="1061" t="s">
        <v>75</v>
      </c>
      <c r="B33" s="1061" t="s">
        <v>1034</v>
      </c>
      <c r="C33" s="1023">
        <f t="shared" si="3"/>
        <v>356241</v>
      </c>
      <c r="D33" s="1024">
        <f t="shared" si="4"/>
        <v>1552953.24</v>
      </c>
      <c r="E33" s="1024">
        <f t="shared" si="5"/>
        <v>673972.65999999992</v>
      </c>
      <c r="F33" s="1024">
        <f t="shared" si="6"/>
        <v>589382.97</v>
      </c>
      <c r="G33" s="1025">
        <f t="shared" si="6"/>
        <v>84589.69</v>
      </c>
      <c r="H33" s="1029">
        <v>0</v>
      </c>
      <c r="I33" s="1030">
        <v>0</v>
      </c>
      <c r="J33" s="1030">
        <v>978254.23</v>
      </c>
      <c r="K33" s="1030">
        <v>244563.56</v>
      </c>
      <c r="L33" s="1030">
        <v>0</v>
      </c>
      <c r="M33" s="1031">
        <v>1222817.79</v>
      </c>
      <c r="N33" s="1029">
        <v>0</v>
      </c>
      <c r="O33" s="1030">
        <v>0</v>
      </c>
      <c r="P33" s="1030">
        <v>574699.01</v>
      </c>
      <c r="Q33" s="1030">
        <v>344819.41</v>
      </c>
      <c r="R33" s="1030">
        <v>84589.69</v>
      </c>
      <c r="S33" s="1031">
        <v>1004108.11</v>
      </c>
      <c r="T33" s="1029">
        <v>356241</v>
      </c>
      <c r="U33" s="1030">
        <v>0</v>
      </c>
      <c r="V33" s="1030">
        <v>0</v>
      </c>
      <c r="W33" s="1030">
        <v>0</v>
      </c>
      <c r="X33" s="1030">
        <v>0</v>
      </c>
      <c r="Y33" s="1031">
        <v>356241</v>
      </c>
      <c r="Z33" s="1032"/>
      <c r="AA33" s="1033"/>
      <c r="AB33" s="1033"/>
      <c r="AC33" s="1033"/>
      <c r="AD33" s="1033"/>
      <c r="AE33" s="1034"/>
    </row>
    <row r="34" spans="1:31" s="844" customFormat="1">
      <c r="A34" s="1061" t="s">
        <v>77</v>
      </c>
      <c r="B34" s="1061" t="s">
        <v>78</v>
      </c>
      <c r="C34" s="1023">
        <f t="shared" si="3"/>
        <v>0</v>
      </c>
      <c r="D34" s="1024">
        <f t="shared" si="4"/>
        <v>96048.35</v>
      </c>
      <c r="E34" s="1024">
        <f t="shared" si="5"/>
        <v>26235.239999999998</v>
      </c>
      <c r="F34" s="1024">
        <f t="shared" si="6"/>
        <v>26245.21</v>
      </c>
      <c r="G34" s="1025">
        <f t="shared" si="6"/>
        <v>-9.9700000000000006</v>
      </c>
      <c r="H34" s="1029">
        <v>0</v>
      </c>
      <c r="I34" s="1030">
        <v>0</v>
      </c>
      <c r="J34" s="1030">
        <v>89668</v>
      </c>
      <c r="K34" s="1030">
        <v>22417</v>
      </c>
      <c r="L34" s="1030">
        <v>0</v>
      </c>
      <c r="M34" s="1031">
        <v>112085</v>
      </c>
      <c r="N34" s="1029">
        <v>0</v>
      </c>
      <c r="O34" s="1030">
        <v>0</v>
      </c>
      <c r="P34" s="1030">
        <v>6380.35</v>
      </c>
      <c r="Q34" s="1030">
        <v>3828.21</v>
      </c>
      <c r="R34" s="1030">
        <v>-9.9700000000000006</v>
      </c>
      <c r="S34" s="1031">
        <v>10198.59</v>
      </c>
      <c r="T34" s="1032"/>
      <c r="U34" s="1033"/>
      <c r="V34" s="1033"/>
      <c r="W34" s="1033"/>
      <c r="X34" s="1033"/>
      <c r="Y34" s="1034"/>
      <c r="Z34" s="1032"/>
      <c r="AA34" s="1033"/>
      <c r="AB34" s="1033"/>
      <c r="AC34" s="1033"/>
      <c r="AD34" s="1033"/>
      <c r="AE34" s="1034"/>
    </row>
    <row r="35" spans="1:31" s="844" customFormat="1">
      <c r="A35" s="1061" t="s">
        <v>79</v>
      </c>
      <c r="B35" s="1061" t="s">
        <v>80</v>
      </c>
      <c r="C35" s="1023">
        <f t="shared" si="3"/>
        <v>0</v>
      </c>
      <c r="D35" s="1024">
        <f t="shared" si="4"/>
        <v>48532</v>
      </c>
      <c r="E35" s="1024">
        <f t="shared" si="5"/>
        <v>12133</v>
      </c>
      <c r="F35" s="1024">
        <f t="shared" si="6"/>
        <v>12133</v>
      </c>
      <c r="G35" s="1025">
        <f t="shared" si="6"/>
        <v>0</v>
      </c>
      <c r="H35" s="1029">
        <v>0</v>
      </c>
      <c r="I35" s="1030">
        <v>0</v>
      </c>
      <c r="J35" s="1030">
        <v>48532</v>
      </c>
      <c r="K35" s="1030">
        <v>12133</v>
      </c>
      <c r="L35" s="1030">
        <v>0</v>
      </c>
      <c r="M35" s="1031">
        <v>60665</v>
      </c>
      <c r="N35" s="1032"/>
      <c r="O35" s="1033"/>
      <c r="P35" s="1033"/>
      <c r="Q35" s="1033"/>
      <c r="R35" s="1033"/>
      <c r="S35" s="1034"/>
      <c r="T35" s="1032"/>
      <c r="U35" s="1033"/>
      <c r="V35" s="1033"/>
      <c r="W35" s="1033"/>
      <c r="X35" s="1033"/>
      <c r="Y35" s="1034"/>
      <c r="Z35" s="1032"/>
      <c r="AA35" s="1033"/>
      <c r="AB35" s="1033"/>
      <c r="AC35" s="1033"/>
      <c r="AD35" s="1033"/>
      <c r="AE35" s="1034"/>
    </row>
    <row r="36" spans="1:31" s="844" customFormat="1">
      <c r="A36" s="1061" t="s">
        <v>81</v>
      </c>
      <c r="B36" s="1061" t="s">
        <v>82</v>
      </c>
      <c r="C36" s="1023">
        <f t="shared" si="3"/>
        <v>0</v>
      </c>
      <c r="D36" s="1024">
        <f t="shared" si="4"/>
        <v>26355.34</v>
      </c>
      <c r="E36" s="1024">
        <f t="shared" si="5"/>
        <v>10620.019999999999</v>
      </c>
      <c r="F36" s="1024">
        <f t="shared" si="6"/>
        <v>10620.05</v>
      </c>
      <c r="G36" s="1025">
        <f t="shared" si="6"/>
        <v>-0.03</v>
      </c>
      <c r="H36" s="1029">
        <v>0</v>
      </c>
      <c r="I36" s="1030">
        <v>0</v>
      </c>
      <c r="J36" s="1030">
        <v>14837.6</v>
      </c>
      <c r="K36" s="1030">
        <v>3709.4</v>
      </c>
      <c r="L36" s="1030">
        <v>0</v>
      </c>
      <c r="M36" s="1031">
        <v>18547</v>
      </c>
      <c r="N36" s="1029">
        <v>0</v>
      </c>
      <c r="O36" s="1030">
        <v>0</v>
      </c>
      <c r="P36" s="1030">
        <v>11517.74</v>
      </c>
      <c r="Q36" s="1030">
        <v>6910.65</v>
      </c>
      <c r="R36" s="1030">
        <v>-0.03</v>
      </c>
      <c r="S36" s="1031">
        <v>18428.36</v>
      </c>
      <c r="T36" s="1032"/>
      <c r="U36" s="1033"/>
      <c r="V36" s="1033"/>
      <c r="W36" s="1033"/>
      <c r="X36" s="1033"/>
      <c r="Y36" s="1034"/>
      <c r="Z36" s="1032"/>
      <c r="AA36" s="1033"/>
      <c r="AB36" s="1033"/>
      <c r="AC36" s="1033"/>
      <c r="AD36" s="1033"/>
      <c r="AE36" s="1034"/>
    </row>
    <row r="37" spans="1:31" s="844" customFormat="1">
      <c r="A37" s="1061" t="s">
        <v>85</v>
      </c>
      <c r="B37" s="1061" t="s">
        <v>387</v>
      </c>
      <c r="C37" s="1023">
        <f t="shared" si="3"/>
        <v>0</v>
      </c>
      <c r="D37" s="1024">
        <f t="shared" si="4"/>
        <v>137279.63</v>
      </c>
      <c r="E37" s="1024">
        <f t="shared" si="5"/>
        <v>34719.369999999995</v>
      </c>
      <c r="F37" s="1024">
        <f t="shared" si="6"/>
        <v>34619.379999999997</v>
      </c>
      <c r="G37" s="1025">
        <f t="shared" si="6"/>
        <v>99.99</v>
      </c>
      <c r="H37" s="1029">
        <v>0</v>
      </c>
      <c r="I37" s="1030">
        <v>0</v>
      </c>
      <c r="J37" s="1030">
        <v>136424</v>
      </c>
      <c r="K37" s="1030">
        <v>34106</v>
      </c>
      <c r="L37" s="1030">
        <v>0</v>
      </c>
      <c r="M37" s="1031">
        <v>170530</v>
      </c>
      <c r="N37" s="1029">
        <v>0</v>
      </c>
      <c r="O37" s="1030">
        <v>0</v>
      </c>
      <c r="P37" s="1030">
        <v>855.63</v>
      </c>
      <c r="Q37" s="1030">
        <v>513.38</v>
      </c>
      <c r="R37" s="1030">
        <v>99.99</v>
      </c>
      <c r="S37" s="1031">
        <v>1469</v>
      </c>
      <c r="T37" s="1032"/>
      <c r="U37" s="1033"/>
      <c r="V37" s="1033"/>
      <c r="W37" s="1033"/>
      <c r="X37" s="1033"/>
      <c r="Y37" s="1034"/>
      <c r="Z37" s="1032"/>
      <c r="AA37" s="1033"/>
      <c r="AB37" s="1033"/>
      <c r="AC37" s="1033"/>
      <c r="AD37" s="1033"/>
      <c r="AE37" s="1034"/>
    </row>
    <row r="38" spans="1:31" s="844" customFormat="1">
      <c r="A38" s="1061" t="s">
        <v>87</v>
      </c>
      <c r="B38" s="1061" t="s">
        <v>88</v>
      </c>
      <c r="C38" s="1023">
        <f t="shared" si="3"/>
        <v>0</v>
      </c>
      <c r="D38" s="1024">
        <f t="shared" si="4"/>
        <v>100541.86</v>
      </c>
      <c r="E38" s="1024">
        <f t="shared" si="5"/>
        <v>26765.140000000003</v>
      </c>
      <c r="F38" s="1024">
        <f t="shared" si="6"/>
        <v>26765.160000000003</v>
      </c>
      <c r="G38" s="1025">
        <f t="shared" si="6"/>
        <v>-0.02</v>
      </c>
      <c r="H38" s="1029">
        <v>0</v>
      </c>
      <c r="I38" s="1030">
        <v>0</v>
      </c>
      <c r="J38" s="1030">
        <v>95885.6</v>
      </c>
      <c r="K38" s="1030">
        <v>23971.4</v>
      </c>
      <c r="L38" s="1030">
        <v>0</v>
      </c>
      <c r="M38" s="1031">
        <v>119857</v>
      </c>
      <c r="N38" s="1029">
        <v>0</v>
      </c>
      <c r="O38" s="1030">
        <v>0</v>
      </c>
      <c r="P38" s="1030">
        <v>4656.26</v>
      </c>
      <c r="Q38" s="1030">
        <v>2793.76</v>
      </c>
      <c r="R38" s="1030">
        <v>-0.02</v>
      </c>
      <c r="S38" s="1031">
        <v>7450</v>
      </c>
      <c r="T38" s="1032"/>
      <c r="U38" s="1033"/>
      <c r="V38" s="1033"/>
      <c r="W38" s="1033"/>
      <c r="X38" s="1033"/>
      <c r="Y38" s="1034"/>
      <c r="Z38" s="1032"/>
      <c r="AA38" s="1033"/>
      <c r="AB38" s="1033"/>
      <c r="AC38" s="1033"/>
      <c r="AD38" s="1033"/>
      <c r="AE38" s="1034"/>
    </row>
    <row r="39" spans="1:31" s="844" customFormat="1">
      <c r="A39" s="1061" t="s">
        <v>93</v>
      </c>
      <c r="B39" s="1061" t="s">
        <v>94</v>
      </c>
      <c r="C39" s="1023">
        <f t="shared" si="3"/>
        <v>0</v>
      </c>
      <c r="D39" s="1024">
        <f t="shared" si="4"/>
        <v>31449.8</v>
      </c>
      <c r="E39" s="1024">
        <f t="shared" si="5"/>
        <v>8081.2</v>
      </c>
      <c r="F39" s="1024">
        <f t="shared" si="6"/>
        <v>8081.2</v>
      </c>
      <c r="G39" s="1025">
        <f t="shared" si="6"/>
        <v>0</v>
      </c>
      <c r="H39" s="1029">
        <v>0</v>
      </c>
      <c r="I39" s="1030">
        <v>0</v>
      </c>
      <c r="J39" s="1030">
        <v>30824.799999999999</v>
      </c>
      <c r="K39" s="1030">
        <v>7706.2</v>
      </c>
      <c r="L39" s="1030">
        <v>0</v>
      </c>
      <c r="M39" s="1031">
        <v>38531</v>
      </c>
      <c r="N39" s="1029">
        <v>0</v>
      </c>
      <c r="O39" s="1030">
        <v>0</v>
      </c>
      <c r="P39" s="1030">
        <v>625</v>
      </c>
      <c r="Q39" s="1030">
        <v>375</v>
      </c>
      <c r="R39" s="1030">
        <v>0</v>
      </c>
      <c r="S39" s="1031">
        <v>1000</v>
      </c>
      <c r="T39" s="1032"/>
      <c r="U39" s="1033"/>
      <c r="V39" s="1033"/>
      <c r="W39" s="1033"/>
      <c r="X39" s="1033"/>
      <c r="Y39" s="1034"/>
      <c r="Z39" s="1032"/>
      <c r="AA39" s="1033"/>
      <c r="AB39" s="1033"/>
      <c r="AC39" s="1033"/>
      <c r="AD39" s="1033"/>
      <c r="AE39" s="1034"/>
    </row>
    <row r="40" spans="1:31" s="844" customFormat="1">
      <c r="A40" s="1061" t="s">
        <v>95</v>
      </c>
      <c r="B40" s="1061" t="s">
        <v>96</v>
      </c>
      <c r="C40" s="1023">
        <f t="shared" si="3"/>
        <v>0</v>
      </c>
      <c r="D40" s="1024">
        <f t="shared" si="4"/>
        <v>118708.72</v>
      </c>
      <c r="E40" s="1024">
        <f t="shared" si="5"/>
        <v>29677.18</v>
      </c>
      <c r="F40" s="1024">
        <f t="shared" si="6"/>
        <v>29677.18</v>
      </c>
      <c r="G40" s="1025">
        <f t="shared" si="6"/>
        <v>0</v>
      </c>
      <c r="H40" s="1029">
        <v>0</v>
      </c>
      <c r="I40" s="1030">
        <v>0</v>
      </c>
      <c r="J40" s="1030">
        <v>118708.72</v>
      </c>
      <c r="K40" s="1030">
        <v>29677.18</v>
      </c>
      <c r="L40" s="1030">
        <v>0</v>
      </c>
      <c r="M40" s="1031">
        <v>148385.9</v>
      </c>
      <c r="N40" s="1032"/>
      <c r="O40" s="1033"/>
      <c r="P40" s="1033"/>
      <c r="Q40" s="1033"/>
      <c r="R40" s="1033"/>
      <c r="S40" s="1034"/>
      <c r="T40" s="1032"/>
      <c r="U40" s="1033"/>
      <c r="V40" s="1033"/>
      <c r="W40" s="1033"/>
      <c r="X40" s="1033"/>
      <c r="Y40" s="1034"/>
      <c r="Z40" s="1032"/>
      <c r="AA40" s="1033"/>
      <c r="AB40" s="1033"/>
      <c r="AC40" s="1033"/>
      <c r="AD40" s="1033"/>
      <c r="AE40" s="1034"/>
    </row>
    <row r="41" spans="1:31" s="844" customFormat="1">
      <c r="A41" s="1061" t="s">
        <v>97</v>
      </c>
      <c r="B41" s="1061" t="s">
        <v>98</v>
      </c>
      <c r="C41" s="1023">
        <f t="shared" si="3"/>
        <v>0</v>
      </c>
      <c r="D41" s="1024">
        <f t="shared" si="4"/>
        <v>40735.56</v>
      </c>
      <c r="E41" s="1024">
        <f t="shared" si="5"/>
        <v>197069.83000000002</v>
      </c>
      <c r="F41" s="1024">
        <f t="shared" si="6"/>
        <v>10075.94</v>
      </c>
      <c r="G41" s="1025">
        <f t="shared" si="6"/>
        <v>186993.89</v>
      </c>
      <c r="H41" s="1029">
        <v>0</v>
      </c>
      <c r="I41" s="1030">
        <v>0</v>
      </c>
      <c r="J41" s="1030">
        <v>41044</v>
      </c>
      <c r="K41" s="1030">
        <v>10261</v>
      </c>
      <c r="L41" s="1030">
        <v>0</v>
      </c>
      <c r="M41" s="1031">
        <v>51305</v>
      </c>
      <c r="N41" s="1029">
        <v>0</v>
      </c>
      <c r="O41" s="1030">
        <v>0</v>
      </c>
      <c r="P41" s="1030">
        <v>-308.44</v>
      </c>
      <c r="Q41" s="1030">
        <v>-185.06</v>
      </c>
      <c r="R41" s="1030">
        <v>186993.89</v>
      </c>
      <c r="S41" s="1031">
        <v>186500.39</v>
      </c>
      <c r="T41" s="1032"/>
      <c r="U41" s="1033"/>
      <c r="V41" s="1033"/>
      <c r="W41" s="1033"/>
      <c r="X41" s="1033"/>
      <c r="Y41" s="1034"/>
      <c r="Z41" s="1032"/>
      <c r="AA41" s="1033"/>
      <c r="AB41" s="1033"/>
      <c r="AC41" s="1033"/>
      <c r="AD41" s="1033"/>
      <c r="AE41" s="1034"/>
    </row>
    <row r="42" spans="1:31" s="844" customFormat="1">
      <c r="A42" s="1061" t="s">
        <v>99</v>
      </c>
      <c r="B42" s="1061" t="s">
        <v>100</v>
      </c>
      <c r="C42" s="1023">
        <f t="shared" si="3"/>
        <v>0</v>
      </c>
      <c r="D42" s="1024">
        <f t="shared" si="4"/>
        <v>110924</v>
      </c>
      <c r="E42" s="1024">
        <f t="shared" si="5"/>
        <v>27731</v>
      </c>
      <c r="F42" s="1024">
        <f t="shared" si="6"/>
        <v>27731</v>
      </c>
      <c r="G42" s="1025">
        <f t="shared" si="6"/>
        <v>0</v>
      </c>
      <c r="H42" s="1029">
        <v>0</v>
      </c>
      <c r="I42" s="1030">
        <v>0</v>
      </c>
      <c r="J42" s="1030">
        <v>110924</v>
      </c>
      <c r="K42" s="1030">
        <v>27731</v>
      </c>
      <c r="L42" s="1030">
        <v>0</v>
      </c>
      <c r="M42" s="1031">
        <v>138655</v>
      </c>
      <c r="N42" s="1032"/>
      <c r="O42" s="1033"/>
      <c r="P42" s="1033"/>
      <c r="Q42" s="1033"/>
      <c r="R42" s="1033"/>
      <c r="S42" s="1034"/>
      <c r="T42" s="1032"/>
      <c r="U42" s="1033"/>
      <c r="V42" s="1033"/>
      <c r="W42" s="1033"/>
      <c r="X42" s="1033"/>
      <c r="Y42" s="1034"/>
      <c r="Z42" s="1032"/>
      <c r="AA42" s="1033"/>
      <c r="AB42" s="1033"/>
      <c r="AC42" s="1033"/>
      <c r="AD42" s="1033"/>
      <c r="AE42" s="1034"/>
    </row>
    <row r="43" spans="1:31" s="844" customFormat="1">
      <c r="A43" s="1061" t="s">
        <v>101</v>
      </c>
      <c r="B43" s="1061" t="s">
        <v>102</v>
      </c>
      <c r="C43" s="1023">
        <f t="shared" si="3"/>
        <v>0</v>
      </c>
      <c r="D43" s="1024">
        <f t="shared" si="4"/>
        <v>40051.810000000005</v>
      </c>
      <c r="E43" s="1024">
        <f t="shared" si="5"/>
        <v>10327.050000000001</v>
      </c>
      <c r="F43" s="1024">
        <f t="shared" si="6"/>
        <v>10327.050000000001</v>
      </c>
      <c r="G43" s="1025">
        <f t="shared" si="6"/>
        <v>0</v>
      </c>
      <c r="H43" s="1029">
        <v>0</v>
      </c>
      <c r="I43" s="1030">
        <v>0</v>
      </c>
      <c r="J43" s="1030">
        <v>39154.400000000001</v>
      </c>
      <c r="K43" s="1030">
        <v>9788.6</v>
      </c>
      <c r="L43" s="1030">
        <v>0</v>
      </c>
      <c r="M43" s="1031">
        <v>48943</v>
      </c>
      <c r="N43" s="1029">
        <v>0</v>
      </c>
      <c r="O43" s="1030">
        <v>0</v>
      </c>
      <c r="P43" s="1030">
        <v>897.41</v>
      </c>
      <c r="Q43" s="1030">
        <v>538.45000000000005</v>
      </c>
      <c r="R43" s="1030">
        <v>0</v>
      </c>
      <c r="S43" s="1031">
        <v>1435.86</v>
      </c>
      <c r="T43" s="1032"/>
      <c r="U43" s="1033"/>
      <c r="V43" s="1033"/>
      <c r="W43" s="1033"/>
      <c r="X43" s="1033"/>
      <c r="Y43" s="1034"/>
      <c r="Z43" s="1032"/>
      <c r="AA43" s="1033"/>
      <c r="AB43" s="1033"/>
      <c r="AC43" s="1033"/>
      <c r="AD43" s="1033"/>
      <c r="AE43" s="1034"/>
    </row>
    <row r="44" spans="1:31" s="844" customFormat="1">
      <c r="A44" s="1061" t="s">
        <v>103</v>
      </c>
      <c r="B44" s="1061" t="s">
        <v>104</v>
      </c>
      <c r="C44" s="1023">
        <f t="shared" si="3"/>
        <v>0</v>
      </c>
      <c r="D44" s="1024">
        <f t="shared" si="4"/>
        <v>103296</v>
      </c>
      <c r="E44" s="1024">
        <f t="shared" si="5"/>
        <v>25824</v>
      </c>
      <c r="F44" s="1024">
        <f t="shared" si="6"/>
        <v>25824</v>
      </c>
      <c r="G44" s="1025">
        <f t="shared" si="6"/>
        <v>0</v>
      </c>
      <c r="H44" s="1029">
        <v>0</v>
      </c>
      <c r="I44" s="1030">
        <v>0</v>
      </c>
      <c r="J44" s="1030">
        <v>103296</v>
      </c>
      <c r="K44" s="1030">
        <v>25824</v>
      </c>
      <c r="L44" s="1030">
        <v>0</v>
      </c>
      <c r="M44" s="1031">
        <v>129120</v>
      </c>
      <c r="N44" s="1032"/>
      <c r="O44" s="1033"/>
      <c r="P44" s="1033"/>
      <c r="Q44" s="1033"/>
      <c r="R44" s="1033"/>
      <c r="S44" s="1034"/>
      <c r="T44" s="1032"/>
      <c r="U44" s="1033"/>
      <c r="V44" s="1033"/>
      <c r="W44" s="1033"/>
      <c r="X44" s="1033"/>
      <c r="Y44" s="1034"/>
      <c r="Z44" s="1032"/>
      <c r="AA44" s="1033"/>
      <c r="AB44" s="1033"/>
      <c r="AC44" s="1033"/>
      <c r="AD44" s="1033"/>
      <c r="AE44" s="1034"/>
    </row>
    <row r="45" spans="1:31" s="844" customFormat="1">
      <c r="A45" s="1061" t="s">
        <v>105</v>
      </c>
      <c r="B45" s="1061" t="s">
        <v>388</v>
      </c>
      <c r="C45" s="1023">
        <f t="shared" si="3"/>
        <v>0</v>
      </c>
      <c r="D45" s="1024">
        <f t="shared" si="4"/>
        <v>183856</v>
      </c>
      <c r="E45" s="1024">
        <f t="shared" si="5"/>
        <v>45964</v>
      </c>
      <c r="F45" s="1024">
        <f t="shared" si="6"/>
        <v>45964</v>
      </c>
      <c r="G45" s="1025">
        <f t="shared" si="6"/>
        <v>0</v>
      </c>
      <c r="H45" s="1029">
        <v>0</v>
      </c>
      <c r="I45" s="1030">
        <v>0</v>
      </c>
      <c r="J45" s="1030">
        <v>183856</v>
      </c>
      <c r="K45" s="1030">
        <v>45964</v>
      </c>
      <c r="L45" s="1030">
        <v>0</v>
      </c>
      <c r="M45" s="1031">
        <v>229820</v>
      </c>
      <c r="N45" s="1032"/>
      <c r="O45" s="1033"/>
      <c r="P45" s="1033"/>
      <c r="Q45" s="1033"/>
      <c r="R45" s="1033"/>
      <c r="S45" s="1034"/>
      <c r="T45" s="1032"/>
      <c r="U45" s="1033"/>
      <c r="V45" s="1033"/>
      <c r="W45" s="1033"/>
      <c r="X45" s="1033"/>
      <c r="Y45" s="1034"/>
      <c r="Z45" s="1032"/>
      <c r="AA45" s="1033"/>
      <c r="AB45" s="1033"/>
      <c r="AC45" s="1033"/>
      <c r="AD45" s="1033"/>
      <c r="AE45" s="1034"/>
    </row>
    <row r="46" spans="1:31" s="844" customFormat="1">
      <c r="A46" s="1061" t="s">
        <v>109</v>
      </c>
      <c r="B46" s="1061" t="s">
        <v>110</v>
      </c>
      <c r="C46" s="1023">
        <f t="shared" si="3"/>
        <v>0</v>
      </c>
      <c r="D46" s="1024">
        <f t="shared" si="4"/>
        <v>117938.4</v>
      </c>
      <c r="E46" s="1024">
        <f t="shared" si="5"/>
        <v>29484.6</v>
      </c>
      <c r="F46" s="1024">
        <f t="shared" si="6"/>
        <v>29484.6</v>
      </c>
      <c r="G46" s="1025">
        <f t="shared" si="6"/>
        <v>0</v>
      </c>
      <c r="H46" s="1029">
        <v>0</v>
      </c>
      <c r="I46" s="1030">
        <v>0</v>
      </c>
      <c r="J46" s="1030">
        <v>117938.4</v>
      </c>
      <c r="K46" s="1030">
        <v>29484.6</v>
      </c>
      <c r="L46" s="1030">
        <v>0</v>
      </c>
      <c r="M46" s="1031">
        <v>147423</v>
      </c>
      <c r="N46" s="1032"/>
      <c r="O46" s="1033"/>
      <c r="P46" s="1033"/>
      <c r="Q46" s="1033"/>
      <c r="R46" s="1033"/>
      <c r="S46" s="1034"/>
      <c r="T46" s="1032"/>
      <c r="U46" s="1033"/>
      <c r="V46" s="1033"/>
      <c r="W46" s="1033"/>
      <c r="X46" s="1033"/>
      <c r="Y46" s="1034"/>
      <c r="Z46" s="1032"/>
      <c r="AA46" s="1033"/>
      <c r="AB46" s="1033"/>
      <c r="AC46" s="1033"/>
      <c r="AD46" s="1033"/>
      <c r="AE46" s="1034"/>
    </row>
    <row r="47" spans="1:31" s="844" customFormat="1">
      <c r="A47" s="1061" t="s">
        <v>111</v>
      </c>
      <c r="B47" s="1061" t="s">
        <v>112</v>
      </c>
      <c r="C47" s="1023">
        <f t="shared" si="3"/>
        <v>88582</v>
      </c>
      <c r="D47" s="1024">
        <f t="shared" si="4"/>
        <v>659305.88</v>
      </c>
      <c r="E47" s="1024">
        <f t="shared" si="5"/>
        <v>198855.5</v>
      </c>
      <c r="F47" s="1024">
        <f t="shared" si="6"/>
        <v>198855.53</v>
      </c>
      <c r="G47" s="1025">
        <f t="shared" si="6"/>
        <v>-0.03</v>
      </c>
      <c r="H47" s="1029">
        <v>0</v>
      </c>
      <c r="I47" s="1030">
        <v>0</v>
      </c>
      <c r="J47" s="1030">
        <v>562080</v>
      </c>
      <c r="K47" s="1030">
        <v>140520</v>
      </c>
      <c r="L47" s="1030">
        <v>0</v>
      </c>
      <c r="M47" s="1031">
        <v>702600</v>
      </c>
      <c r="N47" s="1029">
        <v>0</v>
      </c>
      <c r="O47" s="1030">
        <v>0</v>
      </c>
      <c r="P47" s="1030">
        <v>97225.88</v>
      </c>
      <c r="Q47" s="1030">
        <v>58335.53</v>
      </c>
      <c r="R47" s="1030">
        <v>-0.03</v>
      </c>
      <c r="S47" s="1031">
        <v>155561.38</v>
      </c>
      <c r="T47" s="1029">
        <v>88582</v>
      </c>
      <c r="U47" s="1030">
        <v>0</v>
      </c>
      <c r="V47" s="1030">
        <v>0</v>
      </c>
      <c r="W47" s="1030">
        <v>0</v>
      </c>
      <c r="X47" s="1030">
        <v>0</v>
      </c>
      <c r="Y47" s="1031">
        <v>88582</v>
      </c>
      <c r="Z47" s="1032"/>
      <c r="AA47" s="1033"/>
      <c r="AB47" s="1033"/>
      <c r="AC47" s="1033"/>
      <c r="AD47" s="1033"/>
      <c r="AE47" s="1034"/>
    </row>
    <row r="48" spans="1:31" s="844" customFormat="1">
      <c r="A48" s="1061" t="s">
        <v>113</v>
      </c>
      <c r="B48" s="1061" t="s">
        <v>367</v>
      </c>
      <c r="C48" s="1023">
        <f t="shared" si="3"/>
        <v>0</v>
      </c>
      <c r="D48" s="1024">
        <f t="shared" si="4"/>
        <v>245315.61</v>
      </c>
      <c r="E48" s="1024">
        <f t="shared" si="5"/>
        <v>62550.92</v>
      </c>
      <c r="F48" s="1024">
        <f t="shared" si="6"/>
        <v>62550.95</v>
      </c>
      <c r="G48" s="1025">
        <f t="shared" si="6"/>
        <v>-0.03</v>
      </c>
      <c r="H48" s="1029">
        <v>0</v>
      </c>
      <c r="I48" s="1030">
        <v>0</v>
      </c>
      <c r="J48" s="1030">
        <v>241824</v>
      </c>
      <c r="K48" s="1030">
        <v>60456</v>
      </c>
      <c r="L48" s="1030">
        <v>0</v>
      </c>
      <c r="M48" s="1031">
        <v>302280</v>
      </c>
      <c r="N48" s="1029">
        <v>0</v>
      </c>
      <c r="O48" s="1030">
        <v>0</v>
      </c>
      <c r="P48" s="1030">
        <v>3491.61</v>
      </c>
      <c r="Q48" s="1030">
        <v>2094.9499999999998</v>
      </c>
      <c r="R48" s="1030">
        <v>-0.03</v>
      </c>
      <c r="S48" s="1031">
        <v>5586.53</v>
      </c>
      <c r="T48" s="1032"/>
      <c r="U48" s="1033"/>
      <c r="V48" s="1033"/>
      <c r="W48" s="1033"/>
      <c r="X48" s="1033"/>
      <c r="Y48" s="1034"/>
      <c r="Z48" s="1032"/>
      <c r="AA48" s="1033"/>
      <c r="AB48" s="1033"/>
      <c r="AC48" s="1033"/>
      <c r="AD48" s="1033"/>
      <c r="AE48" s="1034"/>
    </row>
    <row r="49" spans="1:31" s="844" customFormat="1">
      <c r="A49" s="1061" t="s">
        <v>115</v>
      </c>
      <c r="B49" s="1061" t="s">
        <v>116</v>
      </c>
      <c r="C49" s="1023">
        <f t="shared" si="3"/>
        <v>0</v>
      </c>
      <c r="D49" s="1024">
        <f t="shared" si="4"/>
        <v>18777.099999999999</v>
      </c>
      <c r="E49" s="1024">
        <f t="shared" si="5"/>
        <v>4694.28</v>
      </c>
      <c r="F49" s="1024">
        <f t="shared" si="6"/>
        <v>4694.28</v>
      </c>
      <c r="G49" s="1025">
        <f t="shared" si="6"/>
        <v>0</v>
      </c>
      <c r="H49" s="1029">
        <v>0</v>
      </c>
      <c r="I49" s="1030">
        <v>0</v>
      </c>
      <c r="J49" s="1030">
        <v>18777.099999999999</v>
      </c>
      <c r="K49" s="1030">
        <v>4694.28</v>
      </c>
      <c r="L49" s="1030">
        <v>0</v>
      </c>
      <c r="M49" s="1031">
        <v>23471.38</v>
      </c>
      <c r="N49" s="1032"/>
      <c r="O49" s="1033"/>
      <c r="P49" s="1033"/>
      <c r="Q49" s="1033"/>
      <c r="R49" s="1033"/>
      <c r="S49" s="1034"/>
      <c r="T49" s="1032"/>
      <c r="U49" s="1033"/>
      <c r="V49" s="1033"/>
      <c r="W49" s="1033"/>
      <c r="X49" s="1033"/>
      <c r="Y49" s="1034"/>
      <c r="Z49" s="1032"/>
      <c r="AA49" s="1033"/>
      <c r="AB49" s="1033"/>
      <c r="AC49" s="1033"/>
      <c r="AD49" s="1033"/>
      <c r="AE49" s="1034"/>
    </row>
    <row r="50" spans="1:31" s="844" customFormat="1">
      <c r="A50" s="1061" t="s">
        <v>119</v>
      </c>
      <c r="B50" s="1061" t="s">
        <v>120</v>
      </c>
      <c r="C50" s="1023">
        <f t="shared" si="3"/>
        <v>0</v>
      </c>
      <c r="D50" s="1024">
        <f t="shared" si="4"/>
        <v>69620.92</v>
      </c>
      <c r="E50" s="1024">
        <f t="shared" si="5"/>
        <v>18756.629999999997</v>
      </c>
      <c r="F50" s="1024">
        <f t="shared" si="6"/>
        <v>18311.629999999997</v>
      </c>
      <c r="G50" s="1025">
        <f t="shared" si="6"/>
        <v>445</v>
      </c>
      <c r="H50" s="1029">
        <v>0</v>
      </c>
      <c r="I50" s="1030">
        <v>0</v>
      </c>
      <c r="J50" s="1030">
        <v>67031.199999999997</v>
      </c>
      <c r="K50" s="1030">
        <v>16757.8</v>
      </c>
      <c r="L50" s="1030">
        <v>0</v>
      </c>
      <c r="M50" s="1031">
        <v>83789</v>
      </c>
      <c r="N50" s="1029">
        <v>0</v>
      </c>
      <c r="O50" s="1030">
        <v>0</v>
      </c>
      <c r="P50" s="1030">
        <v>2589.7199999999998</v>
      </c>
      <c r="Q50" s="1030">
        <v>1553.83</v>
      </c>
      <c r="R50" s="1030">
        <v>445</v>
      </c>
      <c r="S50" s="1031">
        <v>4588.55</v>
      </c>
      <c r="T50" s="1032"/>
      <c r="U50" s="1033"/>
      <c r="V50" s="1033"/>
      <c r="W50" s="1033"/>
      <c r="X50" s="1033"/>
      <c r="Y50" s="1034"/>
      <c r="Z50" s="1032"/>
      <c r="AA50" s="1033"/>
      <c r="AB50" s="1033"/>
      <c r="AC50" s="1033"/>
      <c r="AD50" s="1033"/>
      <c r="AE50" s="1034"/>
    </row>
    <row r="51" spans="1:31" s="844" customFormat="1">
      <c r="A51" s="1061" t="s">
        <v>121</v>
      </c>
      <c r="B51" s="1061" t="s">
        <v>122</v>
      </c>
      <c r="C51" s="1023">
        <f t="shared" si="3"/>
        <v>0</v>
      </c>
      <c r="D51" s="1024">
        <f t="shared" si="4"/>
        <v>103279.75</v>
      </c>
      <c r="E51" s="1024">
        <f t="shared" si="5"/>
        <v>27522.25</v>
      </c>
      <c r="F51" s="1024">
        <f t="shared" si="6"/>
        <v>26885.25</v>
      </c>
      <c r="G51" s="1025">
        <f t="shared" si="6"/>
        <v>637</v>
      </c>
      <c r="H51" s="1029">
        <v>0</v>
      </c>
      <c r="I51" s="1030">
        <v>0</v>
      </c>
      <c r="J51" s="1030">
        <v>100236</v>
      </c>
      <c r="K51" s="1030">
        <v>25059</v>
      </c>
      <c r="L51" s="1030">
        <v>0</v>
      </c>
      <c r="M51" s="1031">
        <v>125295</v>
      </c>
      <c r="N51" s="1029">
        <v>0</v>
      </c>
      <c r="O51" s="1030">
        <v>0</v>
      </c>
      <c r="P51" s="1030">
        <v>3043.75</v>
      </c>
      <c r="Q51" s="1030">
        <v>1826.25</v>
      </c>
      <c r="R51" s="1030">
        <v>637</v>
      </c>
      <c r="S51" s="1031">
        <v>5507</v>
      </c>
      <c r="T51" s="1032"/>
      <c r="U51" s="1033"/>
      <c r="V51" s="1033"/>
      <c r="W51" s="1033"/>
      <c r="X51" s="1033"/>
      <c r="Y51" s="1034"/>
      <c r="Z51" s="1032"/>
      <c r="AA51" s="1033"/>
      <c r="AB51" s="1033"/>
      <c r="AC51" s="1033"/>
      <c r="AD51" s="1033"/>
      <c r="AE51" s="1034"/>
    </row>
    <row r="52" spans="1:31" s="844" customFormat="1">
      <c r="A52" s="1061" t="s">
        <v>123</v>
      </c>
      <c r="B52" s="1061" t="s">
        <v>284</v>
      </c>
      <c r="C52" s="1023">
        <f t="shared" si="3"/>
        <v>0</v>
      </c>
      <c r="D52" s="1024">
        <f t="shared" si="4"/>
        <v>26131.919999999998</v>
      </c>
      <c r="E52" s="1024">
        <f t="shared" si="5"/>
        <v>9096.3499999999985</v>
      </c>
      <c r="F52" s="1024">
        <f t="shared" si="6"/>
        <v>9096.369999999999</v>
      </c>
      <c r="G52" s="1025">
        <f t="shared" si="6"/>
        <v>-0.02</v>
      </c>
      <c r="H52" s="1029">
        <v>0</v>
      </c>
      <c r="I52" s="1030">
        <v>0</v>
      </c>
      <c r="J52" s="1030">
        <v>18808</v>
      </c>
      <c r="K52" s="1030">
        <v>4702</v>
      </c>
      <c r="L52" s="1030">
        <v>0</v>
      </c>
      <c r="M52" s="1031">
        <v>23510</v>
      </c>
      <c r="N52" s="1029">
        <v>0</v>
      </c>
      <c r="O52" s="1030">
        <v>0</v>
      </c>
      <c r="P52" s="1030">
        <v>7323.92</v>
      </c>
      <c r="Q52" s="1030">
        <v>4394.37</v>
      </c>
      <c r="R52" s="1030">
        <v>-0.02</v>
      </c>
      <c r="S52" s="1031">
        <v>11718.27</v>
      </c>
      <c r="T52" s="1032"/>
      <c r="U52" s="1033"/>
      <c r="V52" s="1033"/>
      <c r="W52" s="1033"/>
      <c r="X52" s="1033"/>
      <c r="Y52" s="1034"/>
      <c r="Z52" s="1032"/>
      <c r="AA52" s="1033"/>
      <c r="AB52" s="1033"/>
      <c r="AC52" s="1033"/>
      <c r="AD52" s="1033"/>
      <c r="AE52" s="1034"/>
    </row>
    <row r="53" spans="1:31" s="844" customFormat="1">
      <c r="A53" s="1061" t="s">
        <v>125</v>
      </c>
      <c r="B53" s="1061" t="s">
        <v>126</v>
      </c>
      <c r="C53" s="1023">
        <f t="shared" si="3"/>
        <v>0</v>
      </c>
      <c r="D53" s="1024">
        <f t="shared" si="4"/>
        <v>13829.6</v>
      </c>
      <c r="E53" s="1024">
        <f t="shared" si="5"/>
        <v>6181.7899999999991</v>
      </c>
      <c r="F53" s="1024">
        <f t="shared" si="6"/>
        <v>6181.7999999999993</v>
      </c>
      <c r="G53" s="1025">
        <f t="shared" si="6"/>
        <v>-0.01</v>
      </c>
      <c r="H53" s="1029">
        <v>0</v>
      </c>
      <c r="I53" s="1030">
        <v>0</v>
      </c>
      <c r="J53" s="1030">
        <v>6045.6</v>
      </c>
      <c r="K53" s="1030">
        <v>1511.4</v>
      </c>
      <c r="L53" s="1030">
        <v>0</v>
      </c>
      <c r="M53" s="1031">
        <v>7557</v>
      </c>
      <c r="N53" s="1029">
        <v>0</v>
      </c>
      <c r="O53" s="1030">
        <v>0</v>
      </c>
      <c r="P53" s="1030">
        <v>7784</v>
      </c>
      <c r="Q53" s="1030">
        <v>4670.3999999999996</v>
      </c>
      <c r="R53" s="1030">
        <v>-0.01</v>
      </c>
      <c r="S53" s="1031">
        <v>12454.39</v>
      </c>
      <c r="T53" s="1032"/>
      <c r="U53" s="1033"/>
      <c r="V53" s="1033"/>
      <c r="W53" s="1033"/>
      <c r="X53" s="1033"/>
      <c r="Y53" s="1034"/>
      <c r="Z53" s="1032"/>
      <c r="AA53" s="1033"/>
      <c r="AB53" s="1033"/>
      <c r="AC53" s="1033"/>
      <c r="AD53" s="1033"/>
      <c r="AE53" s="1034"/>
    </row>
    <row r="54" spans="1:31" s="844" customFormat="1">
      <c r="A54" s="1061" t="s">
        <v>127</v>
      </c>
      <c r="B54" s="1061" t="s">
        <v>128</v>
      </c>
      <c r="C54" s="1023">
        <f t="shared" si="3"/>
        <v>0</v>
      </c>
      <c r="D54" s="1024">
        <f t="shared" si="4"/>
        <v>40096.199999999997</v>
      </c>
      <c r="E54" s="1024">
        <f t="shared" si="5"/>
        <v>10242.799999999999</v>
      </c>
      <c r="F54" s="1024">
        <f t="shared" si="6"/>
        <v>10242.799999999999</v>
      </c>
      <c r="G54" s="1025">
        <f t="shared" si="6"/>
        <v>0</v>
      </c>
      <c r="H54" s="1029">
        <v>0</v>
      </c>
      <c r="I54" s="1030">
        <v>0</v>
      </c>
      <c r="J54" s="1030">
        <v>39471.199999999997</v>
      </c>
      <c r="K54" s="1030">
        <v>9867.7999999999993</v>
      </c>
      <c r="L54" s="1030">
        <v>0</v>
      </c>
      <c r="M54" s="1031">
        <v>49339</v>
      </c>
      <c r="N54" s="1029">
        <v>0</v>
      </c>
      <c r="O54" s="1030">
        <v>0</v>
      </c>
      <c r="P54" s="1030">
        <v>625</v>
      </c>
      <c r="Q54" s="1030">
        <v>375</v>
      </c>
      <c r="R54" s="1030">
        <v>0</v>
      </c>
      <c r="S54" s="1031">
        <v>1000</v>
      </c>
      <c r="T54" s="1032"/>
      <c r="U54" s="1033"/>
      <c r="V54" s="1033"/>
      <c r="W54" s="1033"/>
      <c r="X54" s="1033"/>
      <c r="Y54" s="1034"/>
      <c r="Z54" s="1032"/>
      <c r="AA54" s="1033"/>
      <c r="AB54" s="1033"/>
      <c r="AC54" s="1033"/>
      <c r="AD54" s="1033"/>
      <c r="AE54" s="1034"/>
    </row>
    <row r="55" spans="1:31" s="844" customFormat="1">
      <c r="A55" s="1061" t="s">
        <v>129</v>
      </c>
      <c r="B55" s="1061" t="s">
        <v>130</v>
      </c>
      <c r="C55" s="1023">
        <f t="shared" si="3"/>
        <v>0</v>
      </c>
      <c r="D55" s="1024">
        <f t="shared" si="4"/>
        <v>30386.400000000001</v>
      </c>
      <c r="E55" s="1024">
        <f t="shared" si="5"/>
        <v>7596.6</v>
      </c>
      <c r="F55" s="1024">
        <f t="shared" si="6"/>
        <v>7596.6</v>
      </c>
      <c r="G55" s="1025">
        <f t="shared" si="6"/>
        <v>0</v>
      </c>
      <c r="H55" s="1029">
        <v>0</v>
      </c>
      <c r="I55" s="1030">
        <v>0</v>
      </c>
      <c r="J55" s="1030">
        <v>30386.400000000001</v>
      </c>
      <c r="K55" s="1030">
        <v>7596.6</v>
      </c>
      <c r="L55" s="1030">
        <v>0</v>
      </c>
      <c r="M55" s="1031">
        <v>37983</v>
      </c>
      <c r="N55" s="1032"/>
      <c r="O55" s="1033"/>
      <c r="P55" s="1033"/>
      <c r="Q55" s="1033"/>
      <c r="R55" s="1033"/>
      <c r="S55" s="1034"/>
      <c r="T55" s="1032"/>
      <c r="U55" s="1033"/>
      <c r="V55" s="1033"/>
      <c r="W55" s="1033"/>
      <c r="X55" s="1033"/>
      <c r="Y55" s="1034"/>
      <c r="Z55" s="1032"/>
      <c r="AA55" s="1033"/>
      <c r="AB55" s="1033"/>
      <c r="AC55" s="1033"/>
      <c r="AD55" s="1033"/>
      <c r="AE55" s="1034"/>
    </row>
    <row r="56" spans="1:31" s="844" customFormat="1">
      <c r="A56" s="1061" t="s">
        <v>131</v>
      </c>
      <c r="B56" s="1061" t="s">
        <v>132</v>
      </c>
      <c r="C56" s="1023">
        <f t="shared" si="3"/>
        <v>0</v>
      </c>
      <c r="D56" s="1024">
        <f t="shared" si="4"/>
        <v>384933.2</v>
      </c>
      <c r="E56" s="1024">
        <f t="shared" si="5"/>
        <v>96233.3</v>
      </c>
      <c r="F56" s="1024">
        <f t="shared" si="6"/>
        <v>96233.3</v>
      </c>
      <c r="G56" s="1025">
        <f t="shared" si="6"/>
        <v>0</v>
      </c>
      <c r="H56" s="1029">
        <v>0</v>
      </c>
      <c r="I56" s="1030">
        <v>0</v>
      </c>
      <c r="J56" s="1030">
        <v>384933.2</v>
      </c>
      <c r="K56" s="1030">
        <v>96233.3</v>
      </c>
      <c r="L56" s="1030">
        <v>0</v>
      </c>
      <c r="M56" s="1031">
        <v>481166.5</v>
      </c>
      <c r="N56" s="1032"/>
      <c r="O56" s="1033"/>
      <c r="P56" s="1033"/>
      <c r="Q56" s="1033"/>
      <c r="R56" s="1033"/>
      <c r="S56" s="1034"/>
      <c r="T56" s="1032"/>
      <c r="U56" s="1033"/>
      <c r="V56" s="1033"/>
      <c r="W56" s="1033"/>
      <c r="X56" s="1033"/>
      <c r="Y56" s="1034"/>
      <c r="Z56" s="1032"/>
      <c r="AA56" s="1033"/>
      <c r="AB56" s="1033"/>
      <c r="AC56" s="1033"/>
      <c r="AD56" s="1033"/>
      <c r="AE56" s="1034"/>
    </row>
    <row r="57" spans="1:31" s="844" customFormat="1">
      <c r="A57" s="1061" t="s">
        <v>133</v>
      </c>
      <c r="B57" s="1061" t="s">
        <v>134</v>
      </c>
      <c r="C57" s="1023">
        <f t="shared" si="3"/>
        <v>30006</v>
      </c>
      <c r="D57" s="1024">
        <f t="shared" si="4"/>
        <v>123171.08</v>
      </c>
      <c r="E57" s="1024">
        <f t="shared" si="5"/>
        <v>30121.25</v>
      </c>
      <c r="F57" s="1024">
        <f t="shared" si="6"/>
        <v>30347.439999999999</v>
      </c>
      <c r="G57" s="1025">
        <f t="shared" si="6"/>
        <v>-226.19</v>
      </c>
      <c r="H57" s="1029">
        <v>0</v>
      </c>
      <c r="I57" s="1030">
        <v>0</v>
      </c>
      <c r="J57" s="1030">
        <v>124443.46</v>
      </c>
      <c r="K57" s="1030">
        <v>31110.87</v>
      </c>
      <c r="L57" s="1030">
        <v>0</v>
      </c>
      <c r="M57" s="1031">
        <v>155554.32999999999</v>
      </c>
      <c r="N57" s="1029">
        <v>0</v>
      </c>
      <c r="O57" s="1030">
        <v>0</v>
      </c>
      <c r="P57" s="1030">
        <v>-1272.3800000000001</v>
      </c>
      <c r="Q57" s="1030">
        <v>-763.43</v>
      </c>
      <c r="R57" s="1030">
        <v>-226.19</v>
      </c>
      <c r="S57" s="1031">
        <v>-2262</v>
      </c>
      <c r="T57" s="1029">
        <v>30006</v>
      </c>
      <c r="U57" s="1030">
        <v>0</v>
      </c>
      <c r="V57" s="1030">
        <v>0</v>
      </c>
      <c r="W57" s="1030">
        <v>0</v>
      </c>
      <c r="X57" s="1030">
        <v>0</v>
      </c>
      <c r="Y57" s="1031">
        <v>30006</v>
      </c>
      <c r="Z57" s="1032"/>
      <c r="AA57" s="1033"/>
      <c r="AB57" s="1033"/>
      <c r="AC57" s="1033"/>
      <c r="AD57" s="1033"/>
      <c r="AE57" s="1034"/>
    </row>
    <row r="58" spans="1:31" s="844" customFormat="1">
      <c r="A58" s="1061" t="s">
        <v>135</v>
      </c>
      <c r="B58" s="1061" t="s">
        <v>136</v>
      </c>
      <c r="C58" s="1023">
        <f t="shared" si="3"/>
        <v>0</v>
      </c>
      <c r="D58" s="1024">
        <f t="shared" si="4"/>
        <v>55627.199999999997</v>
      </c>
      <c r="E58" s="1024">
        <f t="shared" si="5"/>
        <v>13906.8</v>
      </c>
      <c r="F58" s="1024">
        <f t="shared" si="6"/>
        <v>13906.8</v>
      </c>
      <c r="G58" s="1025">
        <f t="shared" si="6"/>
        <v>0</v>
      </c>
      <c r="H58" s="1029">
        <v>0</v>
      </c>
      <c r="I58" s="1030">
        <v>0</v>
      </c>
      <c r="J58" s="1030">
        <v>55627.199999999997</v>
      </c>
      <c r="K58" s="1030">
        <v>13906.8</v>
      </c>
      <c r="L58" s="1030">
        <v>0</v>
      </c>
      <c r="M58" s="1031">
        <v>69534</v>
      </c>
      <c r="N58" s="1032"/>
      <c r="O58" s="1033"/>
      <c r="P58" s="1033"/>
      <c r="Q58" s="1033"/>
      <c r="R58" s="1033"/>
      <c r="S58" s="1034"/>
      <c r="T58" s="1032"/>
      <c r="U58" s="1033"/>
      <c r="V58" s="1033"/>
      <c r="W58" s="1033"/>
      <c r="X58" s="1033"/>
      <c r="Y58" s="1034"/>
      <c r="Z58" s="1032"/>
      <c r="AA58" s="1033"/>
      <c r="AB58" s="1033"/>
      <c r="AC58" s="1033"/>
      <c r="AD58" s="1033"/>
      <c r="AE58" s="1034"/>
    </row>
    <row r="59" spans="1:31" s="844" customFormat="1">
      <c r="A59" s="1061" t="s">
        <v>137</v>
      </c>
      <c r="B59" s="1061" t="s">
        <v>138</v>
      </c>
      <c r="C59" s="1023">
        <f t="shared" si="3"/>
        <v>0</v>
      </c>
      <c r="D59" s="1024">
        <f t="shared" si="4"/>
        <v>54352.800000000003</v>
      </c>
      <c r="E59" s="1024">
        <f t="shared" si="5"/>
        <v>13588.2</v>
      </c>
      <c r="F59" s="1024">
        <f t="shared" si="6"/>
        <v>13588.2</v>
      </c>
      <c r="G59" s="1025">
        <f t="shared" si="6"/>
        <v>0</v>
      </c>
      <c r="H59" s="1029">
        <v>0</v>
      </c>
      <c r="I59" s="1030">
        <v>0</v>
      </c>
      <c r="J59" s="1030">
        <v>54352.800000000003</v>
      </c>
      <c r="K59" s="1030">
        <v>13588.2</v>
      </c>
      <c r="L59" s="1030">
        <v>0</v>
      </c>
      <c r="M59" s="1031">
        <v>67941</v>
      </c>
      <c r="N59" s="1032"/>
      <c r="O59" s="1033"/>
      <c r="P59" s="1033"/>
      <c r="Q59" s="1033"/>
      <c r="R59" s="1033"/>
      <c r="S59" s="1034"/>
      <c r="T59" s="1032"/>
      <c r="U59" s="1033"/>
      <c r="V59" s="1033"/>
      <c r="W59" s="1033"/>
      <c r="X59" s="1033"/>
      <c r="Y59" s="1034"/>
      <c r="Z59" s="1032"/>
      <c r="AA59" s="1033"/>
      <c r="AB59" s="1033"/>
      <c r="AC59" s="1033"/>
      <c r="AD59" s="1033"/>
      <c r="AE59" s="1034"/>
    </row>
    <row r="60" spans="1:31" s="844" customFormat="1">
      <c r="A60" s="1061" t="s">
        <v>141</v>
      </c>
      <c r="B60" s="1061" t="s">
        <v>142</v>
      </c>
      <c r="C60" s="1023">
        <f t="shared" si="3"/>
        <v>144</v>
      </c>
      <c r="D60" s="1024">
        <f t="shared" si="4"/>
        <v>41917.629999999997</v>
      </c>
      <c r="E60" s="1024">
        <f t="shared" si="5"/>
        <v>10479.370000000001</v>
      </c>
      <c r="F60" s="1024">
        <f t="shared" si="6"/>
        <v>10479.43</v>
      </c>
      <c r="G60" s="1025">
        <f t="shared" si="6"/>
        <v>-0.06</v>
      </c>
      <c r="H60" s="1029">
        <v>0</v>
      </c>
      <c r="I60" s="1030">
        <v>0</v>
      </c>
      <c r="J60" s="1030">
        <v>41917.599999999999</v>
      </c>
      <c r="K60" s="1030">
        <v>10479.4</v>
      </c>
      <c r="L60" s="1030">
        <v>0</v>
      </c>
      <c r="M60" s="1031">
        <v>52397</v>
      </c>
      <c r="N60" s="1029">
        <v>0</v>
      </c>
      <c r="O60" s="1030">
        <v>0</v>
      </c>
      <c r="P60" s="1030">
        <v>0.03</v>
      </c>
      <c r="Q60" s="1030">
        <v>0.03</v>
      </c>
      <c r="R60" s="1030">
        <v>-0.06</v>
      </c>
      <c r="S60" s="1031">
        <v>0</v>
      </c>
      <c r="T60" s="1029">
        <v>144</v>
      </c>
      <c r="U60" s="1030">
        <v>0</v>
      </c>
      <c r="V60" s="1030">
        <v>0</v>
      </c>
      <c r="W60" s="1030">
        <v>0</v>
      </c>
      <c r="X60" s="1030">
        <v>0</v>
      </c>
      <c r="Y60" s="1031">
        <v>144</v>
      </c>
      <c r="Z60" s="1032"/>
      <c r="AA60" s="1033"/>
      <c r="AB60" s="1033"/>
      <c r="AC60" s="1033"/>
      <c r="AD60" s="1033"/>
      <c r="AE60" s="1034"/>
    </row>
    <row r="61" spans="1:31" s="844" customFormat="1">
      <c r="A61" s="1061" t="s">
        <v>147</v>
      </c>
      <c r="B61" s="1061" t="s">
        <v>148</v>
      </c>
      <c r="C61" s="1023">
        <f t="shared" si="3"/>
        <v>0</v>
      </c>
      <c r="D61" s="1024">
        <f t="shared" si="4"/>
        <v>12849.94</v>
      </c>
      <c r="E61" s="1024">
        <f t="shared" si="5"/>
        <v>3110.06</v>
      </c>
      <c r="F61" s="1024">
        <f t="shared" si="6"/>
        <v>3110.14</v>
      </c>
      <c r="G61" s="1025">
        <f t="shared" si="6"/>
        <v>-0.08</v>
      </c>
      <c r="H61" s="1029">
        <v>0</v>
      </c>
      <c r="I61" s="1030">
        <v>0</v>
      </c>
      <c r="J61" s="1030">
        <v>13142.4</v>
      </c>
      <c r="K61" s="1030">
        <v>3285.6</v>
      </c>
      <c r="L61" s="1030">
        <v>0</v>
      </c>
      <c r="M61" s="1031">
        <v>16428</v>
      </c>
      <c r="N61" s="1029">
        <v>0</v>
      </c>
      <c r="O61" s="1030">
        <v>0</v>
      </c>
      <c r="P61" s="1030">
        <v>-292.45999999999998</v>
      </c>
      <c r="Q61" s="1030">
        <v>-175.46</v>
      </c>
      <c r="R61" s="1030">
        <v>-0.08</v>
      </c>
      <c r="S61" s="1031">
        <v>-468</v>
      </c>
      <c r="T61" s="1032"/>
      <c r="U61" s="1033"/>
      <c r="V61" s="1033"/>
      <c r="W61" s="1033"/>
      <c r="X61" s="1033"/>
      <c r="Y61" s="1034"/>
      <c r="Z61" s="1032"/>
      <c r="AA61" s="1033"/>
      <c r="AB61" s="1033"/>
      <c r="AC61" s="1033"/>
      <c r="AD61" s="1033"/>
      <c r="AE61" s="1034"/>
    </row>
    <row r="62" spans="1:31" s="844" customFormat="1">
      <c r="A62" s="1061" t="s">
        <v>149</v>
      </c>
      <c r="B62" s="1061" t="s">
        <v>150</v>
      </c>
      <c r="C62" s="1023">
        <f t="shared" si="3"/>
        <v>0</v>
      </c>
      <c r="D62" s="1024">
        <f t="shared" si="4"/>
        <v>257060.8</v>
      </c>
      <c r="E62" s="1024">
        <f t="shared" si="5"/>
        <v>64265.2</v>
      </c>
      <c r="F62" s="1024">
        <f t="shared" si="6"/>
        <v>64265.2</v>
      </c>
      <c r="G62" s="1025">
        <f t="shared" si="6"/>
        <v>0</v>
      </c>
      <c r="H62" s="1029">
        <v>0</v>
      </c>
      <c r="I62" s="1030">
        <v>0</v>
      </c>
      <c r="J62" s="1030">
        <v>257060.8</v>
      </c>
      <c r="K62" s="1030">
        <v>64265.2</v>
      </c>
      <c r="L62" s="1030">
        <v>0</v>
      </c>
      <c r="M62" s="1031">
        <v>321326</v>
      </c>
      <c r="N62" s="1032"/>
      <c r="O62" s="1033"/>
      <c r="P62" s="1033"/>
      <c r="Q62" s="1033"/>
      <c r="R62" s="1033"/>
      <c r="S62" s="1034"/>
      <c r="T62" s="1032"/>
      <c r="U62" s="1033"/>
      <c r="V62" s="1033"/>
      <c r="W62" s="1033"/>
      <c r="X62" s="1033"/>
      <c r="Y62" s="1034"/>
      <c r="Z62" s="1032"/>
      <c r="AA62" s="1033"/>
      <c r="AB62" s="1033"/>
      <c r="AC62" s="1033"/>
      <c r="AD62" s="1033"/>
      <c r="AE62" s="1034"/>
    </row>
    <row r="63" spans="1:31" s="844" customFormat="1">
      <c r="A63" s="1061" t="s">
        <v>151</v>
      </c>
      <c r="B63" s="1061" t="s">
        <v>152</v>
      </c>
      <c r="C63" s="1023">
        <f t="shared" si="3"/>
        <v>0</v>
      </c>
      <c r="D63" s="1024">
        <f t="shared" si="4"/>
        <v>38259.199999999997</v>
      </c>
      <c r="E63" s="1024">
        <f t="shared" si="5"/>
        <v>9564.7999999999993</v>
      </c>
      <c r="F63" s="1024">
        <f t="shared" si="6"/>
        <v>9564.7999999999993</v>
      </c>
      <c r="G63" s="1025">
        <f t="shared" si="6"/>
        <v>0</v>
      </c>
      <c r="H63" s="1029">
        <v>0</v>
      </c>
      <c r="I63" s="1030">
        <v>0</v>
      </c>
      <c r="J63" s="1030">
        <v>38259.199999999997</v>
      </c>
      <c r="K63" s="1030">
        <v>9564.7999999999993</v>
      </c>
      <c r="L63" s="1030">
        <v>0</v>
      </c>
      <c r="M63" s="1031">
        <v>47824</v>
      </c>
      <c r="N63" s="1032"/>
      <c r="O63" s="1033"/>
      <c r="P63" s="1033"/>
      <c r="Q63" s="1033"/>
      <c r="R63" s="1033"/>
      <c r="S63" s="1034"/>
      <c r="T63" s="1032"/>
      <c r="U63" s="1033"/>
      <c r="V63" s="1033"/>
      <c r="W63" s="1033"/>
      <c r="X63" s="1033"/>
      <c r="Y63" s="1034"/>
      <c r="Z63" s="1032"/>
      <c r="AA63" s="1033"/>
      <c r="AB63" s="1033"/>
      <c r="AC63" s="1033"/>
      <c r="AD63" s="1033"/>
      <c r="AE63" s="1034"/>
    </row>
    <row r="64" spans="1:31" s="844" customFormat="1">
      <c r="A64" s="1061" t="s">
        <v>153</v>
      </c>
      <c r="B64" s="1061" t="s">
        <v>154</v>
      </c>
      <c r="C64" s="1023">
        <f t="shared" si="3"/>
        <v>1936</v>
      </c>
      <c r="D64" s="1024">
        <f t="shared" si="4"/>
        <v>189156.2</v>
      </c>
      <c r="E64" s="1024">
        <f t="shared" si="5"/>
        <v>47507.8</v>
      </c>
      <c r="F64" s="1024">
        <f t="shared" si="6"/>
        <v>47507.8</v>
      </c>
      <c r="G64" s="1025">
        <f t="shared" si="6"/>
        <v>0</v>
      </c>
      <c r="H64" s="1029">
        <v>0</v>
      </c>
      <c r="I64" s="1030">
        <v>0</v>
      </c>
      <c r="J64" s="1030">
        <v>188531.20000000001</v>
      </c>
      <c r="K64" s="1030">
        <v>47132.800000000003</v>
      </c>
      <c r="L64" s="1030">
        <v>0</v>
      </c>
      <c r="M64" s="1031">
        <v>235664</v>
      </c>
      <c r="N64" s="1029">
        <v>0</v>
      </c>
      <c r="O64" s="1030">
        <v>0</v>
      </c>
      <c r="P64" s="1030">
        <v>625</v>
      </c>
      <c r="Q64" s="1030">
        <v>375</v>
      </c>
      <c r="R64" s="1030">
        <v>0</v>
      </c>
      <c r="S64" s="1031">
        <v>1000</v>
      </c>
      <c r="T64" s="1029">
        <v>1936</v>
      </c>
      <c r="U64" s="1030">
        <v>0</v>
      </c>
      <c r="V64" s="1030">
        <v>0</v>
      </c>
      <c r="W64" s="1030">
        <v>0</v>
      </c>
      <c r="X64" s="1030">
        <v>0</v>
      </c>
      <c r="Y64" s="1031">
        <v>1936</v>
      </c>
      <c r="Z64" s="1032"/>
      <c r="AA64" s="1033"/>
      <c r="AB64" s="1033"/>
      <c r="AC64" s="1033"/>
      <c r="AD64" s="1033"/>
      <c r="AE64" s="1034"/>
    </row>
    <row r="65" spans="1:31" s="844" customFormat="1">
      <c r="A65" s="1061" t="s">
        <v>155</v>
      </c>
      <c r="B65" s="1061" t="s">
        <v>156</v>
      </c>
      <c r="C65" s="1023">
        <f t="shared" si="3"/>
        <v>0</v>
      </c>
      <c r="D65" s="1024">
        <f t="shared" si="4"/>
        <v>96696</v>
      </c>
      <c r="E65" s="1024">
        <f t="shared" si="5"/>
        <v>24174</v>
      </c>
      <c r="F65" s="1024">
        <f t="shared" si="6"/>
        <v>24174</v>
      </c>
      <c r="G65" s="1025">
        <f t="shared" si="6"/>
        <v>0</v>
      </c>
      <c r="H65" s="1029">
        <v>0</v>
      </c>
      <c r="I65" s="1030">
        <v>0</v>
      </c>
      <c r="J65" s="1030">
        <v>96696</v>
      </c>
      <c r="K65" s="1030">
        <v>24174</v>
      </c>
      <c r="L65" s="1030">
        <v>0</v>
      </c>
      <c r="M65" s="1031">
        <v>120870</v>
      </c>
      <c r="N65" s="1032"/>
      <c r="O65" s="1033"/>
      <c r="P65" s="1033"/>
      <c r="Q65" s="1033"/>
      <c r="R65" s="1033"/>
      <c r="S65" s="1034"/>
      <c r="T65" s="1032"/>
      <c r="U65" s="1033"/>
      <c r="V65" s="1033"/>
      <c r="W65" s="1033"/>
      <c r="X65" s="1033"/>
      <c r="Y65" s="1034"/>
      <c r="Z65" s="1032"/>
      <c r="AA65" s="1033"/>
      <c r="AB65" s="1033"/>
      <c r="AC65" s="1033"/>
      <c r="AD65" s="1033"/>
      <c r="AE65" s="1034"/>
    </row>
    <row r="66" spans="1:31" s="844" customFormat="1">
      <c r="A66" s="1061" t="s">
        <v>157</v>
      </c>
      <c r="B66" s="1061" t="s">
        <v>158</v>
      </c>
      <c r="C66" s="1023">
        <f t="shared" si="3"/>
        <v>0</v>
      </c>
      <c r="D66" s="1024">
        <f t="shared" si="4"/>
        <v>36490.400000000001</v>
      </c>
      <c r="E66" s="1024">
        <f t="shared" si="5"/>
        <v>9122.6</v>
      </c>
      <c r="F66" s="1024">
        <f t="shared" si="6"/>
        <v>9122.6</v>
      </c>
      <c r="G66" s="1025">
        <f t="shared" si="6"/>
        <v>0</v>
      </c>
      <c r="H66" s="1029">
        <v>0</v>
      </c>
      <c r="I66" s="1030">
        <v>0</v>
      </c>
      <c r="J66" s="1030">
        <v>36490.400000000001</v>
      </c>
      <c r="K66" s="1030">
        <v>9122.6</v>
      </c>
      <c r="L66" s="1030">
        <v>0</v>
      </c>
      <c r="M66" s="1031">
        <v>45613</v>
      </c>
      <c r="N66" s="1032"/>
      <c r="O66" s="1033"/>
      <c r="P66" s="1033"/>
      <c r="Q66" s="1033"/>
      <c r="R66" s="1033"/>
      <c r="S66" s="1034"/>
      <c r="T66" s="1032"/>
      <c r="U66" s="1033"/>
      <c r="V66" s="1033"/>
      <c r="W66" s="1033"/>
      <c r="X66" s="1033"/>
      <c r="Y66" s="1034"/>
      <c r="Z66" s="1032"/>
      <c r="AA66" s="1033"/>
      <c r="AB66" s="1033"/>
      <c r="AC66" s="1033"/>
      <c r="AD66" s="1033"/>
      <c r="AE66" s="1034"/>
    </row>
    <row r="67" spans="1:31" s="844" customFormat="1">
      <c r="A67" s="1061" t="s">
        <v>163</v>
      </c>
      <c r="B67" s="1061" t="s">
        <v>164</v>
      </c>
      <c r="C67" s="1023">
        <f t="shared" si="3"/>
        <v>0</v>
      </c>
      <c r="D67" s="1024">
        <f t="shared" si="4"/>
        <v>100089.86</v>
      </c>
      <c r="E67" s="1024">
        <f t="shared" si="5"/>
        <v>24833.530000000002</v>
      </c>
      <c r="F67" s="1024">
        <f t="shared" si="6"/>
        <v>24833.56</v>
      </c>
      <c r="G67" s="1025">
        <f t="shared" si="6"/>
        <v>-0.03</v>
      </c>
      <c r="H67" s="1029">
        <v>0</v>
      </c>
      <c r="I67" s="1030">
        <v>0</v>
      </c>
      <c r="J67" s="1030">
        <v>100629.6</v>
      </c>
      <c r="K67" s="1030">
        <v>25157.4</v>
      </c>
      <c r="L67" s="1030">
        <v>0</v>
      </c>
      <c r="M67" s="1031">
        <v>125787</v>
      </c>
      <c r="N67" s="1029">
        <v>0</v>
      </c>
      <c r="O67" s="1030">
        <v>0</v>
      </c>
      <c r="P67" s="1030">
        <v>-539.74</v>
      </c>
      <c r="Q67" s="1030">
        <v>-323.83999999999997</v>
      </c>
      <c r="R67" s="1030">
        <v>-0.03</v>
      </c>
      <c r="S67" s="1031">
        <v>-863.61</v>
      </c>
      <c r="T67" s="1032"/>
      <c r="U67" s="1033"/>
      <c r="V67" s="1033"/>
      <c r="W67" s="1033"/>
      <c r="X67" s="1033"/>
      <c r="Y67" s="1034"/>
      <c r="Z67" s="1032"/>
      <c r="AA67" s="1033"/>
      <c r="AB67" s="1033"/>
      <c r="AC67" s="1033"/>
      <c r="AD67" s="1033"/>
      <c r="AE67" s="1034"/>
    </row>
    <row r="68" spans="1:31" s="844" customFormat="1">
      <c r="A68" s="1061" t="s">
        <v>165</v>
      </c>
      <c r="B68" s="1061" t="s">
        <v>166</v>
      </c>
      <c r="C68" s="1023">
        <f t="shared" si="3"/>
        <v>0</v>
      </c>
      <c r="D68" s="1024">
        <f t="shared" si="4"/>
        <v>53353.75</v>
      </c>
      <c r="E68" s="1024">
        <f t="shared" si="5"/>
        <v>13259.25</v>
      </c>
      <c r="F68" s="1024">
        <f t="shared" si="6"/>
        <v>13259.25</v>
      </c>
      <c r="G68" s="1025">
        <f t="shared" si="6"/>
        <v>0</v>
      </c>
      <c r="H68" s="1029">
        <v>0</v>
      </c>
      <c r="I68" s="1030">
        <v>0</v>
      </c>
      <c r="J68" s="1030">
        <v>53580</v>
      </c>
      <c r="K68" s="1030">
        <v>13395</v>
      </c>
      <c r="L68" s="1030">
        <v>0</v>
      </c>
      <c r="M68" s="1031">
        <v>66975</v>
      </c>
      <c r="N68" s="1029">
        <v>0</v>
      </c>
      <c r="O68" s="1030">
        <v>0</v>
      </c>
      <c r="P68" s="1030">
        <v>-226.25</v>
      </c>
      <c r="Q68" s="1030">
        <v>-135.75</v>
      </c>
      <c r="R68" s="1030">
        <v>0</v>
      </c>
      <c r="S68" s="1031">
        <v>-362</v>
      </c>
      <c r="T68" s="1032"/>
      <c r="U68" s="1033"/>
      <c r="V68" s="1033"/>
      <c r="W68" s="1033"/>
      <c r="X68" s="1033"/>
      <c r="Y68" s="1034"/>
      <c r="Z68" s="1032"/>
      <c r="AA68" s="1033"/>
      <c r="AB68" s="1033"/>
      <c r="AC68" s="1033"/>
      <c r="AD68" s="1033"/>
      <c r="AE68" s="1034"/>
    </row>
    <row r="69" spans="1:31" s="844" customFormat="1">
      <c r="A69" s="1061" t="s">
        <v>169</v>
      </c>
      <c r="B69" s="1061" t="s">
        <v>170</v>
      </c>
      <c r="C69" s="1023">
        <f t="shared" si="3"/>
        <v>0</v>
      </c>
      <c r="D69" s="1024">
        <f t="shared" si="4"/>
        <v>72671.199999999997</v>
      </c>
      <c r="E69" s="1024">
        <f t="shared" si="5"/>
        <v>18167.8</v>
      </c>
      <c r="F69" s="1024">
        <f t="shared" si="6"/>
        <v>18167.8</v>
      </c>
      <c r="G69" s="1025">
        <f t="shared" si="6"/>
        <v>0</v>
      </c>
      <c r="H69" s="1029">
        <v>0</v>
      </c>
      <c r="I69" s="1030">
        <v>0</v>
      </c>
      <c r="J69" s="1030">
        <v>72671.199999999997</v>
      </c>
      <c r="K69" s="1030">
        <v>18167.8</v>
      </c>
      <c r="L69" s="1030">
        <v>0</v>
      </c>
      <c r="M69" s="1031">
        <v>90839</v>
      </c>
      <c r="N69" s="1032"/>
      <c r="O69" s="1033"/>
      <c r="P69" s="1033"/>
      <c r="Q69" s="1033"/>
      <c r="R69" s="1033"/>
      <c r="S69" s="1034"/>
      <c r="T69" s="1032"/>
      <c r="U69" s="1033"/>
      <c r="V69" s="1033"/>
      <c r="W69" s="1033"/>
      <c r="X69" s="1033"/>
      <c r="Y69" s="1034"/>
      <c r="Z69" s="1032"/>
      <c r="AA69" s="1033"/>
      <c r="AB69" s="1033"/>
      <c r="AC69" s="1033"/>
      <c r="AD69" s="1033"/>
      <c r="AE69" s="1034"/>
    </row>
    <row r="70" spans="1:31" s="844" customFormat="1">
      <c r="A70" s="1061" t="s">
        <v>171</v>
      </c>
      <c r="B70" s="1061" t="s">
        <v>172</v>
      </c>
      <c r="C70" s="1023">
        <f t="shared" ref="C70:C124" si="7">+H70+I70+N70+O70+T70+U70+Z70+AA70</f>
        <v>0</v>
      </c>
      <c r="D70" s="1024">
        <f t="shared" ref="D70:D124" si="8">+J70+P70+V70+AB70</f>
        <v>53052.869999999995</v>
      </c>
      <c r="E70" s="1024">
        <f t="shared" ref="E70:E124" si="9">+F70+G70</f>
        <v>13266.609999999999</v>
      </c>
      <c r="F70" s="1024">
        <f t="shared" ref="F70:G124" si="10">+K70+Q70+W70+AC70</f>
        <v>13266.599999999999</v>
      </c>
      <c r="G70" s="1025">
        <f t="shared" si="10"/>
        <v>0.01</v>
      </c>
      <c r="H70" s="1029">
        <v>0</v>
      </c>
      <c r="I70" s="1030">
        <v>0</v>
      </c>
      <c r="J70" s="1030">
        <v>53043.199999999997</v>
      </c>
      <c r="K70" s="1030">
        <v>13260.8</v>
      </c>
      <c r="L70" s="1030">
        <v>0</v>
      </c>
      <c r="M70" s="1031">
        <v>66304</v>
      </c>
      <c r="N70" s="1029">
        <v>0</v>
      </c>
      <c r="O70" s="1030">
        <v>0</v>
      </c>
      <c r="P70" s="1030">
        <v>9.67</v>
      </c>
      <c r="Q70" s="1030">
        <v>5.8</v>
      </c>
      <c r="R70" s="1030">
        <v>0.01</v>
      </c>
      <c r="S70" s="1031">
        <v>15.48</v>
      </c>
      <c r="T70" s="1032"/>
      <c r="U70" s="1033"/>
      <c r="V70" s="1033"/>
      <c r="W70" s="1033"/>
      <c r="X70" s="1033"/>
      <c r="Y70" s="1034"/>
      <c r="Z70" s="1032"/>
      <c r="AA70" s="1033"/>
      <c r="AB70" s="1033"/>
      <c r="AC70" s="1033"/>
      <c r="AD70" s="1033"/>
      <c r="AE70" s="1034"/>
    </row>
    <row r="71" spans="1:31" s="844" customFormat="1">
      <c r="A71" s="1061" t="s">
        <v>173</v>
      </c>
      <c r="B71" s="1061" t="s">
        <v>174</v>
      </c>
      <c r="C71" s="1023">
        <f t="shared" si="7"/>
        <v>0</v>
      </c>
      <c r="D71" s="1024">
        <f t="shared" si="8"/>
        <v>93293.3</v>
      </c>
      <c r="E71" s="1024">
        <f t="shared" si="9"/>
        <v>23432.7</v>
      </c>
      <c r="F71" s="1024">
        <f t="shared" si="10"/>
        <v>23432.7</v>
      </c>
      <c r="G71" s="1025">
        <f t="shared" si="10"/>
        <v>0</v>
      </c>
      <c r="H71" s="1029">
        <v>0</v>
      </c>
      <c r="I71" s="1030">
        <v>0</v>
      </c>
      <c r="J71" s="1030">
        <v>92980.800000000003</v>
      </c>
      <c r="K71" s="1030">
        <v>23245.200000000001</v>
      </c>
      <c r="L71" s="1030">
        <v>0</v>
      </c>
      <c r="M71" s="1031">
        <v>116226</v>
      </c>
      <c r="N71" s="1029">
        <v>0</v>
      </c>
      <c r="O71" s="1030">
        <v>0</v>
      </c>
      <c r="P71" s="1030">
        <v>312.5</v>
      </c>
      <c r="Q71" s="1030">
        <v>187.5</v>
      </c>
      <c r="R71" s="1030">
        <v>0</v>
      </c>
      <c r="S71" s="1031">
        <v>500</v>
      </c>
      <c r="T71" s="1032"/>
      <c r="U71" s="1033"/>
      <c r="V71" s="1033"/>
      <c r="W71" s="1033"/>
      <c r="X71" s="1033"/>
      <c r="Y71" s="1034"/>
      <c r="Z71" s="1032"/>
      <c r="AA71" s="1033"/>
      <c r="AB71" s="1033"/>
      <c r="AC71" s="1033"/>
      <c r="AD71" s="1033"/>
      <c r="AE71" s="1034"/>
    </row>
    <row r="72" spans="1:31" s="844" customFormat="1">
      <c r="A72" s="1061" t="s">
        <v>175</v>
      </c>
      <c r="B72" s="1061" t="s">
        <v>176</v>
      </c>
      <c r="C72" s="1023">
        <f t="shared" si="7"/>
        <v>0</v>
      </c>
      <c r="D72" s="1024">
        <f t="shared" si="8"/>
        <v>62356.800000000003</v>
      </c>
      <c r="E72" s="1024">
        <f t="shared" si="9"/>
        <v>15589.2</v>
      </c>
      <c r="F72" s="1024">
        <f t="shared" si="10"/>
        <v>15589.2</v>
      </c>
      <c r="G72" s="1025">
        <f t="shared" si="10"/>
        <v>0</v>
      </c>
      <c r="H72" s="1029">
        <v>0</v>
      </c>
      <c r="I72" s="1030">
        <v>0</v>
      </c>
      <c r="J72" s="1030">
        <v>62356.800000000003</v>
      </c>
      <c r="K72" s="1030">
        <v>15589.2</v>
      </c>
      <c r="L72" s="1030">
        <v>0</v>
      </c>
      <c r="M72" s="1031">
        <v>77946</v>
      </c>
      <c r="N72" s="1032"/>
      <c r="O72" s="1033"/>
      <c r="P72" s="1033"/>
      <c r="Q72" s="1033"/>
      <c r="R72" s="1033"/>
      <c r="S72" s="1034"/>
      <c r="T72" s="1032"/>
      <c r="U72" s="1033"/>
      <c r="V72" s="1033"/>
      <c r="W72" s="1033"/>
      <c r="X72" s="1033"/>
      <c r="Y72" s="1034"/>
      <c r="Z72" s="1032"/>
      <c r="AA72" s="1033"/>
      <c r="AB72" s="1033"/>
      <c r="AC72" s="1033"/>
      <c r="AD72" s="1033"/>
      <c r="AE72" s="1034"/>
    </row>
    <row r="73" spans="1:31" s="844" customFormat="1">
      <c r="A73" s="1061" t="s">
        <v>179</v>
      </c>
      <c r="B73" s="1061" t="s">
        <v>180</v>
      </c>
      <c r="C73" s="1023">
        <f t="shared" si="7"/>
        <v>0</v>
      </c>
      <c r="D73" s="1024">
        <f t="shared" si="8"/>
        <v>172303.2</v>
      </c>
      <c r="E73" s="1024">
        <f t="shared" si="9"/>
        <v>45825.710000000006</v>
      </c>
      <c r="F73" s="1024">
        <f t="shared" si="10"/>
        <v>43075.8</v>
      </c>
      <c r="G73" s="1025">
        <f t="shared" si="10"/>
        <v>2749.91</v>
      </c>
      <c r="H73" s="1029">
        <v>0</v>
      </c>
      <c r="I73" s="1030">
        <v>0</v>
      </c>
      <c r="J73" s="1030">
        <v>172303.2</v>
      </c>
      <c r="K73" s="1030">
        <v>43075.8</v>
      </c>
      <c r="L73" s="1030">
        <v>0</v>
      </c>
      <c r="M73" s="1031">
        <v>215379</v>
      </c>
      <c r="N73" s="1029">
        <v>0</v>
      </c>
      <c r="O73" s="1030">
        <v>0</v>
      </c>
      <c r="P73" s="1030">
        <v>0</v>
      </c>
      <c r="Q73" s="1030">
        <v>0</v>
      </c>
      <c r="R73" s="1030">
        <v>2749.91</v>
      </c>
      <c r="S73" s="1031">
        <v>2749.91</v>
      </c>
      <c r="T73" s="1032"/>
      <c r="U73" s="1033"/>
      <c r="V73" s="1033"/>
      <c r="W73" s="1033"/>
      <c r="X73" s="1033"/>
      <c r="Y73" s="1034"/>
      <c r="Z73" s="1032"/>
      <c r="AA73" s="1033"/>
      <c r="AB73" s="1033"/>
      <c r="AC73" s="1033"/>
      <c r="AD73" s="1033"/>
      <c r="AE73" s="1034"/>
    </row>
    <row r="74" spans="1:31" s="844" customFormat="1">
      <c r="A74" s="1061" t="s">
        <v>183</v>
      </c>
      <c r="B74" s="1061" t="s">
        <v>184</v>
      </c>
      <c r="C74" s="1023">
        <f t="shared" si="7"/>
        <v>0</v>
      </c>
      <c r="D74" s="1024">
        <f t="shared" si="8"/>
        <v>53272.479999999996</v>
      </c>
      <c r="E74" s="1024">
        <f t="shared" si="9"/>
        <v>13355.519999999999</v>
      </c>
      <c r="F74" s="1024">
        <f t="shared" si="10"/>
        <v>13355.529999999999</v>
      </c>
      <c r="G74" s="1025">
        <f t="shared" si="10"/>
        <v>-0.01</v>
      </c>
      <c r="H74" s="1029">
        <v>0</v>
      </c>
      <c r="I74" s="1030">
        <v>0</v>
      </c>
      <c r="J74" s="1030">
        <v>53165.599999999999</v>
      </c>
      <c r="K74" s="1030">
        <v>13291.4</v>
      </c>
      <c r="L74" s="1030">
        <v>0</v>
      </c>
      <c r="M74" s="1031">
        <v>66457</v>
      </c>
      <c r="N74" s="1029">
        <v>0</v>
      </c>
      <c r="O74" s="1030">
        <v>0</v>
      </c>
      <c r="P74" s="1030">
        <v>106.88</v>
      </c>
      <c r="Q74" s="1030">
        <v>64.13</v>
      </c>
      <c r="R74" s="1030">
        <v>-0.01</v>
      </c>
      <c r="S74" s="1031">
        <v>171</v>
      </c>
      <c r="T74" s="1032"/>
      <c r="U74" s="1033"/>
      <c r="V74" s="1033"/>
      <c r="W74" s="1033"/>
      <c r="X74" s="1033"/>
      <c r="Y74" s="1034"/>
      <c r="Z74" s="1032"/>
      <c r="AA74" s="1033"/>
      <c r="AB74" s="1033"/>
      <c r="AC74" s="1033"/>
      <c r="AD74" s="1033"/>
      <c r="AE74" s="1034"/>
    </row>
    <row r="75" spans="1:31" s="844" customFormat="1">
      <c r="A75" s="1061" t="s">
        <v>185</v>
      </c>
      <c r="B75" s="1061" t="s">
        <v>186</v>
      </c>
      <c r="C75" s="1023">
        <f t="shared" si="7"/>
        <v>0</v>
      </c>
      <c r="D75" s="1024">
        <f t="shared" si="8"/>
        <v>108849.60000000001</v>
      </c>
      <c r="E75" s="1024">
        <f t="shared" si="9"/>
        <v>27212.400000000001</v>
      </c>
      <c r="F75" s="1024">
        <f t="shared" si="10"/>
        <v>27212.400000000001</v>
      </c>
      <c r="G75" s="1025">
        <f t="shared" si="10"/>
        <v>0</v>
      </c>
      <c r="H75" s="1029">
        <v>0</v>
      </c>
      <c r="I75" s="1030">
        <v>0</v>
      </c>
      <c r="J75" s="1030">
        <v>108849.60000000001</v>
      </c>
      <c r="K75" s="1030">
        <v>27212.400000000001</v>
      </c>
      <c r="L75" s="1030">
        <v>0</v>
      </c>
      <c r="M75" s="1031">
        <v>136062</v>
      </c>
      <c r="N75" s="1032"/>
      <c r="O75" s="1033"/>
      <c r="P75" s="1033"/>
      <c r="Q75" s="1033"/>
      <c r="R75" s="1033"/>
      <c r="S75" s="1034"/>
      <c r="T75" s="1032"/>
      <c r="U75" s="1033"/>
      <c r="V75" s="1033"/>
      <c r="W75" s="1033"/>
      <c r="X75" s="1033"/>
      <c r="Y75" s="1034"/>
      <c r="Z75" s="1032"/>
      <c r="AA75" s="1033"/>
      <c r="AB75" s="1033"/>
      <c r="AC75" s="1033"/>
      <c r="AD75" s="1033"/>
      <c r="AE75" s="1034"/>
    </row>
    <row r="76" spans="1:31" s="844" customFormat="1">
      <c r="A76" s="1061" t="s">
        <v>187</v>
      </c>
      <c r="B76" s="1061" t="s">
        <v>188</v>
      </c>
      <c r="C76" s="1023">
        <f t="shared" si="7"/>
        <v>0</v>
      </c>
      <c r="D76" s="1024">
        <f t="shared" si="8"/>
        <v>27206.400000000001</v>
      </c>
      <c r="E76" s="1024">
        <f t="shared" si="9"/>
        <v>6801.6</v>
      </c>
      <c r="F76" s="1024">
        <f t="shared" si="10"/>
        <v>6801.6</v>
      </c>
      <c r="G76" s="1025">
        <f t="shared" si="10"/>
        <v>0</v>
      </c>
      <c r="H76" s="1029">
        <v>0</v>
      </c>
      <c r="I76" s="1030">
        <v>0</v>
      </c>
      <c r="J76" s="1030">
        <v>27206.400000000001</v>
      </c>
      <c r="K76" s="1030">
        <v>6801.6</v>
      </c>
      <c r="L76" s="1030">
        <v>0</v>
      </c>
      <c r="M76" s="1031">
        <v>34008</v>
      </c>
      <c r="N76" s="1032"/>
      <c r="O76" s="1033"/>
      <c r="P76" s="1033"/>
      <c r="Q76" s="1033"/>
      <c r="R76" s="1033"/>
      <c r="S76" s="1034"/>
      <c r="T76" s="1032"/>
      <c r="U76" s="1033"/>
      <c r="V76" s="1033"/>
      <c r="W76" s="1033"/>
      <c r="X76" s="1033"/>
      <c r="Y76" s="1034"/>
      <c r="Z76" s="1032"/>
      <c r="AA76" s="1033"/>
      <c r="AB76" s="1033"/>
      <c r="AC76" s="1033"/>
      <c r="AD76" s="1033"/>
      <c r="AE76" s="1034"/>
    </row>
    <row r="77" spans="1:31" s="844" customFormat="1">
      <c r="A77" s="1061" t="s">
        <v>189</v>
      </c>
      <c r="B77" s="1061" t="s">
        <v>190</v>
      </c>
      <c r="C77" s="1023">
        <f t="shared" si="7"/>
        <v>56960</v>
      </c>
      <c r="D77" s="1024">
        <f t="shared" si="8"/>
        <v>335292.33</v>
      </c>
      <c r="E77" s="1024">
        <f t="shared" si="9"/>
        <v>84010.1</v>
      </c>
      <c r="F77" s="1024">
        <f t="shared" si="10"/>
        <v>84010.11</v>
      </c>
      <c r="G77" s="1025">
        <f t="shared" si="10"/>
        <v>-0.01</v>
      </c>
      <c r="H77" s="1029">
        <v>0</v>
      </c>
      <c r="I77" s="1030">
        <v>0</v>
      </c>
      <c r="J77" s="1030">
        <v>334757.95</v>
      </c>
      <c r="K77" s="1030">
        <v>83689.48</v>
      </c>
      <c r="L77" s="1030">
        <v>0</v>
      </c>
      <c r="M77" s="1031">
        <v>418447.43</v>
      </c>
      <c r="N77" s="1029">
        <v>0</v>
      </c>
      <c r="O77" s="1030">
        <v>0</v>
      </c>
      <c r="P77" s="1030">
        <v>534.38</v>
      </c>
      <c r="Q77" s="1030">
        <v>320.63</v>
      </c>
      <c r="R77" s="1030">
        <v>-0.01</v>
      </c>
      <c r="S77" s="1031">
        <v>855</v>
      </c>
      <c r="T77" s="1029">
        <v>56960</v>
      </c>
      <c r="U77" s="1030">
        <v>0</v>
      </c>
      <c r="V77" s="1030">
        <v>0</v>
      </c>
      <c r="W77" s="1030">
        <v>0</v>
      </c>
      <c r="X77" s="1030">
        <v>0</v>
      </c>
      <c r="Y77" s="1031">
        <v>56960</v>
      </c>
      <c r="Z77" s="1032"/>
      <c r="AA77" s="1033"/>
      <c r="AB77" s="1033"/>
      <c r="AC77" s="1033"/>
      <c r="AD77" s="1033"/>
      <c r="AE77" s="1034"/>
    </row>
    <row r="78" spans="1:31" s="844" customFormat="1">
      <c r="A78" s="1061" t="s">
        <v>191</v>
      </c>
      <c r="B78" s="1061" t="s">
        <v>192</v>
      </c>
      <c r="C78" s="1023">
        <f t="shared" si="7"/>
        <v>0</v>
      </c>
      <c r="D78" s="1024">
        <f t="shared" si="8"/>
        <v>188017.2</v>
      </c>
      <c r="E78" s="1024">
        <f t="shared" si="9"/>
        <v>47441.8</v>
      </c>
      <c r="F78" s="1024">
        <f t="shared" si="10"/>
        <v>47441.8</v>
      </c>
      <c r="G78" s="1025">
        <f t="shared" si="10"/>
        <v>0</v>
      </c>
      <c r="H78" s="1029">
        <v>0</v>
      </c>
      <c r="I78" s="1030">
        <v>0</v>
      </c>
      <c r="J78" s="1030">
        <v>186767.2</v>
      </c>
      <c r="K78" s="1030">
        <v>46691.8</v>
      </c>
      <c r="L78" s="1030">
        <v>0</v>
      </c>
      <c r="M78" s="1031">
        <v>233459</v>
      </c>
      <c r="N78" s="1029">
        <v>0</v>
      </c>
      <c r="O78" s="1030">
        <v>0</v>
      </c>
      <c r="P78" s="1030">
        <v>1250</v>
      </c>
      <c r="Q78" s="1030">
        <v>750</v>
      </c>
      <c r="R78" s="1030">
        <v>0</v>
      </c>
      <c r="S78" s="1031">
        <v>2000</v>
      </c>
      <c r="T78" s="1032"/>
      <c r="U78" s="1033"/>
      <c r="V78" s="1033"/>
      <c r="W78" s="1033"/>
      <c r="X78" s="1033"/>
      <c r="Y78" s="1034"/>
      <c r="Z78" s="1032"/>
      <c r="AA78" s="1033"/>
      <c r="AB78" s="1033"/>
      <c r="AC78" s="1033"/>
      <c r="AD78" s="1033"/>
      <c r="AE78" s="1034"/>
    </row>
    <row r="79" spans="1:31" s="844" customFormat="1">
      <c r="A79" s="1061" t="s">
        <v>195</v>
      </c>
      <c r="B79" s="1061" t="s">
        <v>196</v>
      </c>
      <c r="C79" s="1023">
        <f t="shared" si="7"/>
        <v>0</v>
      </c>
      <c r="D79" s="1024">
        <f t="shared" si="8"/>
        <v>9304</v>
      </c>
      <c r="E79" s="1024">
        <f t="shared" si="9"/>
        <v>2326</v>
      </c>
      <c r="F79" s="1024">
        <f t="shared" si="10"/>
        <v>2326</v>
      </c>
      <c r="G79" s="1025">
        <f t="shared" si="10"/>
        <v>0</v>
      </c>
      <c r="H79" s="1029">
        <v>0</v>
      </c>
      <c r="I79" s="1030">
        <v>0</v>
      </c>
      <c r="J79" s="1030">
        <v>9304</v>
      </c>
      <c r="K79" s="1030">
        <v>2326</v>
      </c>
      <c r="L79" s="1030">
        <v>0</v>
      </c>
      <c r="M79" s="1031">
        <v>11630</v>
      </c>
      <c r="N79" s="1032"/>
      <c r="O79" s="1033"/>
      <c r="P79" s="1033"/>
      <c r="Q79" s="1033"/>
      <c r="R79" s="1033"/>
      <c r="S79" s="1034"/>
      <c r="T79" s="1032"/>
      <c r="U79" s="1033"/>
      <c r="V79" s="1033"/>
      <c r="W79" s="1033"/>
      <c r="X79" s="1033"/>
      <c r="Y79" s="1034"/>
      <c r="Z79" s="1032"/>
      <c r="AA79" s="1033"/>
      <c r="AB79" s="1033"/>
      <c r="AC79" s="1033"/>
      <c r="AD79" s="1033"/>
      <c r="AE79" s="1034"/>
    </row>
    <row r="80" spans="1:31" s="844" customFormat="1">
      <c r="A80" s="1061" t="s">
        <v>199</v>
      </c>
      <c r="B80" s="1061" t="s">
        <v>200</v>
      </c>
      <c r="C80" s="1023">
        <f t="shared" si="7"/>
        <v>0</v>
      </c>
      <c r="D80" s="1024">
        <f t="shared" si="8"/>
        <v>6228</v>
      </c>
      <c r="E80" s="1024">
        <f t="shared" si="9"/>
        <v>1557</v>
      </c>
      <c r="F80" s="1024">
        <f t="shared" si="10"/>
        <v>1557</v>
      </c>
      <c r="G80" s="1025">
        <f t="shared" si="10"/>
        <v>0</v>
      </c>
      <c r="H80" s="1029">
        <v>0</v>
      </c>
      <c r="I80" s="1030">
        <v>0</v>
      </c>
      <c r="J80" s="1030">
        <v>6228</v>
      </c>
      <c r="K80" s="1030">
        <v>1557</v>
      </c>
      <c r="L80" s="1030">
        <v>0</v>
      </c>
      <c r="M80" s="1031">
        <v>7785</v>
      </c>
      <c r="N80" s="1032"/>
      <c r="O80" s="1033"/>
      <c r="P80" s="1033"/>
      <c r="Q80" s="1033"/>
      <c r="R80" s="1033"/>
      <c r="S80" s="1034"/>
      <c r="T80" s="1032"/>
      <c r="U80" s="1033"/>
      <c r="V80" s="1033"/>
      <c r="W80" s="1033"/>
      <c r="X80" s="1033"/>
      <c r="Y80" s="1034"/>
      <c r="Z80" s="1032"/>
      <c r="AA80" s="1033"/>
      <c r="AB80" s="1033"/>
      <c r="AC80" s="1033"/>
      <c r="AD80" s="1033"/>
      <c r="AE80" s="1034"/>
    </row>
    <row r="81" spans="1:31" s="844" customFormat="1">
      <c r="A81" s="1061" t="s">
        <v>203</v>
      </c>
      <c r="B81" s="1061" t="s">
        <v>204</v>
      </c>
      <c r="C81" s="1023">
        <f t="shared" si="7"/>
        <v>9573</v>
      </c>
      <c r="D81" s="1024">
        <f t="shared" si="8"/>
        <v>318514.53999999998</v>
      </c>
      <c r="E81" s="1024">
        <f t="shared" si="9"/>
        <v>115600.48999999999</v>
      </c>
      <c r="F81" s="1024">
        <f t="shared" si="10"/>
        <v>87329.26</v>
      </c>
      <c r="G81" s="1025">
        <f t="shared" si="10"/>
        <v>28271.23</v>
      </c>
      <c r="H81" s="1029">
        <v>0</v>
      </c>
      <c r="I81" s="1030">
        <v>0</v>
      </c>
      <c r="J81" s="1030">
        <v>296512.8</v>
      </c>
      <c r="K81" s="1030">
        <v>74128.2</v>
      </c>
      <c r="L81" s="1030">
        <v>0</v>
      </c>
      <c r="M81" s="1031">
        <v>370641</v>
      </c>
      <c r="N81" s="1029">
        <v>0</v>
      </c>
      <c r="O81" s="1030">
        <v>0</v>
      </c>
      <c r="P81" s="1030">
        <v>22001.74</v>
      </c>
      <c r="Q81" s="1030">
        <v>13201.06</v>
      </c>
      <c r="R81" s="1030">
        <v>28271.23</v>
      </c>
      <c r="S81" s="1031">
        <v>63474.03</v>
      </c>
      <c r="T81" s="1029">
        <v>9573</v>
      </c>
      <c r="U81" s="1030">
        <v>0</v>
      </c>
      <c r="V81" s="1030">
        <v>0</v>
      </c>
      <c r="W81" s="1030">
        <v>0</v>
      </c>
      <c r="X81" s="1030">
        <v>0</v>
      </c>
      <c r="Y81" s="1031">
        <v>9573</v>
      </c>
      <c r="Z81" s="1032"/>
      <c r="AA81" s="1033"/>
      <c r="AB81" s="1033"/>
      <c r="AC81" s="1033"/>
      <c r="AD81" s="1033"/>
      <c r="AE81" s="1034"/>
    </row>
    <row r="82" spans="1:31" s="844" customFormat="1">
      <c r="A82" s="1061" t="s">
        <v>205</v>
      </c>
      <c r="B82" s="1061" t="s">
        <v>206</v>
      </c>
      <c r="C82" s="1023">
        <f t="shared" si="7"/>
        <v>0</v>
      </c>
      <c r="D82" s="1024">
        <f t="shared" si="8"/>
        <v>113431.46</v>
      </c>
      <c r="E82" s="1024">
        <f t="shared" si="9"/>
        <v>28467.23</v>
      </c>
      <c r="F82" s="1024">
        <f t="shared" si="10"/>
        <v>28467.23</v>
      </c>
      <c r="G82" s="1025">
        <f t="shared" si="10"/>
        <v>0</v>
      </c>
      <c r="H82" s="1029">
        <v>0</v>
      </c>
      <c r="I82" s="1030">
        <v>0</v>
      </c>
      <c r="J82" s="1030">
        <v>113118.96</v>
      </c>
      <c r="K82" s="1030">
        <v>28279.73</v>
      </c>
      <c r="L82" s="1030">
        <v>0</v>
      </c>
      <c r="M82" s="1031">
        <v>141398.69</v>
      </c>
      <c r="N82" s="1029">
        <v>0</v>
      </c>
      <c r="O82" s="1030">
        <v>0</v>
      </c>
      <c r="P82" s="1030">
        <v>312.5</v>
      </c>
      <c r="Q82" s="1030">
        <v>187.5</v>
      </c>
      <c r="R82" s="1030">
        <v>0</v>
      </c>
      <c r="S82" s="1031">
        <v>500</v>
      </c>
      <c r="T82" s="1032"/>
      <c r="U82" s="1033"/>
      <c r="V82" s="1033"/>
      <c r="W82" s="1033"/>
      <c r="X82" s="1033"/>
      <c r="Y82" s="1034"/>
      <c r="Z82" s="1032"/>
      <c r="AA82" s="1033"/>
      <c r="AB82" s="1033"/>
      <c r="AC82" s="1033"/>
      <c r="AD82" s="1033"/>
      <c r="AE82" s="1034"/>
    </row>
    <row r="83" spans="1:31" s="844" customFormat="1">
      <c r="A83" s="1061" t="s">
        <v>207</v>
      </c>
      <c r="B83" s="1061" t="s">
        <v>208</v>
      </c>
      <c r="C83" s="1023">
        <f t="shared" si="7"/>
        <v>24070</v>
      </c>
      <c r="D83" s="1024">
        <f t="shared" si="8"/>
        <v>267901.83</v>
      </c>
      <c r="E83" s="1024">
        <f t="shared" si="9"/>
        <v>76235.78</v>
      </c>
      <c r="F83" s="1024">
        <f t="shared" si="10"/>
        <v>71735.819999999992</v>
      </c>
      <c r="G83" s="1025">
        <f t="shared" si="10"/>
        <v>4499.96</v>
      </c>
      <c r="H83" s="1029">
        <v>0</v>
      </c>
      <c r="I83" s="1030">
        <v>0</v>
      </c>
      <c r="J83" s="1030">
        <v>254300.79999999999</v>
      </c>
      <c r="K83" s="1030">
        <v>63575.199999999997</v>
      </c>
      <c r="L83" s="1030">
        <v>0</v>
      </c>
      <c r="M83" s="1031">
        <v>317876</v>
      </c>
      <c r="N83" s="1029">
        <v>0</v>
      </c>
      <c r="O83" s="1030">
        <v>0</v>
      </c>
      <c r="P83" s="1030">
        <v>13601.03</v>
      </c>
      <c r="Q83" s="1030">
        <v>8160.62</v>
      </c>
      <c r="R83" s="1030">
        <v>4499.96</v>
      </c>
      <c r="S83" s="1031">
        <v>26261.61</v>
      </c>
      <c r="T83" s="1029">
        <v>24070</v>
      </c>
      <c r="U83" s="1030">
        <v>0</v>
      </c>
      <c r="V83" s="1030">
        <v>0</v>
      </c>
      <c r="W83" s="1030">
        <v>0</v>
      </c>
      <c r="X83" s="1030">
        <v>0</v>
      </c>
      <c r="Y83" s="1031">
        <v>24070</v>
      </c>
      <c r="Z83" s="1032"/>
      <c r="AA83" s="1033"/>
      <c r="AB83" s="1033"/>
      <c r="AC83" s="1033"/>
      <c r="AD83" s="1033"/>
      <c r="AE83" s="1034"/>
    </row>
    <row r="84" spans="1:31" s="844" customFormat="1">
      <c r="A84" s="1061" t="s">
        <v>209</v>
      </c>
      <c r="B84" s="1061" t="s">
        <v>210</v>
      </c>
      <c r="C84" s="1023">
        <f t="shared" si="7"/>
        <v>0</v>
      </c>
      <c r="D84" s="1024">
        <f t="shared" si="8"/>
        <v>293172</v>
      </c>
      <c r="E84" s="1024">
        <f t="shared" si="9"/>
        <v>73293</v>
      </c>
      <c r="F84" s="1024">
        <f t="shared" si="10"/>
        <v>73293</v>
      </c>
      <c r="G84" s="1025">
        <f t="shared" si="10"/>
        <v>0</v>
      </c>
      <c r="H84" s="1029">
        <v>0</v>
      </c>
      <c r="I84" s="1030">
        <v>0</v>
      </c>
      <c r="J84" s="1030">
        <v>293172</v>
      </c>
      <c r="K84" s="1030">
        <v>73293</v>
      </c>
      <c r="L84" s="1030">
        <v>0</v>
      </c>
      <c r="M84" s="1031">
        <v>366465</v>
      </c>
      <c r="N84" s="1032"/>
      <c r="O84" s="1033"/>
      <c r="P84" s="1033"/>
      <c r="Q84" s="1033"/>
      <c r="R84" s="1033"/>
      <c r="S84" s="1034"/>
      <c r="T84" s="1032"/>
      <c r="U84" s="1033"/>
      <c r="V84" s="1033"/>
      <c r="W84" s="1033"/>
      <c r="X84" s="1033"/>
      <c r="Y84" s="1034"/>
      <c r="Z84" s="1032"/>
      <c r="AA84" s="1033"/>
      <c r="AB84" s="1033"/>
      <c r="AC84" s="1033"/>
      <c r="AD84" s="1033"/>
      <c r="AE84" s="1034"/>
    </row>
    <row r="85" spans="1:31" s="844" customFormat="1">
      <c r="A85" s="1061" t="s">
        <v>211</v>
      </c>
      <c r="B85" s="1061" t="s">
        <v>212</v>
      </c>
      <c r="C85" s="1023">
        <f t="shared" si="7"/>
        <v>0</v>
      </c>
      <c r="D85" s="1024">
        <f t="shared" si="8"/>
        <v>208836.48000000001</v>
      </c>
      <c r="E85" s="1024">
        <f t="shared" si="9"/>
        <v>52209.120000000003</v>
      </c>
      <c r="F85" s="1024">
        <f t="shared" si="10"/>
        <v>52209.120000000003</v>
      </c>
      <c r="G85" s="1025">
        <f t="shared" si="10"/>
        <v>0</v>
      </c>
      <c r="H85" s="1029">
        <v>0</v>
      </c>
      <c r="I85" s="1030">
        <v>0</v>
      </c>
      <c r="J85" s="1030">
        <v>208836.48000000001</v>
      </c>
      <c r="K85" s="1030">
        <v>52209.120000000003</v>
      </c>
      <c r="L85" s="1030">
        <v>0</v>
      </c>
      <c r="M85" s="1031">
        <v>261045.6</v>
      </c>
      <c r="N85" s="1032"/>
      <c r="O85" s="1033"/>
      <c r="P85" s="1033"/>
      <c r="Q85" s="1033"/>
      <c r="R85" s="1033"/>
      <c r="S85" s="1034"/>
      <c r="T85" s="1032"/>
      <c r="U85" s="1033"/>
      <c r="V85" s="1033"/>
      <c r="W85" s="1033"/>
      <c r="X85" s="1033"/>
      <c r="Y85" s="1034"/>
      <c r="Z85" s="1032"/>
      <c r="AA85" s="1033"/>
      <c r="AB85" s="1033"/>
      <c r="AC85" s="1033"/>
      <c r="AD85" s="1033"/>
      <c r="AE85" s="1034"/>
    </row>
    <row r="86" spans="1:31" s="844" customFormat="1">
      <c r="A86" s="1061" t="s">
        <v>213</v>
      </c>
      <c r="B86" s="1061" t="s">
        <v>214</v>
      </c>
      <c r="C86" s="1023">
        <f t="shared" si="7"/>
        <v>0</v>
      </c>
      <c r="D86" s="1024">
        <f t="shared" si="8"/>
        <v>219408.21</v>
      </c>
      <c r="E86" s="1024">
        <f t="shared" si="9"/>
        <v>55218.649999999994</v>
      </c>
      <c r="F86" s="1024">
        <f t="shared" si="10"/>
        <v>55218.649999999994</v>
      </c>
      <c r="G86" s="1025">
        <f t="shared" si="10"/>
        <v>0</v>
      </c>
      <c r="H86" s="1029">
        <v>0</v>
      </c>
      <c r="I86" s="1030">
        <v>0</v>
      </c>
      <c r="J86" s="1030">
        <v>218360.8</v>
      </c>
      <c r="K86" s="1030">
        <v>54590.2</v>
      </c>
      <c r="L86" s="1030">
        <v>0</v>
      </c>
      <c r="M86" s="1031">
        <v>272951</v>
      </c>
      <c r="N86" s="1029">
        <v>0</v>
      </c>
      <c r="O86" s="1030">
        <v>0</v>
      </c>
      <c r="P86" s="1030">
        <v>1047.4100000000001</v>
      </c>
      <c r="Q86" s="1030">
        <v>628.45000000000005</v>
      </c>
      <c r="R86" s="1030">
        <v>0</v>
      </c>
      <c r="S86" s="1031">
        <v>1675.86</v>
      </c>
      <c r="T86" s="1032"/>
      <c r="U86" s="1033"/>
      <c r="V86" s="1033"/>
      <c r="W86" s="1033"/>
      <c r="X86" s="1033"/>
      <c r="Y86" s="1034"/>
      <c r="Z86" s="1032"/>
      <c r="AA86" s="1033"/>
      <c r="AB86" s="1033"/>
      <c r="AC86" s="1033"/>
      <c r="AD86" s="1033"/>
      <c r="AE86" s="1034"/>
    </row>
    <row r="87" spans="1:31" s="844" customFormat="1">
      <c r="A87" s="1061" t="s">
        <v>215</v>
      </c>
      <c r="B87" s="1061" t="s">
        <v>216</v>
      </c>
      <c r="C87" s="1023">
        <f t="shared" si="7"/>
        <v>0</v>
      </c>
      <c r="D87" s="1024">
        <f t="shared" si="8"/>
        <v>211851.4</v>
      </c>
      <c r="E87" s="1024">
        <f t="shared" si="9"/>
        <v>58175.340000000004</v>
      </c>
      <c r="F87" s="1024">
        <f t="shared" si="10"/>
        <v>58175.360000000001</v>
      </c>
      <c r="G87" s="1025">
        <f t="shared" si="10"/>
        <v>-0.02</v>
      </c>
      <c r="H87" s="1029">
        <v>0</v>
      </c>
      <c r="I87" s="1030">
        <v>0</v>
      </c>
      <c r="J87" s="1030">
        <v>196958.4</v>
      </c>
      <c r="K87" s="1030">
        <v>49239.6</v>
      </c>
      <c r="L87" s="1030">
        <v>0</v>
      </c>
      <c r="M87" s="1031">
        <v>246198</v>
      </c>
      <c r="N87" s="1029">
        <v>0</v>
      </c>
      <c r="O87" s="1030">
        <v>0</v>
      </c>
      <c r="P87" s="1030">
        <v>14893</v>
      </c>
      <c r="Q87" s="1030">
        <v>8935.76</v>
      </c>
      <c r="R87" s="1030">
        <v>-0.02</v>
      </c>
      <c r="S87" s="1031">
        <v>23828.74</v>
      </c>
      <c r="T87" s="1032"/>
      <c r="U87" s="1033"/>
      <c r="V87" s="1033"/>
      <c r="W87" s="1033"/>
      <c r="X87" s="1033"/>
      <c r="Y87" s="1034"/>
      <c r="Z87" s="1032"/>
      <c r="AA87" s="1033"/>
      <c r="AB87" s="1033"/>
      <c r="AC87" s="1033"/>
      <c r="AD87" s="1033"/>
      <c r="AE87" s="1034"/>
    </row>
    <row r="88" spans="1:31" s="844" customFormat="1">
      <c r="A88" s="1061" t="s">
        <v>217</v>
      </c>
      <c r="B88" s="1061" t="s">
        <v>218</v>
      </c>
      <c r="C88" s="1023">
        <f t="shared" si="7"/>
        <v>0</v>
      </c>
      <c r="D88" s="1024">
        <f t="shared" si="8"/>
        <v>53662.400000000001</v>
      </c>
      <c r="E88" s="1024">
        <f t="shared" si="9"/>
        <v>13415.6</v>
      </c>
      <c r="F88" s="1024">
        <f t="shared" si="10"/>
        <v>13415.6</v>
      </c>
      <c r="G88" s="1025">
        <f t="shared" si="10"/>
        <v>0</v>
      </c>
      <c r="H88" s="1029">
        <v>0</v>
      </c>
      <c r="I88" s="1030">
        <v>0</v>
      </c>
      <c r="J88" s="1030">
        <v>53662.400000000001</v>
      </c>
      <c r="K88" s="1030">
        <v>13415.6</v>
      </c>
      <c r="L88" s="1030">
        <v>0</v>
      </c>
      <c r="M88" s="1031">
        <v>67078</v>
      </c>
      <c r="N88" s="1032"/>
      <c r="O88" s="1033"/>
      <c r="P88" s="1033"/>
      <c r="Q88" s="1033"/>
      <c r="R88" s="1033"/>
      <c r="S88" s="1034"/>
      <c r="T88" s="1032"/>
      <c r="U88" s="1033"/>
      <c r="V88" s="1033"/>
      <c r="W88" s="1033"/>
      <c r="X88" s="1033"/>
      <c r="Y88" s="1034"/>
      <c r="Z88" s="1032"/>
      <c r="AA88" s="1033"/>
      <c r="AB88" s="1033"/>
      <c r="AC88" s="1033"/>
      <c r="AD88" s="1033"/>
      <c r="AE88" s="1034"/>
    </row>
    <row r="89" spans="1:31" s="844" customFormat="1">
      <c r="A89" s="1061" t="s">
        <v>219</v>
      </c>
      <c r="B89" s="1061" t="s">
        <v>220</v>
      </c>
      <c r="C89" s="1023">
        <f t="shared" si="7"/>
        <v>0</v>
      </c>
      <c r="D89" s="1024">
        <f t="shared" si="8"/>
        <v>127198.39999999999</v>
      </c>
      <c r="E89" s="1024">
        <f t="shared" si="9"/>
        <v>31799.599999999999</v>
      </c>
      <c r="F89" s="1024">
        <f t="shared" si="10"/>
        <v>31799.599999999999</v>
      </c>
      <c r="G89" s="1025">
        <f t="shared" si="10"/>
        <v>0</v>
      </c>
      <c r="H89" s="1029">
        <v>0</v>
      </c>
      <c r="I89" s="1030">
        <v>0</v>
      </c>
      <c r="J89" s="1030">
        <v>127198.39999999999</v>
      </c>
      <c r="K89" s="1030">
        <v>31799.599999999999</v>
      </c>
      <c r="L89" s="1030">
        <v>0</v>
      </c>
      <c r="M89" s="1031">
        <v>158998</v>
      </c>
      <c r="N89" s="1032"/>
      <c r="O89" s="1033"/>
      <c r="P89" s="1033"/>
      <c r="Q89" s="1033"/>
      <c r="R89" s="1033"/>
      <c r="S89" s="1034"/>
      <c r="T89" s="1032"/>
      <c r="U89" s="1033"/>
      <c r="V89" s="1033"/>
      <c r="W89" s="1033"/>
      <c r="X89" s="1033"/>
      <c r="Y89" s="1034"/>
      <c r="Z89" s="1032"/>
      <c r="AA89" s="1033"/>
      <c r="AB89" s="1033"/>
      <c r="AC89" s="1033"/>
      <c r="AD89" s="1033"/>
      <c r="AE89" s="1034"/>
    </row>
    <row r="90" spans="1:31" s="844" customFormat="1">
      <c r="A90" s="1061" t="s">
        <v>221</v>
      </c>
      <c r="B90" s="1061" t="s">
        <v>222</v>
      </c>
      <c r="C90" s="1023">
        <f t="shared" si="7"/>
        <v>1896</v>
      </c>
      <c r="D90" s="1024">
        <f t="shared" si="8"/>
        <v>62816.06</v>
      </c>
      <c r="E90" s="1024">
        <f t="shared" si="9"/>
        <v>22308.47</v>
      </c>
      <c r="F90" s="1024">
        <f t="shared" si="10"/>
        <v>17797.93</v>
      </c>
      <c r="G90" s="1025">
        <f t="shared" si="10"/>
        <v>4510.54</v>
      </c>
      <c r="H90" s="1029">
        <v>0</v>
      </c>
      <c r="I90" s="1030">
        <v>0</v>
      </c>
      <c r="J90" s="1030">
        <v>56833.599999999999</v>
      </c>
      <c r="K90" s="1030">
        <v>14208.4</v>
      </c>
      <c r="L90" s="1030">
        <v>0</v>
      </c>
      <c r="M90" s="1031">
        <v>71042</v>
      </c>
      <c r="N90" s="1029">
        <v>0</v>
      </c>
      <c r="O90" s="1030">
        <v>0</v>
      </c>
      <c r="P90" s="1030">
        <v>5982.46</v>
      </c>
      <c r="Q90" s="1030">
        <v>3589.53</v>
      </c>
      <c r="R90" s="1030">
        <v>4510.54</v>
      </c>
      <c r="S90" s="1031">
        <v>14082.53</v>
      </c>
      <c r="T90" s="1029">
        <v>1896</v>
      </c>
      <c r="U90" s="1030">
        <v>0</v>
      </c>
      <c r="V90" s="1030">
        <v>0</v>
      </c>
      <c r="W90" s="1030">
        <v>0</v>
      </c>
      <c r="X90" s="1030">
        <v>0</v>
      </c>
      <c r="Y90" s="1031">
        <v>1896</v>
      </c>
      <c r="Z90" s="1032"/>
      <c r="AA90" s="1033"/>
      <c r="AB90" s="1033"/>
      <c r="AC90" s="1033"/>
      <c r="AD90" s="1033"/>
      <c r="AE90" s="1034"/>
    </row>
    <row r="91" spans="1:31" s="844" customFormat="1">
      <c r="A91" s="1061" t="s">
        <v>225</v>
      </c>
      <c r="B91" s="1061" t="s">
        <v>226</v>
      </c>
      <c r="C91" s="1023">
        <f t="shared" si="7"/>
        <v>0</v>
      </c>
      <c r="D91" s="1024">
        <f t="shared" si="8"/>
        <v>47149.599999999999</v>
      </c>
      <c r="E91" s="1024">
        <f t="shared" si="9"/>
        <v>14293.4</v>
      </c>
      <c r="F91" s="1024">
        <f t="shared" si="10"/>
        <v>11787.4</v>
      </c>
      <c r="G91" s="1025">
        <f t="shared" si="10"/>
        <v>2506</v>
      </c>
      <c r="H91" s="1029">
        <v>0</v>
      </c>
      <c r="I91" s="1030">
        <v>0</v>
      </c>
      <c r="J91" s="1030">
        <v>47149.599999999999</v>
      </c>
      <c r="K91" s="1030">
        <v>11787.4</v>
      </c>
      <c r="L91" s="1030">
        <v>2506</v>
      </c>
      <c r="M91" s="1031">
        <v>61443</v>
      </c>
      <c r="N91" s="1032"/>
      <c r="O91" s="1033"/>
      <c r="P91" s="1033"/>
      <c r="Q91" s="1033"/>
      <c r="R91" s="1033"/>
      <c r="S91" s="1034"/>
      <c r="T91" s="1032"/>
      <c r="U91" s="1033"/>
      <c r="V91" s="1033"/>
      <c r="W91" s="1033"/>
      <c r="X91" s="1033"/>
      <c r="Y91" s="1034"/>
      <c r="Z91" s="1032"/>
      <c r="AA91" s="1033"/>
      <c r="AB91" s="1033"/>
      <c r="AC91" s="1033"/>
      <c r="AD91" s="1033"/>
      <c r="AE91" s="1034"/>
    </row>
    <row r="92" spans="1:31" s="844" customFormat="1">
      <c r="A92" s="1061" t="s">
        <v>227</v>
      </c>
      <c r="B92" s="1061" t="s">
        <v>228</v>
      </c>
      <c r="C92" s="1023">
        <f t="shared" si="7"/>
        <v>0</v>
      </c>
      <c r="D92" s="1024">
        <f t="shared" si="8"/>
        <v>56498.38</v>
      </c>
      <c r="E92" s="1024">
        <f t="shared" si="9"/>
        <v>14411.12</v>
      </c>
      <c r="F92" s="1024">
        <f t="shared" si="10"/>
        <v>14411.18</v>
      </c>
      <c r="G92" s="1025">
        <f t="shared" si="10"/>
        <v>-0.06</v>
      </c>
      <c r="H92" s="1029">
        <v>0</v>
      </c>
      <c r="I92" s="1030">
        <v>0</v>
      </c>
      <c r="J92" s="1030">
        <v>55679.6</v>
      </c>
      <c r="K92" s="1030">
        <v>13919.9</v>
      </c>
      <c r="L92" s="1030">
        <v>0</v>
      </c>
      <c r="M92" s="1031">
        <v>69599.5</v>
      </c>
      <c r="N92" s="1029">
        <v>0</v>
      </c>
      <c r="O92" s="1030">
        <v>0</v>
      </c>
      <c r="P92" s="1030">
        <v>818.78</v>
      </c>
      <c r="Q92" s="1030">
        <v>491.28</v>
      </c>
      <c r="R92" s="1030">
        <v>-0.06</v>
      </c>
      <c r="S92" s="1031">
        <v>1310</v>
      </c>
      <c r="T92" s="1032"/>
      <c r="U92" s="1033"/>
      <c r="V92" s="1033"/>
      <c r="W92" s="1033"/>
      <c r="X92" s="1033"/>
      <c r="Y92" s="1034"/>
      <c r="Z92" s="1032"/>
      <c r="AA92" s="1033"/>
      <c r="AB92" s="1033"/>
      <c r="AC92" s="1033"/>
      <c r="AD92" s="1033"/>
      <c r="AE92" s="1034"/>
    </row>
    <row r="93" spans="1:31" s="844" customFormat="1">
      <c r="A93" s="1061" t="s">
        <v>229</v>
      </c>
      <c r="B93" s="1061" t="s">
        <v>230</v>
      </c>
      <c r="C93" s="1023">
        <f t="shared" si="7"/>
        <v>0</v>
      </c>
      <c r="D93" s="1024">
        <f t="shared" si="8"/>
        <v>306110.28999999998</v>
      </c>
      <c r="E93" s="1024">
        <f t="shared" si="9"/>
        <v>94915.23000000001</v>
      </c>
      <c r="F93" s="1024">
        <f t="shared" si="10"/>
        <v>77959.02</v>
      </c>
      <c r="G93" s="1025">
        <f t="shared" si="10"/>
        <v>16956.21</v>
      </c>
      <c r="H93" s="1029">
        <v>0</v>
      </c>
      <c r="I93" s="1030">
        <v>0</v>
      </c>
      <c r="J93" s="1030">
        <v>302020.42</v>
      </c>
      <c r="K93" s="1030">
        <v>75505.100000000006</v>
      </c>
      <c r="L93" s="1030">
        <v>0</v>
      </c>
      <c r="M93" s="1031">
        <v>377525.52</v>
      </c>
      <c r="N93" s="1029">
        <v>0</v>
      </c>
      <c r="O93" s="1030">
        <v>0</v>
      </c>
      <c r="P93" s="1030">
        <v>4089.87</v>
      </c>
      <c r="Q93" s="1030">
        <v>2453.92</v>
      </c>
      <c r="R93" s="1030">
        <v>16956.21</v>
      </c>
      <c r="S93" s="1031">
        <v>23500</v>
      </c>
      <c r="T93" s="1032"/>
      <c r="U93" s="1033"/>
      <c r="V93" s="1033"/>
      <c r="W93" s="1033"/>
      <c r="X93" s="1033"/>
      <c r="Y93" s="1034"/>
      <c r="Z93" s="1032"/>
      <c r="AA93" s="1033"/>
      <c r="AB93" s="1033"/>
      <c r="AC93" s="1033"/>
      <c r="AD93" s="1033"/>
      <c r="AE93" s="1034"/>
    </row>
    <row r="94" spans="1:31" s="844" customFormat="1">
      <c r="A94" s="1061" t="s">
        <v>233</v>
      </c>
      <c r="B94" s="1061" t="s">
        <v>234</v>
      </c>
      <c r="C94" s="1023">
        <f t="shared" si="7"/>
        <v>0</v>
      </c>
      <c r="D94" s="1024">
        <f t="shared" si="8"/>
        <v>63995.19</v>
      </c>
      <c r="E94" s="1024">
        <f t="shared" si="9"/>
        <v>16108.07</v>
      </c>
      <c r="F94" s="1024">
        <f t="shared" si="10"/>
        <v>16108.08</v>
      </c>
      <c r="G94" s="1025">
        <f t="shared" si="10"/>
        <v>-0.01</v>
      </c>
      <c r="H94" s="1029">
        <v>0</v>
      </c>
      <c r="I94" s="1030">
        <v>0</v>
      </c>
      <c r="J94" s="1030">
        <v>63683</v>
      </c>
      <c r="K94" s="1030">
        <v>15920.75</v>
      </c>
      <c r="L94" s="1030">
        <v>0</v>
      </c>
      <c r="M94" s="1031">
        <v>79603.75</v>
      </c>
      <c r="N94" s="1029">
        <v>0</v>
      </c>
      <c r="O94" s="1030">
        <v>0</v>
      </c>
      <c r="P94" s="1030">
        <v>312.19</v>
      </c>
      <c r="Q94" s="1030">
        <v>187.33</v>
      </c>
      <c r="R94" s="1030">
        <v>-0.01</v>
      </c>
      <c r="S94" s="1031">
        <v>499.51</v>
      </c>
      <c r="T94" s="1032"/>
      <c r="U94" s="1033"/>
      <c r="V94" s="1033"/>
      <c r="W94" s="1033"/>
      <c r="X94" s="1033"/>
      <c r="Y94" s="1034"/>
      <c r="Z94" s="1032"/>
      <c r="AA94" s="1033"/>
      <c r="AB94" s="1033"/>
      <c r="AC94" s="1033"/>
      <c r="AD94" s="1033"/>
      <c r="AE94" s="1034"/>
    </row>
    <row r="95" spans="1:31" s="844" customFormat="1">
      <c r="A95" s="1061" t="s">
        <v>235</v>
      </c>
      <c r="B95" s="1061" t="s">
        <v>236</v>
      </c>
      <c r="C95" s="1023">
        <f t="shared" si="7"/>
        <v>0</v>
      </c>
      <c r="D95" s="1024">
        <f t="shared" si="8"/>
        <v>890365.7</v>
      </c>
      <c r="E95" s="1024">
        <f t="shared" si="9"/>
        <v>228913.3</v>
      </c>
      <c r="F95" s="1024">
        <f t="shared" si="10"/>
        <v>224013.3</v>
      </c>
      <c r="G95" s="1025">
        <f t="shared" si="10"/>
        <v>4900</v>
      </c>
      <c r="H95" s="1029">
        <v>0</v>
      </c>
      <c r="I95" s="1030">
        <v>0</v>
      </c>
      <c r="J95" s="1030">
        <v>886303.2</v>
      </c>
      <c r="K95" s="1030">
        <v>221575.8</v>
      </c>
      <c r="L95" s="1030">
        <v>0</v>
      </c>
      <c r="M95" s="1031">
        <v>1107879</v>
      </c>
      <c r="N95" s="1029">
        <v>0</v>
      </c>
      <c r="O95" s="1030">
        <v>0</v>
      </c>
      <c r="P95" s="1030">
        <v>4062.5</v>
      </c>
      <c r="Q95" s="1030">
        <v>2437.5</v>
      </c>
      <c r="R95" s="1030">
        <v>4900</v>
      </c>
      <c r="S95" s="1031">
        <v>11400</v>
      </c>
      <c r="T95" s="1032"/>
      <c r="U95" s="1033"/>
      <c r="V95" s="1033"/>
      <c r="W95" s="1033"/>
      <c r="X95" s="1033"/>
      <c r="Y95" s="1034"/>
      <c r="Z95" s="1032"/>
      <c r="AA95" s="1033"/>
      <c r="AB95" s="1033"/>
      <c r="AC95" s="1033"/>
      <c r="AD95" s="1033"/>
      <c r="AE95" s="1034"/>
    </row>
    <row r="96" spans="1:31" s="844" customFormat="1">
      <c r="A96" s="1061" t="s">
        <v>237</v>
      </c>
      <c r="B96" s="1061" t="s">
        <v>238</v>
      </c>
      <c r="C96" s="1023">
        <f t="shared" si="7"/>
        <v>0</v>
      </c>
      <c r="D96" s="1024">
        <f t="shared" si="8"/>
        <v>41514.54</v>
      </c>
      <c r="E96" s="1024">
        <f t="shared" si="9"/>
        <v>11973.850000000002</v>
      </c>
      <c r="F96" s="1024">
        <f t="shared" si="10"/>
        <v>11973.900000000001</v>
      </c>
      <c r="G96" s="1025">
        <f t="shared" si="10"/>
        <v>-0.05</v>
      </c>
      <c r="H96" s="1029">
        <v>0</v>
      </c>
      <c r="I96" s="1030">
        <v>0</v>
      </c>
      <c r="J96" s="1030">
        <v>36956.6</v>
      </c>
      <c r="K96" s="1030">
        <v>9239.1200000000008</v>
      </c>
      <c r="L96" s="1030">
        <v>0</v>
      </c>
      <c r="M96" s="1031">
        <v>46195.72</v>
      </c>
      <c r="N96" s="1029">
        <v>0</v>
      </c>
      <c r="O96" s="1030">
        <v>0</v>
      </c>
      <c r="P96" s="1030">
        <v>4557.9399999999996</v>
      </c>
      <c r="Q96" s="1030">
        <v>2734.78</v>
      </c>
      <c r="R96" s="1030">
        <v>-0.05</v>
      </c>
      <c r="S96" s="1031">
        <v>7292.67</v>
      </c>
      <c r="T96" s="1032"/>
      <c r="U96" s="1033"/>
      <c r="V96" s="1033"/>
      <c r="W96" s="1033"/>
      <c r="X96" s="1033"/>
      <c r="Y96" s="1034"/>
      <c r="Z96" s="1032"/>
      <c r="AA96" s="1033"/>
      <c r="AB96" s="1033"/>
      <c r="AC96" s="1033"/>
      <c r="AD96" s="1033"/>
      <c r="AE96" s="1034"/>
    </row>
    <row r="97" spans="1:31" s="844" customFormat="1">
      <c r="A97" s="1061" t="s">
        <v>243</v>
      </c>
      <c r="B97" s="1061" t="s">
        <v>244</v>
      </c>
      <c r="C97" s="1023">
        <f t="shared" si="7"/>
        <v>0</v>
      </c>
      <c r="D97" s="1024">
        <f t="shared" si="8"/>
        <v>169930.80000000002</v>
      </c>
      <c r="E97" s="1024">
        <f t="shared" si="9"/>
        <v>42520.92</v>
      </c>
      <c r="F97" s="1024">
        <f t="shared" si="10"/>
        <v>42520.92</v>
      </c>
      <c r="G97" s="1025">
        <f t="shared" si="10"/>
        <v>0</v>
      </c>
      <c r="H97" s="1029">
        <v>0</v>
      </c>
      <c r="I97" s="1030">
        <v>0</v>
      </c>
      <c r="J97" s="1030">
        <v>169821.6</v>
      </c>
      <c r="K97" s="1030">
        <v>42455.4</v>
      </c>
      <c r="L97" s="1030">
        <v>0</v>
      </c>
      <c r="M97" s="1031">
        <v>212277</v>
      </c>
      <c r="N97" s="1029">
        <v>0</v>
      </c>
      <c r="O97" s="1030">
        <v>0</v>
      </c>
      <c r="P97" s="1030">
        <v>109.2</v>
      </c>
      <c r="Q97" s="1030">
        <v>65.52</v>
      </c>
      <c r="R97" s="1030">
        <v>0</v>
      </c>
      <c r="S97" s="1031">
        <v>174.72</v>
      </c>
      <c r="T97" s="1032"/>
      <c r="U97" s="1033"/>
      <c r="V97" s="1033"/>
      <c r="W97" s="1033"/>
      <c r="X97" s="1033"/>
      <c r="Y97" s="1034"/>
      <c r="Z97" s="1032"/>
      <c r="AA97" s="1033"/>
      <c r="AB97" s="1033"/>
      <c r="AC97" s="1033"/>
      <c r="AD97" s="1033"/>
      <c r="AE97" s="1034"/>
    </row>
    <row r="98" spans="1:31" s="844" customFormat="1">
      <c r="A98" s="1061" t="s">
        <v>245</v>
      </c>
      <c r="B98" s="1061" t="s">
        <v>246</v>
      </c>
      <c r="C98" s="1023">
        <f t="shared" si="7"/>
        <v>0</v>
      </c>
      <c r="D98" s="1024">
        <f t="shared" si="8"/>
        <v>158602.9</v>
      </c>
      <c r="E98" s="1024">
        <f t="shared" si="9"/>
        <v>40007.49</v>
      </c>
      <c r="F98" s="1024">
        <f t="shared" si="10"/>
        <v>39760.1</v>
      </c>
      <c r="G98" s="1025">
        <f t="shared" si="10"/>
        <v>247.39</v>
      </c>
      <c r="H98" s="1029">
        <v>0</v>
      </c>
      <c r="I98" s="1030">
        <v>0</v>
      </c>
      <c r="J98" s="1030">
        <v>158290.4</v>
      </c>
      <c r="K98" s="1030">
        <v>39572.6</v>
      </c>
      <c r="L98" s="1030">
        <v>0</v>
      </c>
      <c r="M98" s="1031">
        <v>197863</v>
      </c>
      <c r="N98" s="1029">
        <v>0</v>
      </c>
      <c r="O98" s="1030">
        <v>0</v>
      </c>
      <c r="P98" s="1030">
        <v>312.5</v>
      </c>
      <c r="Q98" s="1030">
        <v>187.5</v>
      </c>
      <c r="R98" s="1030">
        <v>247.39</v>
      </c>
      <c r="S98" s="1031">
        <v>747.39</v>
      </c>
      <c r="T98" s="1032"/>
      <c r="U98" s="1033"/>
      <c r="V98" s="1033"/>
      <c r="W98" s="1033"/>
      <c r="X98" s="1033"/>
      <c r="Y98" s="1034"/>
      <c r="Z98" s="1032"/>
      <c r="AA98" s="1033"/>
      <c r="AB98" s="1033"/>
      <c r="AC98" s="1033"/>
      <c r="AD98" s="1033"/>
      <c r="AE98" s="1034"/>
    </row>
    <row r="99" spans="1:31" s="844" customFormat="1">
      <c r="A99" s="1061" t="s">
        <v>247</v>
      </c>
      <c r="B99" s="1061" t="s">
        <v>389</v>
      </c>
      <c r="C99" s="1023">
        <f t="shared" si="7"/>
        <v>1695</v>
      </c>
      <c r="D99" s="1024">
        <f t="shared" si="8"/>
        <v>123470.06</v>
      </c>
      <c r="E99" s="1024">
        <f t="shared" si="9"/>
        <v>34926.840000000004</v>
      </c>
      <c r="F99" s="1024">
        <f t="shared" si="10"/>
        <v>34926.83</v>
      </c>
      <c r="G99" s="1025">
        <f t="shared" si="10"/>
        <v>0.01</v>
      </c>
      <c r="H99" s="1029">
        <v>0</v>
      </c>
      <c r="I99" s="1030">
        <v>0</v>
      </c>
      <c r="J99" s="1030">
        <v>111872</v>
      </c>
      <c r="K99" s="1030">
        <v>27968</v>
      </c>
      <c r="L99" s="1030">
        <v>0</v>
      </c>
      <c r="M99" s="1031">
        <v>139840</v>
      </c>
      <c r="N99" s="1029">
        <v>0</v>
      </c>
      <c r="O99" s="1030">
        <v>0</v>
      </c>
      <c r="P99" s="1030">
        <v>11598.06</v>
      </c>
      <c r="Q99" s="1030">
        <v>6958.83</v>
      </c>
      <c r="R99" s="1030">
        <v>0.01</v>
      </c>
      <c r="S99" s="1031">
        <v>18556.900000000001</v>
      </c>
      <c r="T99" s="1029">
        <v>1695</v>
      </c>
      <c r="U99" s="1030">
        <v>0</v>
      </c>
      <c r="V99" s="1030">
        <v>0</v>
      </c>
      <c r="W99" s="1030">
        <v>0</v>
      </c>
      <c r="X99" s="1030">
        <v>0</v>
      </c>
      <c r="Y99" s="1031">
        <v>1695</v>
      </c>
      <c r="Z99" s="1032"/>
      <c r="AA99" s="1033"/>
      <c r="AB99" s="1033"/>
      <c r="AC99" s="1033"/>
      <c r="AD99" s="1033"/>
      <c r="AE99" s="1034"/>
    </row>
    <row r="100" spans="1:31" s="844" customFormat="1">
      <c r="A100" s="1061" t="s">
        <v>14</v>
      </c>
      <c r="B100" s="1061" t="s">
        <v>15</v>
      </c>
      <c r="C100" s="1023">
        <f t="shared" si="7"/>
        <v>128322</v>
      </c>
      <c r="D100" s="1024">
        <f t="shared" si="8"/>
        <v>222132.49</v>
      </c>
      <c r="E100" s="1024">
        <f t="shared" si="9"/>
        <v>71773.600000000006</v>
      </c>
      <c r="F100" s="1024">
        <f t="shared" si="10"/>
        <v>68607.61</v>
      </c>
      <c r="G100" s="1025">
        <f t="shared" si="10"/>
        <v>3165.99</v>
      </c>
      <c r="H100" s="1029">
        <v>0</v>
      </c>
      <c r="I100" s="1030">
        <v>0</v>
      </c>
      <c r="J100" s="1030">
        <v>184776.8</v>
      </c>
      <c r="K100" s="1030">
        <v>46194.2</v>
      </c>
      <c r="L100" s="1030">
        <v>3166</v>
      </c>
      <c r="M100" s="1031">
        <v>234137</v>
      </c>
      <c r="N100" s="1029">
        <v>0</v>
      </c>
      <c r="O100" s="1030">
        <v>0</v>
      </c>
      <c r="P100" s="1030">
        <v>37355.69</v>
      </c>
      <c r="Q100" s="1030">
        <v>22413.41</v>
      </c>
      <c r="R100" s="1030">
        <v>-0.01</v>
      </c>
      <c r="S100" s="1031">
        <v>59769.09</v>
      </c>
      <c r="T100" s="1029">
        <v>128322</v>
      </c>
      <c r="U100" s="1030">
        <v>0</v>
      </c>
      <c r="V100" s="1030">
        <v>0</v>
      </c>
      <c r="W100" s="1030">
        <v>0</v>
      </c>
      <c r="X100" s="1030">
        <v>0</v>
      </c>
      <c r="Y100" s="1031">
        <v>128322</v>
      </c>
      <c r="Z100" s="1032"/>
      <c r="AA100" s="1033"/>
      <c r="AB100" s="1033"/>
      <c r="AC100" s="1033"/>
      <c r="AD100" s="1033"/>
      <c r="AE100" s="1034"/>
    </row>
    <row r="101" spans="1:31" s="844" customFormat="1">
      <c r="A101" s="1061" t="s">
        <v>35</v>
      </c>
      <c r="B101" s="1061" t="s">
        <v>36</v>
      </c>
      <c r="C101" s="1023">
        <f t="shared" si="7"/>
        <v>0</v>
      </c>
      <c r="D101" s="1024">
        <f t="shared" si="8"/>
        <v>255554.4</v>
      </c>
      <c r="E101" s="1024">
        <f t="shared" si="9"/>
        <v>63888.6</v>
      </c>
      <c r="F101" s="1024">
        <f t="shared" si="10"/>
        <v>63888.6</v>
      </c>
      <c r="G101" s="1025">
        <f t="shared" si="10"/>
        <v>0</v>
      </c>
      <c r="H101" s="1029">
        <v>0</v>
      </c>
      <c r="I101" s="1030">
        <v>0</v>
      </c>
      <c r="J101" s="1030">
        <v>255554.4</v>
      </c>
      <c r="K101" s="1030">
        <v>63888.6</v>
      </c>
      <c r="L101" s="1030">
        <v>0</v>
      </c>
      <c r="M101" s="1031">
        <v>319443</v>
      </c>
      <c r="N101" s="1032"/>
      <c r="O101" s="1033"/>
      <c r="P101" s="1033"/>
      <c r="Q101" s="1033"/>
      <c r="R101" s="1033"/>
      <c r="S101" s="1034"/>
      <c r="T101" s="1032"/>
      <c r="U101" s="1033"/>
      <c r="V101" s="1033"/>
      <c r="W101" s="1033"/>
      <c r="X101" s="1033"/>
      <c r="Y101" s="1034"/>
      <c r="Z101" s="1032"/>
      <c r="AA101" s="1033"/>
      <c r="AB101" s="1033"/>
      <c r="AC101" s="1033"/>
      <c r="AD101" s="1033"/>
      <c r="AE101" s="1034"/>
    </row>
    <row r="102" spans="1:31" s="844" customFormat="1">
      <c r="A102" s="1061" t="s">
        <v>53</v>
      </c>
      <c r="B102" s="1061" t="s">
        <v>54</v>
      </c>
      <c r="C102" s="1023">
        <f t="shared" si="7"/>
        <v>36231.879999999997</v>
      </c>
      <c r="D102" s="1024">
        <f t="shared" si="8"/>
        <v>230928.57</v>
      </c>
      <c r="E102" s="1024">
        <f t="shared" si="9"/>
        <v>61254.420000000006</v>
      </c>
      <c r="F102" s="1024">
        <f t="shared" si="10"/>
        <v>59166.41</v>
      </c>
      <c r="G102" s="1025">
        <f t="shared" si="10"/>
        <v>2088.0100000000002</v>
      </c>
      <c r="H102" s="1029">
        <v>0</v>
      </c>
      <c r="I102" s="1030">
        <v>0</v>
      </c>
      <c r="J102" s="1030">
        <v>226830.59</v>
      </c>
      <c r="K102" s="1030">
        <v>56707.62</v>
      </c>
      <c r="L102" s="1030">
        <v>0</v>
      </c>
      <c r="M102" s="1031">
        <v>283538.21000000002</v>
      </c>
      <c r="N102" s="1029">
        <v>0</v>
      </c>
      <c r="O102" s="1030">
        <v>0</v>
      </c>
      <c r="P102" s="1030">
        <v>4097.9799999999996</v>
      </c>
      <c r="Q102" s="1030">
        <v>2458.79</v>
      </c>
      <c r="R102" s="1030">
        <v>2088.0100000000002</v>
      </c>
      <c r="S102" s="1031">
        <v>8644.7800000000007</v>
      </c>
      <c r="T102" s="1029">
        <v>36231.879999999997</v>
      </c>
      <c r="U102" s="1030">
        <v>0</v>
      </c>
      <c r="V102" s="1030">
        <v>0</v>
      </c>
      <c r="W102" s="1030">
        <v>0</v>
      </c>
      <c r="X102" s="1030">
        <v>0</v>
      </c>
      <c r="Y102" s="1031">
        <v>36231.879999999997</v>
      </c>
      <c r="Z102" s="1032"/>
      <c r="AA102" s="1033"/>
      <c r="AB102" s="1033"/>
      <c r="AC102" s="1033"/>
      <c r="AD102" s="1033"/>
      <c r="AE102" s="1034"/>
    </row>
    <row r="103" spans="1:31" s="844" customFormat="1">
      <c r="A103" s="1061" t="s">
        <v>55</v>
      </c>
      <c r="B103" s="1061" t="s">
        <v>56</v>
      </c>
      <c r="C103" s="1023">
        <f t="shared" si="7"/>
        <v>692</v>
      </c>
      <c r="D103" s="1024">
        <f t="shared" si="8"/>
        <v>560084.25</v>
      </c>
      <c r="E103" s="1024">
        <f t="shared" si="9"/>
        <v>145850.75</v>
      </c>
      <c r="F103" s="1024">
        <f t="shared" si="10"/>
        <v>145850.75</v>
      </c>
      <c r="G103" s="1025">
        <f t="shared" si="10"/>
        <v>0</v>
      </c>
      <c r="H103" s="1029">
        <v>0</v>
      </c>
      <c r="I103" s="1030">
        <v>0</v>
      </c>
      <c r="J103" s="1030">
        <v>543428</v>
      </c>
      <c r="K103" s="1030">
        <v>135857</v>
      </c>
      <c r="L103" s="1030">
        <v>0</v>
      </c>
      <c r="M103" s="1031">
        <v>679285</v>
      </c>
      <c r="N103" s="1029">
        <v>0</v>
      </c>
      <c r="O103" s="1030">
        <v>0</v>
      </c>
      <c r="P103" s="1030">
        <v>16656.25</v>
      </c>
      <c r="Q103" s="1030">
        <v>9993.75</v>
      </c>
      <c r="R103" s="1030">
        <v>0</v>
      </c>
      <c r="S103" s="1031">
        <v>26650</v>
      </c>
      <c r="T103" s="1029">
        <v>692</v>
      </c>
      <c r="U103" s="1030">
        <v>0</v>
      </c>
      <c r="V103" s="1030">
        <v>0</v>
      </c>
      <c r="W103" s="1030">
        <v>0</v>
      </c>
      <c r="X103" s="1030">
        <v>0</v>
      </c>
      <c r="Y103" s="1031">
        <v>692</v>
      </c>
      <c r="Z103" s="1032"/>
      <c r="AA103" s="1033"/>
      <c r="AB103" s="1033"/>
      <c r="AC103" s="1033"/>
      <c r="AD103" s="1033"/>
      <c r="AE103" s="1034"/>
    </row>
    <row r="104" spans="1:31" s="844" customFormat="1">
      <c r="A104" s="1061" t="s">
        <v>67</v>
      </c>
      <c r="B104" s="1061" t="s">
        <v>68</v>
      </c>
      <c r="C104" s="1023">
        <f t="shared" si="7"/>
        <v>0</v>
      </c>
      <c r="D104" s="1024">
        <f t="shared" si="8"/>
        <v>288381.61</v>
      </c>
      <c r="E104" s="1024">
        <f t="shared" si="9"/>
        <v>74791.789999999994</v>
      </c>
      <c r="F104" s="1024">
        <f t="shared" si="10"/>
        <v>74791.81</v>
      </c>
      <c r="G104" s="1025">
        <f t="shared" si="10"/>
        <v>-0.02</v>
      </c>
      <c r="H104" s="1029">
        <v>0</v>
      </c>
      <c r="I104" s="1030">
        <v>0</v>
      </c>
      <c r="J104" s="1030">
        <v>280677.59999999998</v>
      </c>
      <c r="K104" s="1030">
        <v>70169.399999999994</v>
      </c>
      <c r="L104" s="1030">
        <v>0</v>
      </c>
      <c r="M104" s="1031">
        <v>350847</v>
      </c>
      <c r="N104" s="1029">
        <v>0</v>
      </c>
      <c r="O104" s="1030">
        <v>0</v>
      </c>
      <c r="P104" s="1030">
        <v>7704.01</v>
      </c>
      <c r="Q104" s="1030">
        <v>4622.41</v>
      </c>
      <c r="R104" s="1030">
        <v>-0.02</v>
      </c>
      <c r="S104" s="1031">
        <v>12326.4</v>
      </c>
      <c r="T104" s="1032"/>
      <c r="U104" s="1033"/>
      <c r="V104" s="1033"/>
      <c r="W104" s="1033"/>
      <c r="X104" s="1033"/>
      <c r="Y104" s="1034"/>
      <c r="Z104" s="1032"/>
      <c r="AA104" s="1033"/>
      <c r="AB104" s="1033"/>
      <c r="AC104" s="1033"/>
      <c r="AD104" s="1033"/>
      <c r="AE104" s="1034"/>
    </row>
    <row r="105" spans="1:31" s="844" customFormat="1">
      <c r="A105" s="1061" t="s">
        <v>83</v>
      </c>
      <c r="B105" s="1061" t="s">
        <v>390</v>
      </c>
      <c r="C105" s="1023">
        <f t="shared" si="7"/>
        <v>0</v>
      </c>
      <c r="D105" s="1024">
        <f t="shared" si="8"/>
        <v>39674.400000000001</v>
      </c>
      <c r="E105" s="1024">
        <f t="shared" si="9"/>
        <v>9918.6</v>
      </c>
      <c r="F105" s="1024">
        <f t="shared" si="10"/>
        <v>9918.6</v>
      </c>
      <c r="G105" s="1025">
        <f t="shared" si="10"/>
        <v>0</v>
      </c>
      <c r="H105" s="1029">
        <v>0</v>
      </c>
      <c r="I105" s="1030">
        <v>0</v>
      </c>
      <c r="J105" s="1030">
        <v>39674.400000000001</v>
      </c>
      <c r="K105" s="1030">
        <v>9918.6</v>
      </c>
      <c r="L105" s="1030">
        <v>0</v>
      </c>
      <c r="M105" s="1031">
        <v>49593</v>
      </c>
      <c r="N105" s="1032"/>
      <c r="O105" s="1033"/>
      <c r="P105" s="1033"/>
      <c r="Q105" s="1033"/>
      <c r="R105" s="1033"/>
      <c r="S105" s="1034"/>
      <c r="T105" s="1032"/>
      <c r="U105" s="1033"/>
      <c r="V105" s="1033"/>
      <c r="W105" s="1033"/>
      <c r="X105" s="1033"/>
      <c r="Y105" s="1034"/>
      <c r="Z105" s="1032"/>
      <c r="AA105" s="1033"/>
      <c r="AB105" s="1033"/>
      <c r="AC105" s="1033"/>
      <c r="AD105" s="1033"/>
      <c r="AE105" s="1034"/>
    </row>
    <row r="106" spans="1:31" s="844" customFormat="1">
      <c r="A106" s="1061" t="s">
        <v>89</v>
      </c>
      <c r="B106" s="1061" t="s">
        <v>90</v>
      </c>
      <c r="C106" s="1023">
        <f t="shared" si="7"/>
        <v>6376</v>
      </c>
      <c r="D106" s="1024">
        <f t="shared" si="8"/>
        <v>89392</v>
      </c>
      <c r="E106" s="1024">
        <f t="shared" si="9"/>
        <v>22348</v>
      </c>
      <c r="F106" s="1024">
        <f t="shared" si="10"/>
        <v>22348</v>
      </c>
      <c r="G106" s="1025">
        <f t="shared" si="10"/>
        <v>0</v>
      </c>
      <c r="H106" s="1029">
        <v>0</v>
      </c>
      <c r="I106" s="1030">
        <v>0</v>
      </c>
      <c r="J106" s="1030">
        <v>89392</v>
      </c>
      <c r="K106" s="1030">
        <v>22348</v>
      </c>
      <c r="L106" s="1030">
        <v>0</v>
      </c>
      <c r="M106" s="1031">
        <v>111740</v>
      </c>
      <c r="N106" s="1032"/>
      <c r="O106" s="1033"/>
      <c r="P106" s="1033"/>
      <c r="Q106" s="1033"/>
      <c r="R106" s="1033"/>
      <c r="S106" s="1034"/>
      <c r="T106" s="1029">
        <v>6376</v>
      </c>
      <c r="U106" s="1030">
        <v>0</v>
      </c>
      <c r="V106" s="1030">
        <v>0</v>
      </c>
      <c r="W106" s="1030">
        <v>0</v>
      </c>
      <c r="X106" s="1030">
        <v>0</v>
      </c>
      <c r="Y106" s="1031">
        <v>6376</v>
      </c>
      <c r="Z106" s="1032"/>
      <c r="AA106" s="1033"/>
      <c r="AB106" s="1033"/>
      <c r="AC106" s="1033"/>
      <c r="AD106" s="1033"/>
      <c r="AE106" s="1034"/>
    </row>
    <row r="107" spans="1:31" s="844" customFormat="1">
      <c r="A107" s="1061" t="s">
        <v>91</v>
      </c>
      <c r="B107" s="1061" t="s">
        <v>92</v>
      </c>
      <c r="C107" s="1023">
        <f t="shared" si="7"/>
        <v>0</v>
      </c>
      <c r="D107" s="1024">
        <f t="shared" si="8"/>
        <v>40513.599999999999</v>
      </c>
      <c r="E107" s="1024">
        <f t="shared" si="9"/>
        <v>10128.4</v>
      </c>
      <c r="F107" s="1024">
        <f t="shared" si="10"/>
        <v>10128.4</v>
      </c>
      <c r="G107" s="1025">
        <f t="shared" si="10"/>
        <v>0</v>
      </c>
      <c r="H107" s="1029">
        <v>0</v>
      </c>
      <c r="I107" s="1030">
        <v>0</v>
      </c>
      <c r="J107" s="1030">
        <v>40513.599999999999</v>
      </c>
      <c r="K107" s="1030">
        <v>10128.4</v>
      </c>
      <c r="L107" s="1030">
        <v>0</v>
      </c>
      <c r="M107" s="1031">
        <v>50642</v>
      </c>
      <c r="N107" s="1032"/>
      <c r="O107" s="1033"/>
      <c r="P107" s="1033"/>
      <c r="Q107" s="1033"/>
      <c r="R107" s="1033"/>
      <c r="S107" s="1034"/>
      <c r="T107" s="1032"/>
      <c r="U107" s="1033"/>
      <c r="V107" s="1033"/>
      <c r="W107" s="1033"/>
      <c r="X107" s="1033"/>
      <c r="Y107" s="1034"/>
      <c r="Z107" s="1032"/>
      <c r="AA107" s="1033"/>
      <c r="AB107" s="1033"/>
      <c r="AC107" s="1033"/>
      <c r="AD107" s="1033"/>
      <c r="AE107" s="1034"/>
    </row>
    <row r="108" spans="1:31" s="844" customFormat="1">
      <c r="A108" s="1061" t="s">
        <v>107</v>
      </c>
      <c r="B108" s="1061" t="s">
        <v>108</v>
      </c>
      <c r="C108" s="1023">
        <f t="shared" si="7"/>
        <v>56879</v>
      </c>
      <c r="D108" s="1024">
        <f t="shared" si="8"/>
        <v>505419.67000000004</v>
      </c>
      <c r="E108" s="1024">
        <f t="shared" si="9"/>
        <v>138861.26999999999</v>
      </c>
      <c r="F108" s="1024">
        <f t="shared" si="10"/>
        <v>138861.31</v>
      </c>
      <c r="G108" s="1025">
        <f t="shared" si="10"/>
        <v>-0.04</v>
      </c>
      <c r="H108" s="1029">
        <v>0</v>
      </c>
      <c r="I108" s="1030">
        <v>0</v>
      </c>
      <c r="J108" s="1030">
        <v>469687.2</v>
      </c>
      <c r="K108" s="1030">
        <v>117421.8</v>
      </c>
      <c r="L108" s="1030">
        <v>0</v>
      </c>
      <c r="M108" s="1031">
        <v>587109</v>
      </c>
      <c r="N108" s="1029">
        <v>0</v>
      </c>
      <c r="O108" s="1030">
        <v>0</v>
      </c>
      <c r="P108" s="1030">
        <v>35732.47</v>
      </c>
      <c r="Q108" s="1030">
        <v>21439.51</v>
      </c>
      <c r="R108" s="1030">
        <v>-0.04</v>
      </c>
      <c r="S108" s="1031">
        <v>57171.94</v>
      </c>
      <c r="T108" s="1029">
        <v>56879</v>
      </c>
      <c r="U108" s="1030">
        <v>0</v>
      </c>
      <c r="V108" s="1030">
        <v>0</v>
      </c>
      <c r="W108" s="1030">
        <v>0</v>
      </c>
      <c r="X108" s="1030">
        <v>0</v>
      </c>
      <c r="Y108" s="1031">
        <v>56879</v>
      </c>
      <c r="Z108" s="1032"/>
      <c r="AA108" s="1033"/>
      <c r="AB108" s="1033"/>
      <c r="AC108" s="1033"/>
      <c r="AD108" s="1033"/>
      <c r="AE108" s="1034"/>
    </row>
    <row r="109" spans="1:31" s="844" customFormat="1">
      <c r="A109" s="1061" t="s">
        <v>117</v>
      </c>
      <c r="B109" s="1061" t="s">
        <v>118</v>
      </c>
      <c r="C109" s="1023">
        <f t="shared" si="7"/>
        <v>0</v>
      </c>
      <c r="D109" s="1024">
        <f t="shared" si="8"/>
        <v>66055.199999999997</v>
      </c>
      <c r="E109" s="1024">
        <f t="shared" si="9"/>
        <v>16513.8</v>
      </c>
      <c r="F109" s="1024">
        <f t="shared" si="10"/>
        <v>16513.8</v>
      </c>
      <c r="G109" s="1025">
        <f t="shared" si="10"/>
        <v>0</v>
      </c>
      <c r="H109" s="1029">
        <v>0</v>
      </c>
      <c r="I109" s="1030">
        <v>0</v>
      </c>
      <c r="J109" s="1030">
        <v>66055.199999999997</v>
      </c>
      <c r="K109" s="1030">
        <v>16513.8</v>
      </c>
      <c r="L109" s="1030">
        <v>0</v>
      </c>
      <c r="M109" s="1031">
        <v>82569</v>
      </c>
      <c r="N109" s="1032"/>
      <c r="O109" s="1033"/>
      <c r="P109" s="1033"/>
      <c r="Q109" s="1033"/>
      <c r="R109" s="1033"/>
      <c r="S109" s="1034"/>
      <c r="T109" s="1032"/>
      <c r="U109" s="1033"/>
      <c r="V109" s="1033"/>
      <c r="W109" s="1033"/>
      <c r="X109" s="1033"/>
      <c r="Y109" s="1034"/>
      <c r="Z109" s="1032"/>
      <c r="AA109" s="1033"/>
      <c r="AB109" s="1033"/>
      <c r="AC109" s="1033"/>
      <c r="AD109" s="1033"/>
      <c r="AE109" s="1034"/>
    </row>
    <row r="110" spans="1:31" s="844" customFormat="1">
      <c r="A110" s="1061" t="s">
        <v>139</v>
      </c>
      <c r="B110" s="1061" t="s">
        <v>140</v>
      </c>
      <c r="C110" s="1023">
        <f t="shared" si="7"/>
        <v>1016</v>
      </c>
      <c r="D110" s="1024">
        <f t="shared" si="8"/>
        <v>531277.82999999996</v>
      </c>
      <c r="E110" s="1024">
        <f t="shared" si="9"/>
        <v>134657.39000000001</v>
      </c>
      <c r="F110" s="1024">
        <f t="shared" si="10"/>
        <v>133111.66</v>
      </c>
      <c r="G110" s="1025">
        <f t="shared" si="10"/>
        <v>1545.73</v>
      </c>
      <c r="H110" s="1029">
        <v>0</v>
      </c>
      <c r="I110" s="1030">
        <v>0</v>
      </c>
      <c r="J110" s="1030">
        <v>530442.98</v>
      </c>
      <c r="K110" s="1030">
        <v>132610.74</v>
      </c>
      <c r="L110" s="1030">
        <v>0</v>
      </c>
      <c r="M110" s="1031">
        <v>663053.72</v>
      </c>
      <c r="N110" s="1029">
        <v>0</v>
      </c>
      <c r="O110" s="1030">
        <v>0</v>
      </c>
      <c r="P110" s="1030">
        <v>834.85</v>
      </c>
      <c r="Q110" s="1030">
        <v>500.92</v>
      </c>
      <c r="R110" s="1030">
        <v>1545.73</v>
      </c>
      <c r="S110" s="1031">
        <v>2881.5</v>
      </c>
      <c r="T110" s="1029">
        <v>1016</v>
      </c>
      <c r="U110" s="1030">
        <v>0</v>
      </c>
      <c r="V110" s="1030">
        <v>0</v>
      </c>
      <c r="W110" s="1030">
        <v>0</v>
      </c>
      <c r="X110" s="1030">
        <v>0</v>
      </c>
      <c r="Y110" s="1031">
        <v>1016</v>
      </c>
      <c r="Z110" s="1032"/>
      <c r="AA110" s="1033"/>
      <c r="AB110" s="1033"/>
      <c r="AC110" s="1033"/>
      <c r="AD110" s="1033"/>
      <c r="AE110" s="1034"/>
    </row>
    <row r="111" spans="1:31" s="844" customFormat="1">
      <c r="A111" s="1061" t="s">
        <v>143</v>
      </c>
      <c r="B111" s="1061" t="s">
        <v>144</v>
      </c>
      <c r="C111" s="1023">
        <f t="shared" si="7"/>
        <v>0</v>
      </c>
      <c r="D111" s="1024">
        <f t="shared" si="8"/>
        <v>20166.600000000002</v>
      </c>
      <c r="E111" s="1024">
        <f t="shared" si="9"/>
        <v>5265.72</v>
      </c>
      <c r="F111" s="1024">
        <f t="shared" si="10"/>
        <v>5265.72</v>
      </c>
      <c r="G111" s="1025">
        <f t="shared" si="10"/>
        <v>0</v>
      </c>
      <c r="H111" s="1029">
        <v>0</v>
      </c>
      <c r="I111" s="1030">
        <v>0</v>
      </c>
      <c r="J111" s="1030">
        <v>19526.400000000001</v>
      </c>
      <c r="K111" s="1030">
        <v>4881.6000000000004</v>
      </c>
      <c r="L111" s="1030">
        <v>0</v>
      </c>
      <c r="M111" s="1031">
        <v>24408</v>
      </c>
      <c r="N111" s="1029">
        <v>0</v>
      </c>
      <c r="O111" s="1030">
        <v>0</v>
      </c>
      <c r="P111" s="1030">
        <v>640.20000000000005</v>
      </c>
      <c r="Q111" s="1030">
        <v>384.12</v>
      </c>
      <c r="R111" s="1030">
        <v>0</v>
      </c>
      <c r="S111" s="1031">
        <v>1024.32</v>
      </c>
      <c r="T111" s="1032"/>
      <c r="U111" s="1033"/>
      <c r="V111" s="1033"/>
      <c r="W111" s="1033"/>
      <c r="X111" s="1033"/>
      <c r="Y111" s="1034"/>
      <c r="Z111" s="1032"/>
      <c r="AA111" s="1033"/>
      <c r="AB111" s="1033"/>
      <c r="AC111" s="1033"/>
      <c r="AD111" s="1033"/>
      <c r="AE111" s="1034"/>
    </row>
    <row r="112" spans="1:31" s="844" customFormat="1">
      <c r="A112" s="1061" t="s">
        <v>145</v>
      </c>
      <c r="B112" s="1061" t="s">
        <v>146</v>
      </c>
      <c r="C112" s="1023">
        <f t="shared" si="7"/>
        <v>2662</v>
      </c>
      <c r="D112" s="1024">
        <f t="shared" si="8"/>
        <v>9461.2999999999993</v>
      </c>
      <c r="E112" s="1024">
        <f t="shared" si="9"/>
        <v>3245.7</v>
      </c>
      <c r="F112" s="1024">
        <f t="shared" si="10"/>
        <v>2474.6999999999998</v>
      </c>
      <c r="G112" s="1025">
        <f t="shared" si="10"/>
        <v>771</v>
      </c>
      <c r="H112" s="1029">
        <v>0</v>
      </c>
      <c r="I112" s="1030">
        <v>0</v>
      </c>
      <c r="J112" s="1030">
        <v>9148.7999999999993</v>
      </c>
      <c r="K112" s="1030">
        <v>2287.1999999999998</v>
      </c>
      <c r="L112" s="1030">
        <v>771</v>
      </c>
      <c r="M112" s="1031">
        <v>12207</v>
      </c>
      <c r="N112" s="1029">
        <v>0</v>
      </c>
      <c r="O112" s="1030">
        <v>0</v>
      </c>
      <c r="P112" s="1030">
        <v>312.5</v>
      </c>
      <c r="Q112" s="1030">
        <v>187.5</v>
      </c>
      <c r="R112" s="1030">
        <v>0</v>
      </c>
      <c r="S112" s="1031">
        <v>500</v>
      </c>
      <c r="T112" s="1029">
        <v>2662</v>
      </c>
      <c r="U112" s="1030">
        <v>0</v>
      </c>
      <c r="V112" s="1030">
        <v>0</v>
      </c>
      <c r="W112" s="1030">
        <v>0</v>
      </c>
      <c r="X112" s="1030">
        <v>0</v>
      </c>
      <c r="Y112" s="1031">
        <v>2662</v>
      </c>
      <c r="Z112" s="1032"/>
      <c r="AA112" s="1033"/>
      <c r="AB112" s="1033"/>
      <c r="AC112" s="1033"/>
      <c r="AD112" s="1033"/>
      <c r="AE112" s="1034"/>
    </row>
    <row r="113" spans="1:31" s="844" customFormat="1">
      <c r="A113" s="1061" t="s">
        <v>159</v>
      </c>
      <c r="B113" s="1061" t="s">
        <v>160</v>
      </c>
      <c r="C113" s="1023">
        <f t="shared" si="7"/>
        <v>55550.21</v>
      </c>
      <c r="D113" s="1024">
        <f t="shared" si="8"/>
        <v>508245.51</v>
      </c>
      <c r="E113" s="1024">
        <f t="shared" si="9"/>
        <v>129329.54999999999</v>
      </c>
      <c r="F113" s="1024">
        <f t="shared" si="10"/>
        <v>129329.65</v>
      </c>
      <c r="G113" s="1025">
        <f t="shared" si="10"/>
        <v>-0.1</v>
      </c>
      <c r="H113" s="1029">
        <v>0</v>
      </c>
      <c r="I113" s="1030">
        <v>0</v>
      </c>
      <c r="J113" s="1030">
        <v>501764.8</v>
      </c>
      <c r="K113" s="1030">
        <v>125441.2</v>
      </c>
      <c r="L113" s="1030">
        <v>0</v>
      </c>
      <c r="M113" s="1031">
        <v>627206</v>
      </c>
      <c r="N113" s="1029">
        <v>0</v>
      </c>
      <c r="O113" s="1030">
        <v>0</v>
      </c>
      <c r="P113" s="1030">
        <v>6480.71</v>
      </c>
      <c r="Q113" s="1030">
        <v>3888.45</v>
      </c>
      <c r="R113" s="1030">
        <v>-0.1</v>
      </c>
      <c r="S113" s="1031">
        <v>10369.06</v>
      </c>
      <c r="T113" s="1029">
        <v>55550.21</v>
      </c>
      <c r="U113" s="1030">
        <v>0</v>
      </c>
      <c r="V113" s="1030">
        <v>0</v>
      </c>
      <c r="W113" s="1030">
        <v>0</v>
      </c>
      <c r="X113" s="1030">
        <v>0</v>
      </c>
      <c r="Y113" s="1031">
        <v>55550.21</v>
      </c>
      <c r="Z113" s="1032"/>
      <c r="AA113" s="1033"/>
      <c r="AB113" s="1033"/>
      <c r="AC113" s="1033"/>
      <c r="AD113" s="1033"/>
      <c r="AE113" s="1034"/>
    </row>
    <row r="114" spans="1:31" s="844" customFormat="1">
      <c r="A114" s="1061" t="s">
        <v>161</v>
      </c>
      <c r="B114" s="1061" t="s">
        <v>162</v>
      </c>
      <c r="C114" s="1023">
        <f t="shared" si="7"/>
        <v>3157</v>
      </c>
      <c r="D114" s="1024">
        <f t="shared" si="8"/>
        <v>1019442.41</v>
      </c>
      <c r="E114" s="1024">
        <f t="shared" si="9"/>
        <v>320434.54000000004</v>
      </c>
      <c r="F114" s="1024">
        <f t="shared" si="10"/>
        <v>320434.66000000003</v>
      </c>
      <c r="G114" s="1025">
        <f t="shared" si="10"/>
        <v>-0.12</v>
      </c>
      <c r="H114" s="1029">
        <v>0</v>
      </c>
      <c r="I114" s="1030">
        <v>0</v>
      </c>
      <c r="J114" s="1030">
        <v>832088</v>
      </c>
      <c r="K114" s="1030">
        <v>208022</v>
      </c>
      <c r="L114" s="1030">
        <v>0</v>
      </c>
      <c r="M114" s="1031">
        <v>1040110</v>
      </c>
      <c r="N114" s="1029">
        <v>0</v>
      </c>
      <c r="O114" s="1030">
        <v>0</v>
      </c>
      <c r="P114" s="1030">
        <v>187354.41</v>
      </c>
      <c r="Q114" s="1030">
        <v>112412.66</v>
      </c>
      <c r="R114" s="1030">
        <v>-0.12</v>
      </c>
      <c r="S114" s="1031">
        <v>299766.95</v>
      </c>
      <c r="T114" s="1029">
        <v>3157</v>
      </c>
      <c r="U114" s="1030">
        <v>0</v>
      </c>
      <c r="V114" s="1030">
        <v>0</v>
      </c>
      <c r="W114" s="1030">
        <v>0</v>
      </c>
      <c r="X114" s="1030">
        <v>0</v>
      </c>
      <c r="Y114" s="1031">
        <v>3157</v>
      </c>
      <c r="Z114" s="1032"/>
      <c r="AA114" s="1033"/>
      <c r="AB114" s="1033"/>
      <c r="AC114" s="1033"/>
      <c r="AD114" s="1033"/>
      <c r="AE114" s="1034"/>
    </row>
    <row r="115" spans="1:31" s="844" customFormat="1">
      <c r="A115" s="1061" t="s">
        <v>167</v>
      </c>
      <c r="B115" s="1061" t="s">
        <v>168</v>
      </c>
      <c r="C115" s="1023">
        <f t="shared" si="7"/>
        <v>0</v>
      </c>
      <c r="D115" s="1024">
        <f t="shared" si="8"/>
        <v>28081.34</v>
      </c>
      <c r="E115" s="1024">
        <f t="shared" si="9"/>
        <v>7020.34</v>
      </c>
      <c r="F115" s="1024">
        <f t="shared" si="10"/>
        <v>7020.34</v>
      </c>
      <c r="G115" s="1025">
        <f t="shared" si="10"/>
        <v>0</v>
      </c>
      <c r="H115" s="1029">
        <v>0</v>
      </c>
      <c r="I115" s="1030">
        <v>0</v>
      </c>
      <c r="J115" s="1030">
        <v>28081.34</v>
      </c>
      <c r="K115" s="1030">
        <v>7020.34</v>
      </c>
      <c r="L115" s="1030">
        <v>0</v>
      </c>
      <c r="M115" s="1031">
        <v>35101.68</v>
      </c>
      <c r="N115" s="1032"/>
      <c r="O115" s="1033"/>
      <c r="P115" s="1033"/>
      <c r="Q115" s="1033"/>
      <c r="R115" s="1033"/>
      <c r="S115" s="1034"/>
      <c r="T115" s="1032"/>
      <c r="U115" s="1033"/>
      <c r="V115" s="1033"/>
      <c r="W115" s="1033"/>
      <c r="X115" s="1033"/>
      <c r="Y115" s="1034"/>
      <c r="Z115" s="1032"/>
      <c r="AA115" s="1033"/>
      <c r="AB115" s="1033"/>
      <c r="AC115" s="1033"/>
      <c r="AD115" s="1033"/>
      <c r="AE115" s="1034"/>
    </row>
    <row r="116" spans="1:31" s="844" customFormat="1">
      <c r="A116" s="1061" t="s">
        <v>177</v>
      </c>
      <c r="B116" s="1061" t="s">
        <v>178</v>
      </c>
      <c r="C116" s="1023">
        <f t="shared" si="7"/>
        <v>6715.55</v>
      </c>
      <c r="D116" s="1024">
        <f t="shared" si="8"/>
        <v>506111.18</v>
      </c>
      <c r="E116" s="1024">
        <f t="shared" si="9"/>
        <v>127702.99</v>
      </c>
      <c r="F116" s="1024">
        <f t="shared" si="10"/>
        <v>127703.01000000001</v>
      </c>
      <c r="G116" s="1025">
        <f t="shared" si="10"/>
        <v>-0.02</v>
      </c>
      <c r="H116" s="1029">
        <v>0</v>
      </c>
      <c r="I116" s="1030">
        <v>0</v>
      </c>
      <c r="J116" s="1030">
        <v>505260.54</v>
      </c>
      <c r="K116" s="1030">
        <v>126315.13</v>
      </c>
      <c r="L116" s="1030">
        <v>0</v>
      </c>
      <c r="M116" s="1031">
        <v>631575.67000000004</v>
      </c>
      <c r="N116" s="1032"/>
      <c r="O116" s="1033"/>
      <c r="P116" s="1033"/>
      <c r="Q116" s="1033"/>
      <c r="R116" s="1033"/>
      <c r="S116" s="1034"/>
      <c r="T116" s="1032"/>
      <c r="U116" s="1033"/>
      <c r="V116" s="1033"/>
      <c r="W116" s="1033"/>
      <c r="X116" s="1033"/>
      <c r="Y116" s="1034"/>
      <c r="Z116" s="1029">
        <v>6715.55</v>
      </c>
      <c r="AA116" s="1030">
        <v>0</v>
      </c>
      <c r="AB116" s="1030">
        <v>850.64</v>
      </c>
      <c r="AC116" s="1030">
        <v>1387.88</v>
      </c>
      <c r="AD116" s="1030">
        <v>-0.02</v>
      </c>
      <c r="AE116" s="1031">
        <v>8954.0499999999993</v>
      </c>
    </row>
    <row r="117" spans="1:31" s="844" customFormat="1">
      <c r="A117" s="1061" t="s">
        <v>181</v>
      </c>
      <c r="B117" s="1061" t="s">
        <v>182</v>
      </c>
      <c r="C117" s="1023">
        <f t="shared" si="7"/>
        <v>0</v>
      </c>
      <c r="D117" s="1024">
        <f t="shared" si="8"/>
        <v>528919.53</v>
      </c>
      <c r="E117" s="1024">
        <f t="shared" si="9"/>
        <v>191334.81</v>
      </c>
      <c r="F117" s="1024">
        <f t="shared" si="10"/>
        <v>169834.84</v>
      </c>
      <c r="G117" s="1025">
        <f t="shared" si="10"/>
        <v>21499.97</v>
      </c>
      <c r="H117" s="1029">
        <v>0</v>
      </c>
      <c r="I117" s="1030">
        <v>0</v>
      </c>
      <c r="J117" s="1030">
        <v>421476.8</v>
      </c>
      <c r="K117" s="1030">
        <v>105369.2</v>
      </c>
      <c r="L117" s="1030">
        <v>0</v>
      </c>
      <c r="M117" s="1031">
        <v>526846</v>
      </c>
      <c r="N117" s="1029">
        <v>0</v>
      </c>
      <c r="O117" s="1030">
        <v>0</v>
      </c>
      <c r="P117" s="1030">
        <v>107442.73</v>
      </c>
      <c r="Q117" s="1030">
        <v>64465.64</v>
      </c>
      <c r="R117" s="1030">
        <v>21499.97</v>
      </c>
      <c r="S117" s="1031">
        <v>193408.34</v>
      </c>
      <c r="T117" s="1032"/>
      <c r="U117" s="1033"/>
      <c r="V117" s="1033"/>
      <c r="W117" s="1033"/>
      <c r="X117" s="1033"/>
      <c r="Y117" s="1034"/>
      <c r="Z117" s="1032"/>
      <c r="AA117" s="1033"/>
      <c r="AB117" s="1033"/>
      <c r="AC117" s="1033"/>
      <c r="AD117" s="1033"/>
      <c r="AE117" s="1034"/>
    </row>
    <row r="118" spans="1:31" s="844" customFormat="1">
      <c r="A118" s="1061" t="s">
        <v>193</v>
      </c>
      <c r="B118" s="1061" t="s">
        <v>194</v>
      </c>
      <c r="C118" s="1023">
        <f t="shared" si="7"/>
        <v>0</v>
      </c>
      <c r="D118" s="1024">
        <f t="shared" si="8"/>
        <v>78948.800000000003</v>
      </c>
      <c r="E118" s="1024">
        <f t="shared" si="9"/>
        <v>19737.2</v>
      </c>
      <c r="F118" s="1024">
        <f t="shared" si="10"/>
        <v>19737.2</v>
      </c>
      <c r="G118" s="1025">
        <f t="shared" si="10"/>
        <v>0</v>
      </c>
      <c r="H118" s="1029">
        <v>0</v>
      </c>
      <c r="I118" s="1030">
        <v>0</v>
      </c>
      <c r="J118" s="1030">
        <v>78948.800000000003</v>
      </c>
      <c r="K118" s="1030">
        <v>19737.2</v>
      </c>
      <c r="L118" s="1030">
        <v>0</v>
      </c>
      <c r="M118" s="1031">
        <v>98686</v>
      </c>
      <c r="N118" s="1032"/>
      <c r="O118" s="1033"/>
      <c r="P118" s="1033"/>
      <c r="Q118" s="1033"/>
      <c r="R118" s="1033"/>
      <c r="S118" s="1034"/>
      <c r="T118" s="1032"/>
      <c r="U118" s="1033"/>
      <c r="V118" s="1033"/>
      <c r="W118" s="1033"/>
      <c r="X118" s="1033"/>
      <c r="Y118" s="1034"/>
      <c r="Z118" s="1032"/>
      <c r="AA118" s="1033"/>
      <c r="AB118" s="1033"/>
      <c r="AC118" s="1033"/>
      <c r="AD118" s="1033"/>
      <c r="AE118" s="1034"/>
    </row>
    <row r="119" spans="1:31" s="844" customFormat="1">
      <c r="A119" s="1061" t="s">
        <v>197</v>
      </c>
      <c r="B119" s="1061" t="s">
        <v>391</v>
      </c>
      <c r="C119" s="1023">
        <f t="shared" si="7"/>
        <v>9758</v>
      </c>
      <c r="D119" s="1024">
        <f t="shared" si="8"/>
        <v>2803235.7399999998</v>
      </c>
      <c r="E119" s="1024">
        <f t="shared" si="9"/>
        <v>812999.52999999991</v>
      </c>
      <c r="F119" s="1024">
        <f t="shared" si="10"/>
        <v>813689.2</v>
      </c>
      <c r="G119" s="1025">
        <f t="shared" si="10"/>
        <v>-689.67</v>
      </c>
      <c r="H119" s="1029">
        <v>0</v>
      </c>
      <c r="I119" s="1030">
        <v>0</v>
      </c>
      <c r="J119" s="1030">
        <v>2480720.7999999998</v>
      </c>
      <c r="K119" s="1030">
        <v>620180.19999999995</v>
      </c>
      <c r="L119" s="1030">
        <v>0</v>
      </c>
      <c r="M119" s="1031">
        <v>3100901</v>
      </c>
      <c r="N119" s="1029">
        <v>0</v>
      </c>
      <c r="O119" s="1030">
        <v>0</v>
      </c>
      <c r="P119" s="1030">
        <v>322514.94</v>
      </c>
      <c r="Q119" s="1030">
        <v>193509</v>
      </c>
      <c r="R119" s="1030">
        <v>-689.67</v>
      </c>
      <c r="S119" s="1031">
        <v>515334.27</v>
      </c>
      <c r="T119" s="1029">
        <v>9758</v>
      </c>
      <c r="U119" s="1030">
        <v>0</v>
      </c>
      <c r="V119" s="1030">
        <v>0</v>
      </c>
      <c r="W119" s="1030">
        <v>0</v>
      </c>
      <c r="X119" s="1030">
        <v>0</v>
      </c>
      <c r="Y119" s="1031">
        <v>9758</v>
      </c>
      <c r="Z119" s="1032"/>
      <c r="AA119" s="1033"/>
      <c r="AB119" s="1033"/>
      <c r="AC119" s="1033"/>
      <c r="AD119" s="1033"/>
      <c r="AE119" s="1034"/>
    </row>
    <row r="120" spans="1:31" s="844" customFormat="1">
      <c r="A120" s="1061" t="s">
        <v>201</v>
      </c>
      <c r="B120" s="1061" t="s">
        <v>392</v>
      </c>
      <c r="C120" s="1023">
        <f t="shared" si="7"/>
        <v>54397</v>
      </c>
      <c r="D120" s="1024">
        <f t="shared" si="8"/>
        <v>810156.11</v>
      </c>
      <c r="E120" s="1024">
        <f t="shared" si="9"/>
        <v>203977.27000000002</v>
      </c>
      <c r="F120" s="1024">
        <f t="shared" si="10"/>
        <v>203977.32</v>
      </c>
      <c r="G120" s="1025">
        <f t="shared" si="10"/>
        <v>-0.05</v>
      </c>
      <c r="H120" s="1029">
        <v>0</v>
      </c>
      <c r="I120" s="1030">
        <v>0</v>
      </c>
      <c r="J120" s="1030">
        <v>806046.71</v>
      </c>
      <c r="K120" s="1030">
        <v>201511.67</v>
      </c>
      <c r="L120" s="1030">
        <v>0</v>
      </c>
      <c r="M120" s="1031">
        <v>1007558.38</v>
      </c>
      <c r="N120" s="1029">
        <v>0</v>
      </c>
      <c r="O120" s="1030">
        <v>0</v>
      </c>
      <c r="P120" s="1030">
        <v>4109.3999999999996</v>
      </c>
      <c r="Q120" s="1030">
        <v>2465.65</v>
      </c>
      <c r="R120" s="1030">
        <v>-0.05</v>
      </c>
      <c r="S120" s="1031">
        <v>6575</v>
      </c>
      <c r="T120" s="1029">
        <v>54397</v>
      </c>
      <c r="U120" s="1030">
        <v>0</v>
      </c>
      <c r="V120" s="1030">
        <v>0</v>
      </c>
      <c r="W120" s="1030">
        <v>0</v>
      </c>
      <c r="X120" s="1030">
        <v>0</v>
      </c>
      <c r="Y120" s="1031">
        <v>54397</v>
      </c>
      <c r="Z120" s="1032"/>
      <c r="AA120" s="1033"/>
      <c r="AB120" s="1033"/>
      <c r="AC120" s="1033"/>
      <c r="AD120" s="1033"/>
      <c r="AE120" s="1034"/>
    </row>
    <row r="121" spans="1:31" s="844" customFormat="1">
      <c r="A121" s="1061" t="s">
        <v>223</v>
      </c>
      <c r="B121" s="1061" t="s">
        <v>224</v>
      </c>
      <c r="C121" s="1023">
        <f t="shared" si="7"/>
        <v>0</v>
      </c>
      <c r="D121" s="1024">
        <f t="shared" si="8"/>
        <v>246902.76</v>
      </c>
      <c r="E121" s="1024">
        <f t="shared" si="9"/>
        <v>65136.800000000003</v>
      </c>
      <c r="F121" s="1024">
        <f t="shared" si="10"/>
        <v>63811.26</v>
      </c>
      <c r="G121" s="1025">
        <f t="shared" si="10"/>
        <v>1325.54</v>
      </c>
      <c r="H121" s="1029">
        <v>0</v>
      </c>
      <c r="I121" s="1030">
        <v>0</v>
      </c>
      <c r="J121" s="1030">
        <v>240944</v>
      </c>
      <c r="K121" s="1030">
        <v>60236</v>
      </c>
      <c r="L121" s="1030">
        <v>0</v>
      </c>
      <c r="M121" s="1031">
        <v>301180</v>
      </c>
      <c r="N121" s="1029">
        <v>0</v>
      </c>
      <c r="O121" s="1030">
        <v>0</v>
      </c>
      <c r="P121" s="1030">
        <v>5958.76</v>
      </c>
      <c r="Q121" s="1030">
        <v>3575.26</v>
      </c>
      <c r="R121" s="1030">
        <v>1325.54</v>
      </c>
      <c r="S121" s="1031">
        <v>10859.56</v>
      </c>
      <c r="T121" s="1032"/>
      <c r="U121" s="1033"/>
      <c r="V121" s="1033"/>
      <c r="W121" s="1033"/>
      <c r="X121" s="1033"/>
      <c r="Y121" s="1034"/>
      <c r="Z121" s="1032"/>
      <c r="AA121" s="1033"/>
      <c r="AB121" s="1033"/>
      <c r="AC121" s="1033"/>
      <c r="AD121" s="1033"/>
      <c r="AE121" s="1034"/>
    </row>
    <row r="122" spans="1:31" s="844" customFormat="1">
      <c r="A122" s="1061" t="s">
        <v>231</v>
      </c>
      <c r="B122" s="1061" t="s">
        <v>232</v>
      </c>
      <c r="C122" s="1023">
        <f t="shared" si="7"/>
        <v>2470</v>
      </c>
      <c r="D122" s="1024">
        <f t="shared" si="8"/>
        <v>765583.06</v>
      </c>
      <c r="E122" s="1024">
        <f t="shared" si="9"/>
        <v>229037.31</v>
      </c>
      <c r="F122" s="1024">
        <f t="shared" si="10"/>
        <v>223847.13</v>
      </c>
      <c r="G122" s="1025">
        <f t="shared" si="10"/>
        <v>5190.18</v>
      </c>
      <c r="H122" s="1029">
        <v>0</v>
      </c>
      <c r="I122" s="1030">
        <v>0</v>
      </c>
      <c r="J122" s="1030">
        <v>672864.9</v>
      </c>
      <c r="K122" s="1030">
        <v>168216.22</v>
      </c>
      <c r="L122" s="1030">
        <v>0</v>
      </c>
      <c r="M122" s="1031">
        <v>841081.12</v>
      </c>
      <c r="N122" s="1029">
        <v>0</v>
      </c>
      <c r="O122" s="1030">
        <v>0</v>
      </c>
      <c r="P122" s="1030">
        <v>92718.16</v>
      </c>
      <c r="Q122" s="1030">
        <v>55630.91</v>
      </c>
      <c r="R122" s="1030">
        <v>5190.18</v>
      </c>
      <c r="S122" s="1031">
        <v>153539.25</v>
      </c>
      <c r="T122" s="1029">
        <v>2470</v>
      </c>
      <c r="U122" s="1030">
        <v>0</v>
      </c>
      <c r="V122" s="1030">
        <v>0</v>
      </c>
      <c r="W122" s="1030">
        <v>0</v>
      </c>
      <c r="X122" s="1030">
        <v>0</v>
      </c>
      <c r="Y122" s="1031">
        <v>2470</v>
      </c>
      <c r="Z122" s="1032"/>
      <c r="AA122" s="1033"/>
      <c r="AB122" s="1033"/>
      <c r="AC122" s="1033"/>
      <c r="AD122" s="1033"/>
      <c r="AE122" s="1034"/>
    </row>
    <row r="123" spans="1:31" s="844" customFormat="1">
      <c r="A123" s="1060" t="s">
        <v>239</v>
      </c>
      <c r="B123" s="1060" t="s">
        <v>240</v>
      </c>
      <c r="C123" s="1023">
        <f t="shared" si="7"/>
        <v>0</v>
      </c>
      <c r="D123" s="1024">
        <f t="shared" si="8"/>
        <v>121824.06</v>
      </c>
      <c r="E123" s="1024">
        <f t="shared" si="9"/>
        <v>49470.81</v>
      </c>
      <c r="F123" s="1024">
        <f t="shared" si="10"/>
        <v>32141.63</v>
      </c>
      <c r="G123" s="1025">
        <f t="shared" si="10"/>
        <v>17329.18</v>
      </c>
      <c r="H123" s="1029">
        <v>0</v>
      </c>
      <c r="I123" s="1030">
        <v>0</v>
      </c>
      <c r="J123" s="1030">
        <v>117008</v>
      </c>
      <c r="K123" s="1030">
        <v>29252</v>
      </c>
      <c r="L123" s="1030">
        <v>0</v>
      </c>
      <c r="M123" s="1031">
        <v>146260</v>
      </c>
      <c r="N123" s="1029">
        <v>0</v>
      </c>
      <c r="O123" s="1030">
        <v>0</v>
      </c>
      <c r="P123" s="1030">
        <v>4816.0600000000004</v>
      </c>
      <c r="Q123" s="1030">
        <v>2889.63</v>
      </c>
      <c r="R123" s="1030">
        <v>17329.18</v>
      </c>
      <c r="S123" s="1031">
        <v>25034.87</v>
      </c>
      <c r="T123" s="1032"/>
      <c r="U123" s="1033"/>
      <c r="V123" s="1033"/>
      <c r="W123" s="1033"/>
      <c r="X123" s="1033"/>
      <c r="Y123" s="1034"/>
      <c r="Z123" s="1032"/>
      <c r="AA123" s="1033"/>
      <c r="AB123" s="1033"/>
      <c r="AC123" s="1033"/>
      <c r="AD123" s="1033"/>
      <c r="AE123" s="1034"/>
    </row>
    <row r="124" spans="1:31" s="844" customFormat="1">
      <c r="A124" s="1060" t="s">
        <v>241</v>
      </c>
      <c r="B124" s="1060" t="s">
        <v>242</v>
      </c>
      <c r="C124" s="1023">
        <f t="shared" si="7"/>
        <v>0</v>
      </c>
      <c r="D124" s="1024">
        <f t="shared" si="8"/>
        <v>146723.96</v>
      </c>
      <c r="E124" s="1024">
        <f t="shared" si="9"/>
        <v>40195.65</v>
      </c>
      <c r="F124" s="1024">
        <f t="shared" si="10"/>
        <v>37505.72</v>
      </c>
      <c r="G124" s="1025">
        <f t="shared" si="10"/>
        <v>2689.93</v>
      </c>
      <c r="H124" s="1029">
        <v>0</v>
      </c>
      <c r="I124" s="1030">
        <v>0</v>
      </c>
      <c r="J124" s="1030">
        <v>144367.57999999999</v>
      </c>
      <c r="K124" s="1030">
        <v>36091.9</v>
      </c>
      <c r="L124" s="1030">
        <v>0</v>
      </c>
      <c r="M124" s="1031">
        <v>180459.48</v>
      </c>
      <c r="N124" s="1029">
        <v>0</v>
      </c>
      <c r="O124" s="1030">
        <v>0</v>
      </c>
      <c r="P124" s="1030">
        <v>2356.38</v>
      </c>
      <c r="Q124" s="1030">
        <v>1413.82</v>
      </c>
      <c r="R124" s="1030">
        <v>2689.93</v>
      </c>
      <c r="S124" s="1031">
        <v>6460.13</v>
      </c>
      <c r="T124" s="1032"/>
      <c r="U124" s="1033"/>
      <c r="V124" s="1033"/>
      <c r="W124" s="1033"/>
      <c r="X124" s="1033"/>
      <c r="Y124" s="1034"/>
      <c r="Z124" s="1032"/>
      <c r="AA124" s="1033"/>
      <c r="AB124" s="1033"/>
      <c r="AC124" s="1033"/>
      <c r="AD124" s="1033"/>
      <c r="AE124" s="1034"/>
    </row>
    <row r="126" spans="1:31" s="538" customFormat="1">
      <c r="A126" s="538" t="s">
        <v>1026</v>
      </c>
      <c r="B126" s="836"/>
      <c r="C126" s="540"/>
    </row>
    <row r="127" spans="1:31" s="538" customFormat="1"/>
    <row r="128" spans="1:31" s="519" customFormat="1">
      <c r="A128" s="519" t="s">
        <v>250</v>
      </c>
    </row>
    <row r="129" spans="1:32">
      <c r="A129" s="536" t="s">
        <v>251</v>
      </c>
      <c r="B129" s="407" t="s">
        <v>252</v>
      </c>
      <c r="J129" s="654"/>
      <c r="K129" s="654"/>
      <c r="L129" s="654"/>
      <c r="M129" s="654"/>
      <c r="N129" s="654"/>
      <c r="O129" s="654"/>
      <c r="P129" s="654"/>
      <c r="Q129" s="654"/>
      <c r="R129" s="654"/>
      <c r="S129" s="654"/>
      <c r="T129" s="654"/>
      <c r="U129" s="654"/>
      <c r="V129" s="654"/>
      <c r="W129" s="654"/>
      <c r="X129" s="654"/>
      <c r="Y129" s="654"/>
      <c r="Z129" s="654"/>
      <c r="AA129" s="654"/>
      <c r="AB129" s="654"/>
      <c r="AC129" s="654"/>
      <c r="AD129" s="654"/>
      <c r="AE129" s="654"/>
      <c r="AF129" s="654"/>
    </row>
  </sheetData>
  <hyperlinks>
    <hyperlink ref="B129" r:id="rId1"/>
  </hyperlinks>
  <pageMargins left="0.7" right="0.7" top="0.75" bottom="0.75" header="0.3" footer="0.3"/>
  <legacyDrawing r:id="rId2"/>
</worksheet>
</file>

<file path=xl/worksheets/sheet33.xml><?xml version="1.0" encoding="utf-8"?>
<worksheet xmlns="http://schemas.openxmlformats.org/spreadsheetml/2006/main" xmlns:r="http://schemas.openxmlformats.org/officeDocument/2006/relationships">
  <dimension ref="A1:X131"/>
  <sheetViews>
    <sheetView workbookViewId="0">
      <selection activeCell="P11" sqref="P11"/>
    </sheetView>
  </sheetViews>
  <sheetFormatPr defaultRowHeight="15.75"/>
  <cols>
    <col min="1" max="1" width="6.125" style="184" bestFit="1" customWidth="1"/>
    <col min="2" max="2" width="26.375" style="185" customWidth="1"/>
    <col min="3" max="3" width="9.25" style="185" customWidth="1"/>
    <col min="4" max="7" width="15.25" style="1134" customWidth="1"/>
    <col min="8" max="8" width="13.625" style="1134" bestFit="1" customWidth="1"/>
    <col min="9" max="10" width="12.625" style="1134" bestFit="1" customWidth="1"/>
    <col min="11" max="11" width="13.625" style="1134" bestFit="1" customWidth="1"/>
    <col min="12" max="12" width="14.875" style="1134" bestFit="1" customWidth="1"/>
    <col min="13" max="13" width="12.625" style="1134" bestFit="1" customWidth="1"/>
    <col min="14" max="14" width="11.375" style="1134" bestFit="1" customWidth="1"/>
    <col min="15" max="15" width="12.625" style="1134" bestFit="1" customWidth="1"/>
    <col min="16" max="16" width="3.25" style="1134" customWidth="1"/>
    <col min="17" max="17" width="9" style="1137" customWidth="1"/>
    <col min="18" max="19" width="9" style="1137"/>
    <col min="20" max="20" width="11" style="1137" customWidth="1"/>
    <col min="21" max="21" width="3.875" customWidth="1"/>
    <col min="22" max="24" width="9" style="654"/>
  </cols>
  <sheetData>
    <row r="1" spans="1:24">
      <c r="A1" s="499" t="s">
        <v>1159</v>
      </c>
      <c r="B1" s="149"/>
      <c r="C1" s="149"/>
    </row>
    <row r="3" spans="1:24">
      <c r="A3" s="149"/>
      <c r="B3" s="149"/>
      <c r="C3" s="149"/>
    </row>
    <row r="4" spans="1:24">
      <c r="D4" s="1353" t="s">
        <v>1137</v>
      </c>
      <c r="E4" s="1353"/>
      <c r="F4" s="1353"/>
      <c r="G4" s="1353"/>
      <c r="H4" s="1354" t="s">
        <v>1138</v>
      </c>
      <c r="I4" s="1354"/>
      <c r="J4" s="1354"/>
      <c r="K4" s="1354"/>
      <c r="L4" s="1353" t="s">
        <v>1132</v>
      </c>
      <c r="M4" s="1353"/>
      <c r="N4" s="1353"/>
      <c r="O4" s="1353"/>
      <c r="P4" s="1140"/>
      <c r="Q4" s="1355" t="s">
        <v>1133</v>
      </c>
      <c r="R4" s="1355"/>
      <c r="S4" s="1355"/>
      <c r="T4" s="1145"/>
      <c r="V4" s="1355" t="s">
        <v>1141</v>
      </c>
      <c r="W4" s="1355"/>
      <c r="X4" s="1355"/>
    </row>
    <row r="5" spans="1:24" ht="26.25">
      <c r="A5" s="187" t="s">
        <v>4</v>
      </c>
      <c r="B5" s="188" t="s">
        <v>964</v>
      </c>
      <c r="C5" s="188" t="s">
        <v>253</v>
      </c>
      <c r="D5" s="1135" t="s">
        <v>393</v>
      </c>
      <c r="E5" s="1136" t="s">
        <v>394</v>
      </c>
      <c r="F5" s="1135" t="s">
        <v>395</v>
      </c>
      <c r="G5" s="1135" t="s">
        <v>328</v>
      </c>
      <c r="H5" s="1135" t="s">
        <v>393</v>
      </c>
      <c r="I5" s="1136" t="s">
        <v>394</v>
      </c>
      <c r="J5" s="1135" t="s">
        <v>395</v>
      </c>
      <c r="K5" s="1135" t="s">
        <v>328</v>
      </c>
      <c r="L5" s="1135" t="s">
        <v>393</v>
      </c>
      <c r="M5" s="1136" t="s">
        <v>394</v>
      </c>
      <c r="N5" s="1135" t="s">
        <v>395</v>
      </c>
      <c r="O5" s="1135" t="s">
        <v>328</v>
      </c>
      <c r="P5" s="1135"/>
      <c r="Q5" s="1138" t="s">
        <v>1134</v>
      </c>
      <c r="R5" s="1138" t="s">
        <v>1135</v>
      </c>
      <c r="S5" s="1138" t="s">
        <v>1136</v>
      </c>
      <c r="T5" s="1144" t="s">
        <v>1145</v>
      </c>
      <c r="V5" s="1138" t="s">
        <v>1142</v>
      </c>
      <c r="W5" s="1144" t="s">
        <v>1143</v>
      </c>
      <c r="X5" s="1138" t="s">
        <v>1144</v>
      </c>
    </row>
    <row r="6" spans="1:24">
      <c r="A6" s="1141" t="s">
        <v>8</v>
      </c>
      <c r="B6" s="1142" t="s">
        <v>9</v>
      </c>
      <c r="C6" s="1142"/>
      <c r="D6" s="1195">
        <f>'Eligibililty Staff LASER-2011'!C4+'Services Staff LASER 2011'!C4+'Other Exp. LASER 2011'!C4</f>
        <v>255149189.52999997</v>
      </c>
      <c r="E6" s="1195">
        <f>'Eligibililty Staff LASER-2011'!D4+'Services Staff LASER 2011'!D4+'Other Exp. LASER 2011'!D4</f>
        <v>103786026.39999999</v>
      </c>
      <c r="F6" s="1195">
        <f>'Eligibililty Staff LASER-2011'!E4+'Services Staff LASER 2011'!E4+'Other Exp. LASER 2011'!E4</f>
        <v>206998707.73000005</v>
      </c>
      <c r="G6" s="1195">
        <f>SUM('Benefits Spending Summary'!D6:F6)</f>
        <v>565933923.65999997</v>
      </c>
      <c r="H6" s="1195">
        <f>'Services for Clients LASER 2011'!C5</f>
        <v>110586774.87999997</v>
      </c>
      <c r="I6" s="1195">
        <f>'Services for Clients LASER 2011'!D5</f>
        <v>37280620.750000007</v>
      </c>
      <c r="J6" s="1195">
        <f>'Services for Clients LASER 2011'!E5</f>
        <v>17146696.979999993</v>
      </c>
      <c r="K6" s="1195">
        <f t="shared" ref="K6:K37" si="0">SUM(H6:J6)</f>
        <v>165014092.60999995</v>
      </c>
      <c r="L6" s="1195">
        <f>'Medicaid &amp; FAMIS - LASER 2011'!D4+'SNAP - LASER 2011'!D4+'SNAP - LASER 2011'!E4+'FC &amp; Adoptions LASER 2011'!C4+'LIHEAP LASER 2011'!D4+'TANF LASER 2011'!C4+'Other Benefits LASER 2011'!C4</f>
        <v>5098369977.3525238</v>
      </c>
      <c r="M6" s="1195">
        <f>'Medicaid &amp; FAMIS - LASER 2011'!E4+'SNAP - LASER 2011'!F4+'FC &amp; Adoptions LASER 2011'!D4+'TANF LASER 2011'!D4+'Other Benefits LASER 2011'!D4</f>
        <v>2795195895.7174754</v>
      </c>
      <c r="N6" s="1195">
        <f>'FC &amp; Adoptions LASER 2011'!E4+'TANF LASER 2011'!E4</f>
        <v>115274461.81999998</v>
      </c>
      <c r="O6" s="1195">
        <f t="shared" ref="O6:O37" si="1">SUM(L6:N6)</f>
        <v>8008840334.8899994</v>
      </c>
      <c r="P6" s="1143"/>
      <c r="Q6" s="1196">
        <f t="shared" ref="Q6:Q37" si="2">D6/G6</f>
        <v>0.45084625406426015</v>
      </c>
      <c r="R6" s="1196">
        <f t="shared" ref="R6:R37" si="3">E6/G6</f>
        <v>0.18338894712088727</v>
      </c>
      <c r="S6" s="1196">
        <f t="shared" ref="S6:S37" si="4">F6/G6</f>
        <v>0.36576479881485263</v>
      </c>
      <c r="T6" s="1196">
        <f>(D6+E6)/G6</f>
        <v>0.63423520118514742</v>
      </c>
      <c r="V6" s="1196">
        <f>F6/(F6+J6+N6)</f>
        <v>0.60986031797789364</v>
      </c>
      <c r="W6" s="1196">
        <f>J6/(F6+J6+N6)</f>
        <v>5.0517658719556602E-2</v>
      </c>
      <c r="X6" s="1196">
        <f>N6/(F6+J6+N6)</f>
        <v>0.3396220233025497</v>
      </c>
    </row>
    <row r="7" spans="1:24">
      <c r="A7" s="189" t="s">
        <v>10</v>
      </c>
      <c r="B7" s="190" t="s">
        <v>11</v>
      </c>
      <c r="C7" s="191" t="s">
        <v>272</v>
      </c>
      <c r="D7" s="1134">
        <f>'Eligibililty Staff LASER-2011'!C5+'Services Staff LASER 2011'!C5+'Other Exp. LASER 2011'!C5</f>
        <v>1577721.84</v>
      </c>
      <c r="E7" s="1134">
        <f>'Eligibililty Staff LASER-2011'!D5+'Services Staff LASER 2011'!D5+'Other Exp. LASER 2011'!D5</f>
        <v>846719.24</v>
      </c>
      <c r="F7" s="1134">
        <f>'Eligibililty Staff LASER-2011'!E5+'Services Staff LASER 2011'!E5+'Other Exp. LASER 2011'!E5</f>
        <v>507252.15</v>
      </c>
      <c r="G7" s="1134">
        <f>SUM('Benefits Spending Summary'!D7:F7)</f>
        <v>2931693.23</v>
      </c>
      <c r="H7" s="1134">
        <f>'Services for Clients LASER 2011'!C6</f>
        <v>231062.56</v>
      </c>
      <c r="I7" s="1134">
        <f>'Services for Clients LASER 2011'!D6</f>
        <v>25157.61</v>
      </c>
      <c r="J7" s="1134">
        <f>'Services for Clients LASER 2011'!E6</f>
        <v>19188.550000000007</v>
      </c>
      <c r="K7" s="1134">
        <f t="shared" si="0"/>
        <v>275408.71999999997</v>
      </c>
      <c r="L7" s="1134">
        <f>'Medicaid &amp; FAMIS - LASER 2011'!D5+'SNAP - LASER 2011'!D5+'SNAP - LASER 2011'!E5+'FC &amp; Adoptions LASER 2011'!C5+'LIHEAP LASER 2011'!D5+'TANF LASER 2011'!C5+'Other Benefits LASER 2011'!C5</f>
        <v>35798806.174330987</v>
      </c>
      <c r="M7" s="1134">
        <f>'Medicaid &amp; FAMIS - LASER 2011'!E5+'SNAP - LASER 2011'!F5+'FC &amp; Adoptions LASER 2011'!D5+'TANF LASER 2011'!D5+'Other Benefits LASER 2011'!D5</f>
        <v>17650739.165668998</v>
      </c>
      <c r="N7" s="1134">
        <f>'FC &amp; Adoptions LASER 2011'!E5+'TANF LASER 2011'!E5</f>
        <v>92034</v>
      </c>
      <c r="O7" s="1134">
        <f t="shared" si="1"/>
        <v>53541579.339999989</v>
      </c>
      <c r="Q7" s="1137">
        <f t="shared" si="2"/>
        <v>0.53816061784881908</v>
      </c>
      <c r="R7" s="1137">
        <f t="shared" si="3"/>
        <v>0.28881577080969006</v>
      </c>
      <c r="S7" s="1137">
        <f t="shared" si="4"/>
        <v>0.17302361134149088</v>
      </c>
      <c r="T7" s="1137">
        <f t="shared" ref="T7:T70" si="5">(D7+E7)/G7</f>
        <v>0.8269763886585092</v>
      </c>
      <c r="V7" s="1137">
        <f t="shared" ref="V7:V70" si="6">F7/(F7+J7+N7)</f>
        <v>0.82016637058880493</v>
      </c>
      <c r="W7" s="1137">
        <f t="shared" ref="W7:W70" si="7">J7/(F7+J7+N7)</f>
        <v>3.1025602179038211E-2</v>
      </c>
      <c r="X7" s="1137">
        <f t="shared" ref="X7:X70" si="8">N7/(F7+J7+N7)</f>
        <v>0.14880802723215678</v>
      </c>
    </row>
    <row r="8" spans="1:24">
      <c r="A8" s="189" t="s">
        <v>12</v>
      </c>
      <c r="B8" s="190" t="s">
        <v>13</v>
      </c>
      <c r="C8" s="191" t="s">
        <v>273</v>
      </c>
      <c r="D8" s="1134">
        <f>'Eligibililty Staff LASER-2011'!C6+'Services Staff LASER 2011'!C6+'Other Exp. LASER 2011'!C6</f>
        <v>2904318.55</v>
      </c>
      <c r="E8" s="1134">
        <f>'Eligibililty Staff LASER-2011'!D6+'Services Staff LASER 2011'!D6+'Other Exp. LASER 2011'!D6</f>
        <v>792346.96</v>
      </c>
      <c r="F8" s="1134">
        <f>'Eligibililty Staff LASER-2011'!E6+'Services Staff LASER 2011'!E6+'Other Exp. LASER 2011'!E6</f>
        <v>5141124.3600000003</v>
      </c>
      <c r="G8" s="1134">
        <f>SUM('Benefits Spending Summary'!D8:F8)</f>
        <v>8837789.870000001</v>
      </c>
      <c r="H8" s="1134">
        <f>'Services for Clients LASER 2011'!C7</f>
        <v>807724.75</v>
      </c>
      <c r="I8" s="1134">
        <f>'Services for Clients LASER 2011'!D7</f>
        <v>187222</v>
      </c>
      <c r="J8" s="1134">
        <f>'Services for Clients LASER 2011'!E7</f>
        <v>75563.5</v>
      </c>
      <c r="K8" s="1134">
        <f t="shared" si="0"/>
        <v>1070510.25</v>
      </c>
      <c r="L8" s="1134">
        <f>'Medicaid &amp; FAMIS - LASER 2011'!D6+'SNAP - LASER 2011'!D6+'SNAP - LASER 2011'!E6+'FC &amp; Adoptions LASER 2011'!C6+'LIHEAP LASER 2011'!D6+'TANF LASER 2011'!C6+'Other Benefits LASER 2011'!C6</f>
        <v>39028357.608305991</v>
      </c>
      <c r="M8" s="1134">
        <f>'Medicaid &amp; FAMIS - LASER 2011'!E6+'SNAP - LASER 2011'!F6+'FC &amp; Adoptions LASER 2011'!D6+'TANF LASER 2011'!D6+'Other Benefits LASER 2011'!D6</f>
        <v>24029363.401694</v>
      </c>
      <c r="N8" s="1134">
        <f>'FC &amp; Adoptions LASER 2011'!E6+'TANF LASER 2011'!E6</f>
        <v>2850334.7</v>
      </c>
      <c r="O8" s="1134">
        <f t="shared" si="1"/>
        <v>65908055.709999993</v>
      </c>
      <c r="Q8" s="1137">
        <f t="shared" si="2"/>
        <v>0.32862498347677954</v>
      </c>
      <c r="R8" s="1137">
        <f t="shared" si="3"/>
        <v>8.9654423974214706E-2</v>
      </c>
      <c r="S8" s="1137">
        <f t="shared" si="4"/>
        <v>0.58172059254900566</v>
      </c>
      <c r="T8" s="1137">
        <f t="shared" si="5"/>
        <v>0.41827940745099423</v>
      </c>
      <c r="V8" s="1137">
        <f t="shared" si="6"/>
        <v>0.63730134901221847</v>
      </c>
      <c r="W8" s="1137">
        <f t="shared" si="7"/>
        <v>9.3669627719499028E-3</v>
      </c>
      <c r="X8" s="1137">
        <f t="shared" si="8"/>
        <v>0.35333168821583166</v>
      </c>
    </row>
    <row r="9" spans="1:24">
      <c r="A9" s="189" t="s">
        <v>16</v>
      </c>
      <c r="B9" s="190" t="s">
        <v>364</v>
      </c>
      <c r="C9" s="191" t="s">
        <v>273</v>
      </c>
      <c r="D9" s="1134">
        <f>'Eligibililty Staff LASER-2011'!C7+'Services Staff LASER 2011'!C7+'Other Exp. LASER 2011'!C7</f>
        <v>967699.1</v>
      </c>
      <c r="E9" s="1134">
        <f>'Eligibililty Staff LASER-2011'!D7+'Services Staff LASER 2011'!D7+'Other Exp. LASER 2011'!D7</f>
        <v>456479.58999999997</v>
      </c>
      <c r="F9" s="1134">
        <f>'Eligibililty Staff LASER-2011'!E7+'Services Staff LASER 2011'!E7+'Other Exp. LASER 2011'!E7</f>
        <v>390871.63</v>
      </c>
      <c r="G9" s="1134">
        <f>SUM('Benefits Spending Summary'!D9:F9)</f>
        <v>1815050.3199999998</v>
      </c>
      <c r="H9" s="1134">
        <f>'Services for Clients LASER 2011'!C8</f>
        <v>285084.15000000002</v>
      </c>
      <c r="I9" s="1134">
        <f>'Services for Clients LASER 2011'!D8</f>
        <v>49724.24</v>
      </c>
      <c r="J9" s="1134">
        <f>'Services for Clients LASER 2011'!E8</f>
        <v>43907.45</v>
      </c>
      <c r="K9" s="1134">
        <f t="shared" si="0"/>
        <v>378715.84</v>
      </c>
      <c r="L9" s="1134">
        <f>'Medicaid &amp; FAMIS - LASER 2011'!D7+'SNAP - LASER 2011'!D7+'SNAP - LASER 2011'!E7+'FC &amp; Adoptions LASER 2011'!C7+'LIHEAP LASER 2011'!D7+'TANF LASER 2011'!C7+'Other Benefits LASER 2011'!C7</f>
        <v>19660459.74774</v>
      </c>
      <c r="M9" s="1134">
        <f>'Medicaid &amp; FAMIS - LASER 2011'!E7+'SNAP - LASER 2011'!F7+'FC &amp; Adoptions LASER 2011'!D7+'TANF LASER 2011'!D7+'Other Benefits LASER 2011'!D7</f>
        <v>11573255.05226</v>
      </c>
      <c r="N9" s="1134">
        <f>'FC &amp; Adoptions LASER 2011'!E7+'TANF LASER 2011'!E7</f>
        <v>427606.77999999997</v>
      </c>
      <c r="O9" s="1134">
        <f t="shared" si="1"/>
        <v>31661321.580000002</v>
      </c>
      <c r="Q9" s="1137">
        <f t="shared" si="2"/>
        <v>0.53315276680593626</v>
      </c>
      <c r="R9" s="1137">
        <f t="shared" si="3"/>
        <v>0.25149693370484627</v>
      </c>
      <c r="S9" s="1137">
        <f t="shared" si="4"/>
        <v>0.21535029948921749</v>
      </c>
      <c r="T9" s="1137">
        <f t="shared" si="5"/>
        <v>0.78464970051078253</v>
      </c>
      <c r="V9" s="1137">
        <f t="shared" si="6"/>
        <v>0.45324447921722649</v>
      </c>
      <c r="W9" s="1137">
        <f t="shared" si="7"/>
        <v>5.0913926162935927E-2</v>
      </c>
      <c r="X9" s="1137">
        <f t="shared" si="8"/>
        <v>0.49584159461983757</v>
      </c>
    </row>
    <row r="10" spans="1:24">
      <c r="A10" s="189" t="s">
        <v>18</v>
      </c>
      <c r="B10" s="190" t="s">
        <v>19</v>
      </c>
      <c r="C10" s="191" t="s">
        <v>275</v>
      </c>
      <c r="D10" s="1134">
        <f>'Eligibililty Staff LASER-2011'!C8+'Services Staff LASER 2011'!C8+'Other Exp. LASER 2011'!C8</f>
        <v>484550.30000000005</v>
      </c>
      <c r="E10" s="1134">
        <f>'Eligibililty Staff LASER-2011'!D8+'Services Staff LASER 2011'!D8+'Other Exp. LASER 2011'!D8</f>
        <v>205122.92</v>
      </c>
      <c r="F10" s="1134">
        <f>'Eligibililty Staff LASER-2011'!E8+'Services Staff LASER 2011'!E8+'Other Exp. LASER 2011'!E8</f>
        <v>245190.53</v>
      </c>
      <c r="G10" s="1134">
        <f>SUM('Benefits Spending Summary'!D10:F10)</f>
        <v>934863.75000000012</v>
      </c>
      <c r="H10" s="1134">
        <f>'Services for Clients LASER 2011'!C9</f>
        <v>116639.89</v>
      </c>
      <c r="I10" s="1134">
        <f>'Services for Clients LASER 2011'!D9</f>
        <v>53988.76</v>
      </c>
      <c r="J10" s="1134">
        <f>'Services for Clients LASER 2011'!E9</f>
        <v>14676.669999999998</v>
      </c>
      <c r="K10" s="1134">
        <f t="shared" si="0"/>
        <v>185305.32</v>
      </c>
      <c r="L10" s="1134">
        <f>'Medicaid &amp; FAMIS - LASER 2011'!D8+'SNAP - LASER 2011'!D8+'SNAP - LASER 2011'!E8+'FC &amp; Adoptions LASER 2011'!C8+'LIHEAP LASER 2011'!D8+'TANF LASER 2011'!C8+'Other Benefits LASER 2011'!C8</f>
        <v>11187699.790886</v>
      </c>
      <c r="M10" s="1134">
        <f>'Medicaid &amp; FAMIS - LASER 2011'!E8+'SNAP - LASER 2011'!F8+'FC &amp; Adoptions LASER 2011'!D8+'TANF LASER 2011'!D8+'Other Benefits LASER 2011'!D8</f>
        <v>5718686.7891139993</v>
      </c>
      <c r="N10" s="1134">
        <f>'FC &amp; Adoptions LASER 2011'!E8+'TANF LASER 2011'!E8</f>
        <v>142533.97</v>
      </c>
      <c r="O10" s="1134">
        <f t="shared" si="1"/>
        <v>17048920.549999997</v>
      </c>
      <c r="Q10" s="1137">
        <f t="shared" si="2"/>
        <v>0.51831114427102343</v>
      </c>
      <c r="R10" s="1137">
        <f t="shared" si="3"/>
        <v>0.21941477568255266</v>
      </c>
      <c r="S10" s="1137">
        <f t="shared" si="4"/>
        <v>0.26227408004642383</v>
      </c>
      <c r="T10" s="1137">
        <f t="shared" si="5"/>
        <v>0.73772591995357617</v>
      </c>
      <c r="V10" s="1137">
        <f t="shared" si="6"/>
        <v>0.6093186309572608</v>
      </c>
      <c r="W10" s="1137">
        <f t="shared" si="7"/>
        <v>3.6472731925704882E-2</v>
      </c>
      <c r="X10" s="1137">
        <f t="shared" si="8"/>
        <v>0.35420863711703421</v>
      </c>
    </row>
    <row r="11" spans="1:24">
      <c r="A11" s="189" t="s">
        <v>20</v>
      </c>
      <c r="B11" s="190" t="s">
        <v>21</v>
      </c>
      <c r="C11" s="191" t="s">
        <v>273</v>
      </c>
      <c r="D11" s="1134">
        <f>'Eligibililty Staff LASER-2011'!C9+'Services Staff LASER 2011'!C9+'Other Exp. LASER 2011'!C9</f>
        <v>875516.55</v>
      </c>
      <c r="E11" s="1134">
        <f>'Eligibililty Staff LASER-2011'!D9+'Services Staff LASER 2011'!D9+'Other Exp. LASER 2011'!D9</f>
        <v>374586.74</v>
      </c>
      <c r="F11" s="1134">
        <f>'Eligibililty Staff LASER-2011'!E9+'Services Staff LASER 2011'!E9+'Other Exp. LASER 2011'!E9</f>
        <v>444187.02</v>
      </c>
      <c r="G11" s="1134">
        <f>SUM('Benefits Spending Summary'!D11:F11)</f>
        <v>1694290.31</v>
      </c>
      <c r="H11" s="1134">
        <f>'Services for Clients LASER 2011'!C10</f>
        <v>370741.72000000003</v>
      </c>
      <c r="I11" s="1134">
        <f>'Services for Clients LASER 2011'!D10</f>
        <v>75793.329999999987</v>
      </c>
      <c r="J11" s="1134">
        <f>'Services for Clients LASER 2011'!E10</f>
        <v>27309.079999999994</v>
      </c>
      <c r="K11" s="1134">
        <f t="shared" si="0"/>
        <v>473844.13000000006</v>
      </c>
      <c r="L11" s="1134">
        <f>'Medicaid &amp; FAMIS - LASER 2011'!D9+'SNAP - LASER 2011'!D9+'SNAP - LASER 2011'!E9+'FC &amp; Adoptions LASER 2011'!C9+'LIHEAP LASER 2011'!D9+'TANF LASER 2011'!C9+'Other Benefits LASER 2011'!C9</f>
        <v>26960309.566441998</v>
      </c>
      <c r="M11" s="1134">
        <f>'Medicaid &amp; FAMIS - LASER 2011'!E9+'SNAP - LASER 2011'!F9+'FC &amp; Adoptions LASER 2011'!D9+'TANF LASER 2011'!D9+'Other Benefits LASER 2011'!D9</f>
        <v>15136608.863558002</v>
      </c>
      <c r="N11" s="1134">
        <f>'FC &amp; Adoptions LASER 2011'!E9+'TANF LASER 2011'!E9</f>
        <v>391534.05</v>
      </c>
      <c r="O11" s="1134">
        <f t="shared" si="1"/>
        <v>42488452.479999997</v>
      </c>
      <c r="Q11" s="1137">
        <f t="shared" si="2"/>
        <v>0.51674529732746921</v>
      </c>
      <c r="R11" s="1137">
        <f t="shared" si="3"/>
        <v>0.22108769541389869</v>
      </c>
      <c r="S11" s="1137">
        <f t="shared" si="4"/>
        <v>0.26216700725863207</v>
      </c>
      <c r="T11" s="1137">
        <f t="shared" si="5"/>
        <v>0.73783299274136793</v>
      </c>
      <c r="V11" s="1137">
        <f t="shared" si="6"/>
        <v>0.51468308494204984</v>
      </c>
      <c r="W11" s="1137">
        <f t="shared" si="7"/>
        <v>3.164325139741641E-2</v>
      </c>
      <c r="X11" s="1137">
        <f t="shared" si="8"/>
        <v>0.45367366366053374</v>
      </c>
    </row>
    <row r="12" spans="1:24">
      <c r="A12" s="189" t="s">
        <v>22</v>
      </c>
      <c r="B12" s="190" t="s">
        <v>23</v>
      </c>
      <c r="C12" s="191" t="s">
        <v>273</v>
      </c>
      <c r="D12" s="1134">
        <f>'Eligibililty Staff LASER-2011'!C10+'Services Staff LASER 2011'!C10+'Other Exp. LASER 2011'!C10</f>
        <v>575316.1</v>
      </c>
      <c r="E12" s="1134">
        <f>'Eligibililty Staff LASER-2011'!D10+'Services Staff LASER 2011'!D10+'Other Exp. LASER 2011'!D10</f>
        <v>264528.3</v>
      </c>
      <c r="F12" s="1134">
        <f>'Eligibililty Staff LASER-2011'!E10+'Services Staff LASER 2011'!E10+'Other Exp. LASER 2011'!E10</f>
        <v>272545.54000000004</v>
      </c>
      <c r="G12" s="1134">
        <f>SUM('Benefits Spending Summary'!D12:F12)</f>
        <v>1112389.94</v>
      </c>
      <c r="H12" s="1134">
        <f>'Services for Clients LASER 2011'!C11</f>
        <v>137035.61000000002</v>
      </c>
      <c r="I12" s="1134">
        <f>'Services for Clients LASER 2011'!D11</f>
        <v>45569.770000000011</v>
      </c>
      <c r="J12" s="1134">
        <f>'Services for Clients LASER 2011'!E11</f>
        <v>15694.019999999999</v>
      </c>
      <c r="K12" s="1134">
        <f t="shared" si="0"/>
        <v>198299.40000000002</v>
      </c>
      <c r="L12" s="1134">
        <f>'Medicaid &amp; FAMIS - LASER 2011'!D10+'SNAP - LASER 2011'!D10+'SNAP - LASER 2011'!E10+'FC &amp; Adoptions LASER 2011'!C10+'LIHEAP LASER 2011'!D10+'TANF LASER 2011'!C10+'Other Benefits LASER 2011'!C10</f>
        <v>14894768.643469999</v>
      </c>
      <c r="M12" s="1134">
        <f>'Medicaid &amp; FAMIS - LASER 2011'!E10+'SNAP - LASER 2011'!F10+'FC &amp; Adoptions LASER 2011'!D10+'TANF LASER 2011'!D10+'Other Benefits LASER 2011'!D10</f>
        <v>8140009.5365299992</v>
      </c>
      <c r="N12" s="1134">
        <f>'FC &amp; Adoptions LASER 2011'!E10+'TANF LASER 2011'!E10</f>
        <v>199442.71</v>
      </c>
      <c r="O12" s="1134">
        <f t="shared" si="1"/>
        <v>23234220.890000001</v>
      </c>
      <c r="Q12" s="1137">
        <f t="shared" si="2"/>
        <v>0.51718923312089649</v>
      </c>
      <c r="R12" s="1137">
        <f t="shared" si="3"/>
        <v>0.23780177300057209</v>
      </c>
      <c r="S12" s="1137">
        <f t="shared" si="4"/>
        <v>0.24500899387853153</v>
      </c>
      <c r="T12" s="1137">
        <f t="shared" si="5"/>
        <v>0.75499100612146852</v>
      </c>
      <c r="V12" s="1137">
        <f t="shared" si="6"/>
        <v>0.5588588242094592</v>
      </c>
      <c r="W12" s="1137">
        <f t="shared" si="7"/>
        <v>3.2180829538871691E-2</v>
      </c>
      <c r="X12" s="1137">
        <f t="shared" si="8"/>
        <v>0.4089603462516691</v>
      </c>
    </row>
    <row r="13" spans="1:24">
      <c r="A13" s="189" t="s">
        <v>24</v>
      </c>
      <c r="B13" s="190" t="s">
        <v>25</v>
      </c>
      <c r="C13" s="191" t="s">
        <v>276</v>
      </c>
      <c r="D13" s="1134">
        <f>'Eligibililty Staff LASER-2011'!C11+'Services Staff LASER 2011'!C11+'Other Exp. LASER 2011'!C11</f>
        <v>6678223.8599999994</v>
      </c>
      <c r="E13" s="1134">
        <f>'Eligibililty Staff LASER-2011'!D11+'Services Staff LASER 2011'!D11+'Other Exp. LASER 2011'!D11</f>
        <v>2097288.25</v>
      </c>
      <c r="F13" s="1134">
        <f>'Eligibililty Staff LASER-2011'!E11+'Services Staff LASER 2011'!E11+'Other Exp. LASER 2011'!E11</f>
        <v>7300329.3300000001</v>
      </c>
      <c r="G13" s="1134">
        <f>SUM('Benefits Spending Summary'!D13:F13)</f>
        <v>16075841.439999999</v>
      </c>
      <c r="H13" s="1134">
        <f>'Services for Clients LASER 2011'!C12</f>
        <v>2923042.08</v>
      </c>
      <c r="I13" s="1134">
        <f>'Services for Clients LASER 2011'!D12</f>
        <v>554510.08000000007</v>
      </c>
      <c r="J13" s="1134">
        <f>'Services for Clients LASER 2011'!E12</f>
        <v>639735.37000000011</v>
      </c>
      <c r="K13" s="1134">
        <f t="shared" si="0"/>
        <v>4117287.5300000003</v>
      </c>
      <c r="L13" s="1134">
        <f>'Medicaid &amp; FAMIS - LASER 2011'!D11+'SNAP - LASER 2011'!D11+'SNAP - LASER 2011'!E11+'FC &amp; Adoptions LASER 2011'!C11+'LIHEAP LASER 2011'!D11+'TANF LASER 2011'!C11+'Other Benefits LASER 2011'!C11</f>
        <v>56729651.869279996</v>
      </c>
      <c r="M13" s="1134">
        <f>'Medicaid &amp; FAMIS - LASER 2011'!E11+'SNAP - LASER 2011'!F11+'FC &amp; Adoptions LASER 2011'!D11+'TANF LASER 2011'!D11+'Other Benefits LASER 2011'!D11</f>
        <v>37834708.660719998</v>
      </c>
      <c r="N13" s="1134">
        <f>'FC &amp; Adoptions LASER 2011'!E11+'TANF LASER 2011'!E11</f>
        <v>4364901.0100000007</v>
      </c>
      <c r="O13" s="1134">
        <f t="shared" si="1"/>
        <v>98929261.540000007</v>
      </c>
      <c r="Q13" s="1137">
        <f t="shared" si="2"/>
        <v>0.41541986370823519</v>
      </c>
      <c r="R13" s="1137">
        <f t="shared" si="3"/>
        <v>0.13046211346558292</v>
      </c>
      <c r="S13" s="1137">
        <f t="shared" si="4"/>
        <v>0.45411802282618186</v>
      </c>
      <c r="T13" s="1137">
        <f t="shared" si="5"/>
        <v>0.54588197717381814</v>
      </c>
      <c r="V13" s="1137">
        <f t="shared" si="6"/>
        <v>0.5932831916847332</v>
      </c>
      <c r="W13" s="1137">
        <f t="shared" si="7"/>
        <v>5.1990016476039416E-2</v>
      </c>
      <c r="X13" s="1137">
        <f t="shared" si="8"/>
        <v>0.35472679183922734</v>
      </c>
    </row>
    <row r="14" spans="1:24">
      <c r="A14" s="189" t="s">
        <v>26</v>
      </c>
      <c r="B14" s="190" t="s">
        <v>365</v>
      </c>
      <c r="C14" s="191" t="s">
        <v>273</v>
      </c>
      <c r="D14" s="1134">
        <f>'Eligibililty Staff LASER-2011'!C12+'Services Staff LASER 2011'!C12+'Other Exp. LASER 2011'!C12</f>
        <v>3543164.22</v>
      </c>
      <c r="E14" s="1134">
        <f>'Eligibililty Staff LASER-2011'!D12+'Services Staff LASER 2011'!D12+'Other Exp. LASER 2011'!D12</f>
        <v>1437343.8599999999</v>
      </c>
      <c r="F14" s="1134">
        <f>'Eligibililty Staff LASER-2011'!E12+'Services Staff LASER 2011'!E12+'Other Exp. LASER 2011'!E12</f>
        <v>2176194.2199999997</v>
      </c>
      <c r="G14" s="1134">
        <f>SUM('Benefits Spending Summary'!D14:F14)</f>
        <v>7156702.2999999998</v>
      </c>
      <c r="H14" s="1134">
        <f>'Services for Clients LASER 2011'!C13</f>
        <v>1223783.6499999999</v>
      </c>
      <c r="I14" s="1134">
        <f>'Services for Clients LASER 2011'!D13</f>
        <v>469347.71000000008</v>
      </c>
      <c r="J14" s="1134">
        <f>'Services for Clients LASER 2011'!E13</f>
        <v>134157.28</v>
      </c>
      <c r="K14" s="1134">
        <f t="shared" si="0"/>
        <v>1827288.64</v>
      </c>
      <c r="L14" s="1134">
        <f>'Medicaid &amp; FAMIS - LASER 2011'!D12+'SNAP - LASER 2011'!D12+'SNAP - LASER 2011'!E12+'FC &amp; Adoptions LASER 2011'!C12+'LIHEAP LASER 2011'!D12+'TANF LASER 2011'!C12+'Other Benefits LASER 2011'!C12</f>
        <v>83390851.632598996</v>
      </c>
      <c r="M14" s="1134">
        <f>'Medicaid &amp; FAMIS - LASER 2011'!E12+'SNAP - LASER 2011'!F12+'FC &amp; Adoptions LASER 2011'!D12+'TANF LASER 2011'!D12+'Other Benefits LASER 2011'!D12</f>
        <v>46748521.367400989</v>
      </c>
      <c r="N14" s="1134">
        <f>'FC &amp; Adoptions LASER 2011'!E12+'TANF LASER 2011'!E12</f>
        <v>1874182.39</v>
      </c>
      <c r="O14" s="1134">
        <f t="shared" si="1"/>
        <v>132013555.38999999</v>
      </c>
      <c r="Q14" s="1137">
        <f t="shared" si="2"/>
        <v>0.49508335983180413</v>
      </c>
      <c r="R14" s="1137">
        <f t="shared" si="3"/>
        <v>0.20083885003851562</v>
      </c>
      <c r="S14" s="1137">
        <f t="shared" si="4"/>
        <v>0.30407779012968023</v>
      </c>
      <c r="T14" s="1137">
        <f t="shared" si="5"/>
        <v>0.69592220987031972</v>
      </c>
      <c r="V14" s="1137">
        <f t="shared" si="6"/>
        <v>0.52005654087318187</v>
      </c>
      <c r="W14" s="1137">
        <f t="shared" si="7"/>
        <v>3.2060268485482386E-2</v>
      </c>
      <c r="X14" s="1137">
        <f t="shared" si="8"/>
        <v>0.44788319064133569</v>
      </c>
    </row>
    <row r="15" spans="1:24">
      <c r="A15" s="189" t="s">
        <v>27</v>
      </c>
      <c r="B15" s="190" t="s">
        <v>28</v>
      </c>
      <c r="C15" s="191" t="s">
        <v>273</v>
      </c>
      <c r="D15" s="1134">
        <f>'Eligibililty Staff LASER-2011'!C13+'Services Staff LASER 2011'!C13+'Other Exp. LASER 2011'!C13</f>
        <v>213170.43</v>
      </c>
      <c r="E15" s="1134">
        <f>'Eligibililty Staff LASER-2011'!D13+'Services Staff LASER 2011'!D13+'Other Exp. LASER 2011'!D13</f>
        <v>102183.56</v>
      </c>
      <c r="F15" s="1134">
        <f>'Eligibililty Staff LASER-2011'!E13+'Services Staff LASER 2011'!E13+'Other Exp. LASER 2011'!E13</f>
        <v>136456.56</v>
      </c>
      <c r="G15" s="1134">
        <f>SUM('Benefits Spending Summary'!D15:F15)</f>
        <v>451810.55</v>
      </c>
      <c r="H15" s="1134">
        <f>'Services for Clients LASER 2011'!C14</f>
        <v>14237.639999999998</v>
      </c>
      <c r="I15" s="1134">
        <f>'Services for Clients LASER 2011'!D14</f>
        <v>1657.39</v>
      </c>
      <c r="J15" s="1134">
        <f>'Services for Clients LASER 2011'!E14</f>
        <v>2760.6099999999997</v>
      </c>
      <c r="K15" s="1134">
        <f t="shared" si="0"/>
        <v>18655.639999999996</v>
      </c>
      <c r="L15" s="1134">
        <f>'Medicaid &amp; FAMIS - LASER 2011'!D13+'SNAP - LASER 2011'!D13+'SNAP - LASER 2011'!E13+'FC &amp; Adoptions LASER 2011'!C13+'LIHEAP LASER 2011'!D13+'TANF LASER 2011'!C13+'Other Benefits LASER 2011'!C13</f>
        <v>2497084.3085079999</v>
      </c>
      <c r="M15" s="1134">
        <f>'Medicaid &amp; FAMIS - LASER 2011'!E13+'SNAP - LASER 2011'!F13+'FC &amp; Adoptions LASER 2011'!D13+'TANF LASER 2011'!D13+'Other Benefits LASER 2011'!D13</f>
        <v>1406696.2514919997</v>
      </c>
      <c r="N15" s="1134">
        <f>'FC &amp; Adoptions LASER 2011'!E13+'TANF LASER 2011'!E13</f>
        <v>38868.36</v>
      </c>
      <c r="O15" s="1134">
        <f t="shared" si="1"/>
        <v>3942648.9199999995</v>
      </c>
      <c r="Q15" s="1137">
        <f t="shared" si="2"/>
        <v>0.47181375025439315</v>
      </c>
      <c r="R15" s="1137">
        <f t="shared" si="3"/>
        <v>0.22616461700595525</v>
      </c>
      <c r="S15" s="1137">
        <f t="shared" si="4"/>
        <v>0.3020216327396516</v>
      </c>
      <c r="T15" s="1137">
        <f t="shared" si="5"/>
        <v>0.69797836726034834</v>
      </c>
      <c r="V15" s="1137">
        <f t="shared" si="6"/>
        <v>0.76624170419685433</v>
      </c>
      <c r="W15" s="1137">
        <f t="shared" si="7"/>
        <v>1.5501596339691384E-2</v>
      </c>
      <c r="X15" s="1137">
        <f t="shared" si="8"/>
        <v>0.2182566994634545</v>
      </c>
    </row>
    <row r="16" spans="1:24">
      <c r="A16" s="189" t="s">
        <v>29</v>
      </c>
      <c r="B16" s="190" t="s">
        <v>886</v>
      </c>
      <c r="C16" s="191" t="s">
        <v>273</v>
      </c>
      <c r="D16" s="1134">
        <f>'Eligibililty Staff LASER-2011'!C14+'Services Staff LASER 2011'!C14+'Other Exp. LASER 2011'!C14</f>
        <v>1756531.5999999999</v>
      </c>
      <c r="E16" s="1134">
        <f>'Eligibililty Staff LASER-2011'!D14+'Services Staff LASER 2011'!D14+'Other Exp. LASER 2011'!D14</f>
        <v>615043.32999999996</v>
      </c>
      <c r="F16" s="1134">
        <f>'Eligibililty Staff LASER-2011'!E14+'Services Staff LASER 2011'!E14+'Other Exp. LASER 2011'!E14</f>
        <v>2122788.9499999997</v>
      </c>
      <c r="G16" s="1134">
        <f>SUM('Benefits Spending Summary'!D16:F16)</f>
        <v>4494363.879999999</v>
      </c>
      <c r="H16" s="1134">
        <f>'Services for Clients LASER 2011'!C15</f>
        <v>514506.00000000006</v>
      </c>
      <c r="I16" s="1134">
        <f>'Services for Clients LASER 2011'!D15</f>
        <v>120690.92999999998</v>
      </c>
      <c r="J16" s="1134">
        <f>'Services for Clients LASER 2011'!E15</f>
        <v>48215.790000000008</v>
      </c>
      <c r="K16" s="1134">
        <f t="shared" si="0"/>
        <v>683412.72000000009</v>
      </c>
      <c r="L16" s="1134">
        <f>'Medicaid &amp; FAMIS - LASER 2011'!D14+'SNAP - LASER 2011'!D14+'SNAP - LASER 2011'!E14+'FC &amp; Adoptions LASER 2011'!C14+'LIHEAP LASER 2011'!D14+'TANF LASER 2011'!C14+'Other Benefits LASER 2011'!C14</f>
        <v>41847288.700430997</v>
      </c>
      <c r="M16" s="1134">
        <f>'Medicaid &amp; FAMIS - LASER 2011'!E14+'SNAP - LASER 2011'!F14+'FC &amp; Adoptions LASER 2011'!D14+'TANF LASER 2011'!D14+'Other Benefits LASER 2011'!D14</f>
        <v>23784878.409568999</v>
      </c>
      <c r="N16" s="1134">
        <f>'FC &amp; Adoptions LASER 2011'!E14+'TANF LASER 2011'!E14</f>
        <v>610191.48</v>
      </c>
      <c r="O16" s="1134">
        <f t="shared" si="1"/>
        <v>66242358.589999996</v>
      </c>
      <c r="Q16" s="1137">
        <f t="shared" si="2"/>
        <v>0.39082985866289055</v>
      </c>
      <c r="R16" s="1137">
        <f t="shared" si="3"/>
        <v>0.13684769333808372</v>
      </c>
      <c r="S16" s="1137">
        <f t="shared" si="4"/>
        <v>0.4723224479990259</v>
      </c>
      <c r="T16" s="1137">
        <f t="shared" si="5"/>
        <v>0.52767755200097421</v>
      </c>
      <c r="V16" s="1137">
        <f t="shared" si="6"/>
        <v>0.76326471851741551</v>
      </c>
      <c r="W16" s="1137">
        <f t="shared" si="7"/>
        <v>1.7336349608586772E-2</v>
      </c>
      <c r="X16" s="1137">
        <f t="shared" si="8"/>
        <v>0.21939893187399775</v>
      </c>
    </row>
    <row r="17" spans="1:24">
      <c r="A17" s="189" t="s">
        <v>31</v>
      </c>
      <c r="B17" s="190" t="s">
        <v>32</v>
      </c>
      <c r="C17" s="191" t="s">
        <v>278</v>
      </c>
      <c r="D17" s="1134">
        <f>'Eligibililty Staff LASER-2011'!C15+'Services Staff LASER 2011'!C15+'Other Exp. LASER 2011'!C15</f>
        <v>342698.03999999992</v>
      </c>
      <c r="E17" s="1134">
        <f>'Eligibililty Staff LASER-2011'!D15+'Services Staff LASER 2011'!D15+'Other Exp. LASER 2011'!D15</f>
        <v>144062.52000000002</v>
      </c>
      <c r="F17" s="1134">
        <f>'Eligibililty Staff LASER-2011'!E15+'Services Staff LASER 2011'!E15+'Other Exp. LASER 2011'!E15</f>
        <v>187119.86000000002</v>
      </c>
      <c r="G17" s="1134">
        <f>SUM('Benefits Spending Summary'!D17:F17)</f>
        <v>673880.41999999993</v>
      </c>
      <c r="H17" s="1134">
        <f>'Services for Clients LASER 2011'!C16</f>
        <v>34905.9</v>
      </c>
      <c r="I17" s="1134">
        <f>'Services for Clients LASER 2011'!D16</f>
        <v>7481.8899999999994</v>
      </c>
      <c r="J17" s="1134">
        <f>'Services for Clients LASER 2011'!E16</f>
        <v>7677.880000000001</v>
      </c>
      <c r="K17" s="1134">
        <f t="shared" si="0"/>
        <v>50065.67</v>
      </c>
      <c r="L17" s="1134">
        <f>'Medicaid &amp; FAMIS - LASER 2011'!D15+'SNAP - LASER 2011'!D15+'SNAP - LASER 2011'!E15+'FC &amp; Adoptions LASER 2011'!C15+'LIHEAP LASER 2011'!D15+'TANF LASER 2011'!C15+'Other Benefits LASER 2011'!C15</f>
        <v>3983406.9612859995</v>
      </c>
      <c r="M17" s="1134">
        <f>'Medicaid &amp; FAMIS - LASER 2011'!E15+'SNAP - LASER 2011'!F15+'FC &amp; Adoptions LASER 2011'!D15+'TANF LASER 2011'!D15+'Other Benefits LASER 2011'!D15</f>
        <v>2405105.6287139999</v>
      </c>
      <c r="N17" s="1134">
        <f>'FC &amp; Adoptions LASER 2011'!E15+'TANF LASER 2011'!E15</f>
        <v>76762.319999999992</v>
      </c>
      <c r="O17" s="1134">
        <f t="shared" si="1"/>
        <v>6465274.9100000001</v>
      </c>
      <c r="Q17" s="1137">
        <f t="shared" si="2"/>
        <v>0.5085442903950228</v>
      </c>
      <c r="R17" s="1137">
        <f t="shared" si="3"/>
        <v>0.21378053987679302</v>
      </c>
      <c r="S17" s="1137">
        <f t="shared" si="4"/>
        <v>0.27767516972818418</v>
      </c>
      <c r="T17" s="1137">
        <f t="shared" si="5"/>
        <v>0.72232483027181582</v>
      </c>
      <c r="V17" s="1137">
        <f t="shared" si="6"/>
        <v>0.68905515781665394</v>
      </c>
      <c r="W17" s="1137">
        <f t="shared" si="7"/>
        <v>2.8273229870401418E-2</v>
      </c>
      <c r="X17" s="1137">
        <f t="shared" si="8"/>
        <v>0.28267161231294469</v>
      </c>
    </row>
    <row r="18" spans="1:24">
      <c r="A18" s="189" t="s">
        <v>33</v>
      </c>
      <c r="B18" s="190" t="s">
        <v>34</v>
      </c>
      <c r="C18" s="191" t="s">
        <v>273</v>
      </c>
      <c r="D18" s="1134">
        <f>'Eligibililty Staff LASER-2011'!C16+'Services Staff LASER 2011'!C16+'Other Exp. LASER 2011'!C16</f>
        <v>503146.06000000006</v>
      </c>
      <c r="E18" s="1134">
        <f>'Eligibililty Staff LASER-2011'!D16+'Services Staff LASER 2011'!D16+'Other Exp. LASER 2011'!D16</f>
        <v>241185.43</v>
      </c>
      <c r="F18" s="1134">
        <f>'Eligibililty Staff LASER-2011'!E16+'Services Staff LASER 2011'!E16+'Other Exp. LASER 2011'!E16</f>
        <v>224855.08</v>
      </c>
      <c r="G18" s="1134">
        <f>SUM('Benefits Spending Summary'!D18:F18)</f>
        <v>969186.57</v>
      </c>
      <c r="H18" s="1134">
        <f>'Services for Clients LASER 2011'!C17</f>
        <v>274756.7</v>
      </c>
      <c r="I18" s="1134">
        <f>'Services for Clients LASER 2011'!D17</f>
        <v>75211.3</v>
      </c>
      <c r="J18" s="1134">
        <f>'Services for Clients LASER 2011'!E17</f>
        <v>23260.21</v>
      </c>
      <c r="K18" s="1134">
        <f t="shared" si="0"/>
        <v>373228.21</v>
      </c>
      <c r="L18" s="1134">
        <f>'Medicaid &amp; FAMIS - LASER 2011'!D16+'SNAP - LASER 2011'!D16+'SNAP - LASER 2011'!E16+'FC &amp; Adoptions LASER 2011'!C16+'LIHEAP LASER 2011'!D16+'TANF LASER 2011'!C16+'Other Benefits LASER 2011'!C16</f>
        <v>12045267.933724999</v>
      </c>
      <c r="M18" s="1134">
        <f>'Medicaid &amp; FAMIS - LASER 2011'!E16+'SNAP - LASER 2011'!F16+'FC &amp; Adoptions LASER 2011'!D16+'TANF LASER 2011'!D16+'Other Benefits LASER 2011'!D16</f>
        <v>7436547.8762750011</v>
      </c>
      <c r="N18" s="1134">
        <f>'FC &amp; Adoptions LASER 2011'!E16+'TANF LASER 2011'!E16</f>
        <v>419403.17</v>
      </c>
      <c r="O18" s="1134">
        <f t="shared" si="1"/>
        <v>19901218.980000004</v>
      </c>
      <c r="Q18" s="1137">
        <f t="shared" si="2"/>
        <v>0.51914262493340169</v>
      </c>
      <c r="R18" s="1137">
        <f t="shared" si="3"/>
        <v>0.24885345862768199</v>
      </c>
      <c r="S18" s="1137">
        <f t="shared" si="4"/>
        <v>0.23200391643891641</v>
      </c>
      <c r="T18" s="1137">
        <f t="shared" si="5"/>
        <v>0.76799608356108362</v>
      </c>
      <c r="V18" s="1137">
        <f t="shared" si="6"/>
        <v>0.33685222727772951</v>
      </c>
      <c r="W18" s="1137">
        <f t="shared" si="7"/>
        <v>3.484579287889656E-2</v>
      </c>
      <c r="X18" s="1137">
        <f t="shared" si="8"/>
        <v>0.62830197984337388</v>
      </c>
    </row>
    <row r="19" spans="1:24">
      <c r="A19" s="189" t="s">
        <v>37</v>
      </c>
      <c r="B19" s="190" t="s">
        <v>38</v>
      </c>
      <c r="C19" s="191" t="s">
        <v>272</v>
      </c>
      <c r="D19" s="1134">
        <f>'Eligibililty Staff LASER-2011'!C17+'Services Staff LASER 2011'!C17+'Other Exp. LASER 2011'!C17</f>
        <v>823672.30999999994</v>
      </c>
      <c r="E19" s="1134">
        <f>'Eligibililty Staff LASER-2011'!D17+'Services Staff LASER 2011'!D17+'Other Exp. LASER 2011'!D17</f>
        <v>433231.57000000007</v>
      </c>
      <c r="F19" s="1134">
        <f>'Eligibililty Staff LASER-2011'!E17+'Services Staff LASER 2011'!E17+'Other Exp. LASER 2011'!E17</f>
        <v>276358.36</v>
      </c>
      <c r="G19" s="1134">
        <f>SUM('Benefits Spending Summary'!D19:F19)</f>
        <v>1533262.2399999998</v>
      </c>
      <c r="H19" s="1134">
        <f>'Services for Clients LASER 2011'!C18</f>
        <v>195459.28999999998</v>
      </c>
      <c r="I19" s="1134">
        <f>'Services for Clients LASER 2011'!D18</f>
        <v>41874.54</v>
      </c>
      <c r="J19" s="1134">
        <f>'Services for Clients LASER 2011'!E18</f>
        <v>24849.69</v>
      </c>
      <c r="K19" s="1134">
        <f t="shared" si="0"/>
        <v>262183.51999999996</v>
      </c>
      <c r="L19" s="1134">
        <f>'Medicaid &amp; FAMIS - LASER 2011'!D17+'SNAP - LASER 2011'!D17+'SNAP - LASER 2011'!E17+'FC &amp; Adoptions LASER 2011'!C17+'LIHEAP LASER 2011'!D17+'TANF LASER 2011'!C17+'Other Benefits LASER 2011'!C17</f>
        <v>20730113.313063998</v>
      </c>
      <c r="M19" s="1134">
        <f>'Medicaid &amp; FAMIS - LASER 2011'!E17+'SNAP - LASER 2011'!F17+'FC &amp; Adoptions LASER 2011'!D17+'TANF LASER 2011'!D17+'Other Benefits LASER 2011'!D17</f>
        <v>10286268.926935999</v>
      </c>
      <c r="N19" s="1134">
        <f>'FC &amp; Adoptions LASER 2011'!E17+'TANF LASER 2011'!E17</f>
        <v>111581.52</v>
      </c>
      <c r="O19" s="1134">
        <f t="shared" si="1"/>
        <v>31127963.759999994</v>
      </c>
      <c r="Q19" s="1137">
        <f t="shared" si="2"/>
        <v>0.53720250098900246</v>
      </c>
      <c r="R19" s="1137">
        <f t="shared" si="3"/>
        <v>0.28255542900476055</v>
      </c>
      <c r="S19" s="1137">
        <f t="shared" si="4"/>
        <v>0.18024207000623718</v>
      </c>
      <c r="T19" s="1137">
        <f t="shared" si="5"/>
        <v>0.81975792999376285</v>
      </c>
      <c r="V19" s="1137">
        <f t="shared" si="6"/>
        <v>0.66948968696084055</v>
      </c>
      <c r="W19" s="1137">
        <f t="shared" si="7"/>
        <v>6.0199413468707552E-2</v>
      </c>
      <c r="X19" s="1137">
        <f t="shared" si="8"/>
        <v>0.27031089957045185</v>
      </c>
    </row>
    <row r="20" spans="1:24">
      <c r="A20" s="189" t="s">
        <v>39</v>
      </c>
      <c r="B20" s="190" t="s">
        <v>40</v>
      </c>
      <c r="C20" s="191" t="s">
        <v>278</v>
      </c>
      <c r="D20" s="1134">
        <f>'Eligibililty Staff LASER-2011'!C18+'Services Staff LASER 2011'!C18+'Other Exp. LASER 2011'!C18</f>
        <v>1922267.4800000002</v>
      </c>
      <c r="E20" s="1134">
        <f>'Eligibililty Staff LASER-2011'!D18+'Services Staff LASER 2011'!D18+'Other Exp. LASER 2011'!D18</f>
        <v>816067.31</v>
      </c>
      <c r="F20" s="1134">
        <f>'Eligibililty Staff LASER-2011'!E18+'Services Staff LASER 2011'!E18+'Other Exp. LASER 2011'!E18</f>
        <v>1031928.64</v>
      </c>
      <c r="G20" s="1134">
        <f>SUM('Benefits Spending Summary'!D20:F20)</f>
        <v>3770263.43</v>
      </c>
      <c r="H20" s="1134">
        <f>'Services for Clients LASER 2011'!C19</f>
        <v>250720.76000000004</v>
      </c>
      <c r="I20" s="1134">
        <f>'Services for Clients LASER 2011'!D19</f>
        <v>29854.979999999996</v>
      </c>
      <c r="J20" s="1134">
        <f>'Services for Clients LASER 2011'!E19</f>
        <v>35336.720000000001</v>
      </c>
      <c r="K20" s="1134">
        <f t="shared" si="0"/>
        <v>315912.46000000008</v>
      </c>
      <c r="L20" s="1134">
        <f>'Medicaid &amp; FAMIS - LASER 2011'!D18+'SNAP - LASER 2011'!D18+'SNAP - LASER 2011'!E18+'FC &amp; Adoptions LASER 2011'!C18+'LIHEAP LASER 2011'!D18+'TANF LASER 2011'!C18+'Other Benefits LASER 2011'!C18</f>
        <v>24805462.278903998</v>
      </c>
      <c r="M20" s="1134">
        <f>'Medicaid &amp; FAMIS - LASER 2011'!E18+'SNAP - LASER 2011'!F18+'FC &amp; Adoptions LASER 2011'!D18+'TANF LASER 2011'!D18+'Other Benefits LASER 2011'!D18</f>
        <v>12926251.281095998</v>
      </c>
      <c r="N20" s="1134">
        <f>'FC &amp; Adoptions LASER 2011'!E18+'TANF LASER 2011'!E18</f>
        <v>499142.05</v>
      </c>
      <c r="O20" s="1134">
        <f t="shared" si="1"/>
        <v>38230855.609999992</v>
      </c>
      <c r="Q20" s="1137">
        <f t="shared" si="2"/>
        <v>0.50984964729639592</v>
      </c>
      <c r="R20" s="1137">
        <f t="shared" si="3"/>
        <v>0.21644835305314461</v>
      </c>
      <c r="S20" s="1137">
        <f t="shared" si="4"/>
        <v>0.27370199965045944</v>
      </c>
      <c r="T20" s="1137">
        <f t="shared" si="5"/>
        <v>0.72629800034954051</v>
      </c>
      <c r="V20" s="1137">
        <f t="shared" si="6"/>
        <v>0.658786873333292</v>
      </c>
      <c r="W20" s="1137">
        <f t="shared" si="7"/>
        <v>2.2559086336293568E-2</v>
      </c>
      <c r="X20" s="1137">
        <f t="shared" si="8"/>
        <v>0.31865404033041439</v>
      </c>
    </row>
    <row r="21" spans="1:24">
      <c r="A21" s="189" t="s">
        <v>41</v>
      </c>
      <c r="B21" s="190" t="s">
        <v>42</v>
      </c>
      <c r="C21" s="191" t="s">
        <v>275</v>
      </c>
      <c r="D21" s="1134">
        <f>'Eligibililty Staff LASER-2011'!C19+'Services Staff LASER 2011'!C19+'Other Exp. LASER 2011'!C19</f>
        <v>603226.91999999993</v>
      </c>
      <c r="E21" s="1134">
        <f>'Eligibililty Staff LASER-2011'!D19+'Services Staff LASER 2011'!D19+'Other Exp. LASER 2011'!D19</f>
        <v>288346.69</v>
      </c>
      <c r="F21" s="1134">
        <f>'Eligibililty Staff LASER-2011'!E19+'Services Staff LASER 2011'!E19+'Other Exp. LASER 2011'!E19</f>
        <v>268607.90000000002</v>
      </c>
      <c r="G21" s="1134">
        <f>SUM('Benefits Spending Summary'!D21:F21)</f>
        <v>1160181.5099999998</v>
      </c>
      <c r="H21" s="1134">
        <f>'Services for Clients LASER 2011'!C20</f>
        <v>157940.62</v>
      </c>
      <c r="I21" s="1134">
        <f>'Services for Clients LASER 2011'!D20</f>
        <v>28319.439999999999</v>
      </c>
      <c r="J21" s="1134">
        <f>'Services for Clients LASER 2011'!E20</f>
        <v>18387.12</v>
      </c>
      <c r="K21" s="1134">
        <f t="shared" si="0"/>
        <v>204647.18</v>
      </c>
      <c r="L21" s="1134">
        <f>'Medicaid &amp; FAMIS - LASER 2011'!D19+'SNAP - LASER 2011'!D19+'SNAP - LASER 2011'!E19+'FC &amp; Adoptions LASER 2011'!C19+'LIHEAP LASER 2011'!D19+'TANF LASER 2011'!C19+'Other Benefits LASER 2011'!C19</f>
        <v>16402389.759867001</v>
      </c>
      <c r="M21" s="1134">
        <f>'Medicaid &amp; FAMIS - LASER 2011'!E19+'SNAP - LASER 2011'!F19+'FC &amp; Adoptions LASER 2011'!D19+'TANF LASER 2011'!D19+'Other Benefits LASER 2011'!D19</f>
        <v>8320364.1801329991</v>
      </c>
      <c r="N21" s="1134">
        <f>'FC &amp; Adoptions LASER 2011'!E19+'TANF LASER 2011'!E19</f>
        <v>167851.64</v>
      </c>
      <c r="O21" s="1134">
        <f t="shared" si="1"/>
        <v>24890605.580000002</v>
      </c>
      <c r="Q21" s="1137">
        <f t="shared" si="2"/>
        <v>0.51994184944388577</v>
      </c>
      <c r="R21" s="1137">
        <f t="shared" si="3"/>
        <v>0.24853584332679121</v>
      </c>
      <c r="S21" s="1137">
        <f t="shared" si="4"/>
        <v>0.23152230722932318</v>
      </c>
      <c r="T21" s="1137">
        <f t="shared" si="5"/>
        <v>0.7684776927706769</v>
      </c>
      <c r="V21" s="1137">
        <f t="shared" si="6"/>
        <v>0.59054605347657163</v>
      </c>
      <c r="W21" s="1137">
        <f t="shared" si="7"/>
        <v>4.0424876374820465E-2</v>
      </c>
      <c r="X21" s="1137">
        <f t="shared" si="8"/>
        <v>0.36902907014860786</v>
      </c>
    </row>
    <row r="22" spans="1:24">
      <c r="A22" s="189" t="s">
        <v>43</v>
      </c>
      <c r="B22" s="190" t="s">
        <v>44</v>
      </c>
      <c r="C22" s="191" t="s">
        <v>273</v>
      </c>
      <c r="D22" s="1134">
        <f>'Eligibililty Staff LASER-2011'!C20+'Services Staff LASER 2011'!C20+'Other Exp. LASER 2011'!C20</f>
        <v>2060944.41</v>
      </c>
      <c r="E22" s="1134">
        <f>'Eligibililty Staff LASER-2011'!D20+'Services Staff LASER 2011'!D20+'Other Exp. LASER 2011'!D20</f>
        <v>862613.49</v>
      </c>
      <c r="F22" s="1134">
        <f>'Eligibililty Staff LASER-2011'!E20+'Services Staff LASER 2011'!E20+'Other Exp. LASER 2011'!E20</f>
        <v>980200.01</v>
      </c>
      <c r="G22" s="1134">
        <f>SUM('Benefits Spending Summary'!D22:F22)</f>
        <v>3903757.91</v>
      </c>
      <c r="H22" s="1134">
        <f>'Services for Clients LASER 2011'!C21</f>
        <v>507680.25000000006</v>
      </c>
      <c r="I22" s="1134">
        <f>'Services for Clients LASER 2011'!D21</f>
        <v>169520.58</v>
      </c>
      <c r="J22" s="1134">
        <f>'Services for Clients LASER 2011'!E21</f>
        <v>127060.61</v>
      </c>
      <c r="K22" s="1134">
        <f t="shared" si="0"/>
        <v>804261.44000000006</v>
      </c>
      <c r="L22" s="1134">
        <f>'Medicaid &amp; FAMIS - LASER 2011'!D20+'SNAP - LASER 2011'!D20+'SNAP - LASER 2011'!E20+'FC &amp; Adoptions LASER 2011'!C20+'LIHEAP LASER 2011'!D20+'TANF LASER 2011'!C20+'Other Benefits LASER 2011'!C20</f>
        <v>45877099.543811992</v>
      </c>
      <c r="M22" s="1134">
        <f>'Medicaid &amp; FAMIS - LASER 2011'!E20+'SNAP - LASER 2011'!F20+'FC &amp; Adoptions LASER 2011'!D20+'TANF LASER 2011'!D20+'Other Benefits LASER 2011'!D20</f>
        <v>25392637.956187997</v>
      </c>
      <c r="N22" s="1134">
        <f>'FC &amp; Adoptions LASER 2011'!E20+'TANF LASER 2011'!E20</f>
        <v>501034.53</v>
      </c>
      <c r="O22" s="1134">
        <f t="shared" si="1"/>
        <v>71770772.029999986</v>
      </c>
      <c r="Q22" s="1137">
        <f t="shared" si="2"/>
        <v>0.52793858059707388</v>
      </c>
      <c r="R22" s="1137">
        <f t="shared" si="3"/>
        <v>0.22097002680168759</v>
      </c>
      <c r="S22" s="1137">
        <f t="shared" si="4"/>
        <v>0.25109139260123842</v>
      </c>
      <c r="T22" s="1137">
        <f t="shared" si="5"/>
        <v>0.74890860739876153</v>
      </c>
      <c r="V22" s="1137">
        <f t="shared" si="6"/>
        <v>0.60946525269320118</v>
      </c>
      <c r="W22" s="1137">
        <f t="shared" si="7"/>
        <v>7.9003291155855304E-2</v>
      </c>
      <c r="X22" s="1137">
        <f t="shared" si="8"/>
        <v>0.31153145615094341</v>
      </c>
    </row>
    <row r="23" spans="1:24">
      <c r="A23" s="189" t="s">
        <v>45</v>
      </c>
      <c r="B23" s="190" t="s">
        <v>46</v>
      </c>
      <c r="C23" s="191" t="s">
        <v>275</v>
      </c>
      <c r="D23" s="1134">
        <f>'Eligibililty Staff LASER-2011'!C21+'Services Staff LASER 2011'!C21+'Other Exp. LASER 2011'!C21</f>
        <v>943317.12</v>
      </c>
      <c r="E23" s="1134">
        <f>'Eligibililty Staff LASER-2011'!D21+'Services Staff LASER 2011'!D21+'Other Exp. LASER 2011'!D21</f>
        <v>365215.2</v>
      </c>
      <c r="F23" s="1134">
        <f>'Eligibililty Staff LASER-2011'!E21+'Services Staff LASER 2011'!E21+'Other Exp. LASER 2011'!E21</f>
        <v>507122.41</v>
      </c>
      <c r="G23" s="1134">
        <f>SUM('Benefits Spending Summary'!D23:F23)</f>
        <v>1815654.73</v>
      </c>
      <c r="H23" s="1134">
        <f>'Services for Clients LASER 2011'!C22</f>
        <v>485837.7</v>
      </c>
      <c r="I23" s="1134">
        <f>'Services for Clients LASER 2011'!D22</f>
        <v>117131.59000000003</v>
      </c>
      <c r="J23" s="1134">
        <f>'Services for Clients LASER 2011'!E22</f>
        <v>32586.829999999998</v>
      </c>
      <c r="K23" s="1134">
        <f t="shared" si="0"/>
        <v>635556.12</v>
      </c>
      <c r="L23" s="1134">
        <f>'Medicaid &amp; FAMIS - LASER 2011'!D21+'SNAP - LASER 2011'!D21+'SNAP - LASER 2011'!E21+'FC &amp; Adoptions LASER 2011'!C21+'LIHEAP LASER 2011'!D21+'TANF LASER 2011'!C21+'Other Benefits LASER 2011'!C21</f>
        <v>23083702.481317997</v>
      </c>
      <c r="M23" s="1134">
        <f>'Medicaid &amp; FAMIS - LASER 2011'!E21+'SNAP - LASER 2011'!F21+'FC &amp; Adoptions LASER 2011'!D21+'TANF LASER 2011'!D21+'Other Benefits LASER 2011'!D21</f>
        <v>11281077.848682001</v>
      </c>
      <c r="N23" s="1134">
        <f>'FC &amp; Adoptions LASER 2011'!E21+'TANF LASER 2011'!E21</f>
        <v>455167.31</v>
      </c>
      <c r="O23" s="1134">
        <f t="shared" si="1"/>
        <v>34819947.640000001</v>
      </c>
      <c r="Q23" s="1137">
        <f t="shared" si="2"/>
        <v>0.51954653294682296</v>
      </c>
      <c r="R23" s="1137">
        <f t="shared" si="3"/>
        <v>0.20114793521343124</v>
      </c>
      <c r="S23" s="1137">
        <f t="shared" si="4"/>
        <v>0.27930553183974577</v>
      </c>
      <c r="T23" s="1137">
        <f t="shared" si="5"/>
        <v>0.72069446816025429</v>
      </c>
      <c r="V23" s="1137">
        <f t="shared" si="6"/>
        <v>0.50973400669660973</v>
      </c>
      <c r="W23" s="1137">
        <f t="shared" si="7"/>
        <v>3.2754646795122466E-2</v>
      </c>
      <c r="X23" s="1137">
        <f t="shared" si="8"/>
        <v>0.45751134650826775</v>
      </c>
    </row>
    <row r="24" spans="1:24">
      <c r="A24" s="189" t="s">
        <v>47</v>
      </c>
      <c r="B24" s="190" t="s">
        <v>48</v>
      </c>
      <c r="C24" s="191" t="s">
        <v>278</v>
      </c>
      <c r="D24" s="1134">
        <f>'Eligibililty Staff LASER-2011'!C22+'Services Staff LASER 2011'!C22+'Other Exp. LASER 2011'!C22</f>
        <v>1051494.56</v>
      </c>
      <c r="E24" s="1134">
        <f>'Eligibililty Staff LASER-2011'!D22+'Services Staff LASER 2011'!D22+'Other Exp. LASER 2011'!D22</f>
        <v>484517.03</v>
      </c>
      <c r="F24" s="1134">
        <f>'Eligibililty Staff LASER-2011'!E22+'Services Staff LASER 2011'!E22+'Other Exp. LASER 2011'!E22</f>
        <v>588978.55000000005</v>
      </c>
      <c r="G24" s="1134">
        <f>SUM('Benefits Spending Summary'!D24:F24)</f>
        <v>2124990.14</v>
      </c>
      <c r="H24" s="1134">
        <f>'Services for Clients LASER 2011'!C23</f>
        <v>332072.01</v>
      </c>
      <c r="I24" s="1134">
        <f>'Services for Clients LASER 2011'!D23</f>
        <v>104604.18</v>
      </c>
      <c r="J24" s="1134">
        <f>'Services for Clients LASER 2011'!E23</f>
        <v>40228.879999999997</v>
      </c>
      <c r="K24" s="1134">
        <f t="shared" si="0"/>
        <v>476905.07</v>
      </c>
      <c r="L24" s="1134">
        <f>'Medicaid &amp; FAMIS - LASER 2011'!D22+'SNAP - LASER 2011'!D22+'SNAP - LASER 2011'!E22+'FC &amp; Adoptions LASER 2011'!C22+'LIHEAP LASER 2011'!D22+'TANF LASER 2011'!C22+'Other Benefits LASER 2011'!C22</f>
        <v>27978275.263537996</v>
      </c>
      <c r="M24" s="1134">
        <f>'Medicaid &amp; FAMIS - LASER 2011'!E22+'SNAP - LASER 2011'!F22+'FC &amp; Adoptions LASER 2011'!D22+'TANF LASER 2011'!D22+'Other Benefits LASER 2011'!D22</f>
        <v>14885833.196462</v>
      </c>
      <c r="N24" s="1134">
        <f>'FC &amp; Adoptions LASER 2011'!E22+'TANF LASER 2011'!E22</f>
        <v>502996.78</v>
      </c>
      <c r="O24" s="1134">
        <f t="shared" si="1"/>
        <v>43367105.239999995</v>
      </c>
      <c r="Q24" s="1137">
        <f t="shared" si="2"/>
        <v>0.49482326539171612</v>
      </c>
      <c r="R24" s="1137">
        <f t="shared" si="3"/>
        <v>0.2280090720797415</v>
      </c>
      <c r="S24" s="1137">
        <f t="shared" si="4"/>
        <v>0.27716766252854236</v>
      </c>
      <c r="T24" s="1137">
        <f t="shared" si="5"/>
        <v>0.72283233747145759</v>
      </c>
      <c r="V24" s="1137">
        <f t="shared" si="6"/>
        <v>0.52020522870163155</v>
      </c>
      <c r="W24" s="1137">
        <f t="shared" si="7"/>
        <v>3.5531470069343762E-2</v>
      </c>
      <c r="X24" s="1137">
        <f t="shared" si="8"/>
        <v>0.4442633012290248</v>
      </c>
    </row>
    <row r="25" spans="1:24">
      <c r="A25" s="189" t="s">
        <v>49</v>
      </c>
      <c r="B25" s="190" t="s">
        <v>279</v>
      </c>
      <c r="C25" s="191" t="s">
        <v>275</v>
      </c>
      <c r="D25" s="1134">
        <f>'Eligibililty Staff LASER-2011'!C23+'Services Staff LASER 2011'!C23+'Other Exp. LASER 2011'!C23</f>
        <v>401834.10999999993</v>
      </c>
      <c r="E25" s="1134">
        <f>'Eligibililty Staff LASER-2011'!D23+'Services Staff LASER 2011'!D23+'Other Exp. LASER 2011'!D23</f>
        <v>192211.94999999998</v>
      </c>
      <c r="F25" s="1134">
        <f>'Eligibililty Staff LASER-2011'!E23+'Services Staff LASER 2011'!E23+'Other Exp. LASER 2011'!E23</f>
        <v>159771.56</v>
      </c>
      <c r="G25" s="1134">
        <f>SUM('Benefits Spending Summary'!D25:F25)</f>
        <v>753817.61999999988</v>
      </c>
      <c r="H25" s="1134">
        <f>'Services for Clients LASER 2011'!C24</f>
        <v>100328.16999999998</v>
      </c>
      <c r="I25" s="1134">
        <f>'Services for Clients LASER 2011'!D24</f>
        <v>18838.04</v>
      </c>
      <c r="J25" s="1134">
        <f>'Services for Clients LASER 2011'!E24</f>
        <v>11545.48</v>
      </c>
      <c r="K25" s="1134">
        <f t="shared" si="0"/>
        <v>130711.68999999999</v>
      </c>
      <c r="L25" s="1134">
        <f>'Medicaid &amp; FAMIS - LASER 2011'!D23+'SNAP - LASER 2011'!D23+'SNAP - LASER 2011'!E23+'FC &amp; Adoptions LASER 2011'!C23+'LIHEAP LASER 2011'!D23+'TANF LASER 2011'!C23+'Other Benefits LASER 2011'!C23</f>
        <v>5544061.0540450001</v>
      </c>
      <c r="M25" s="1134">
        <f>'Medicaid &amp; FAMIS - LASER 2011'!E23+'SNAP - LASER 2011'!F23+'FC &amp; Adoptions LASER 2011'!D23+'TANF LASER 2011'!D23+'Other Benefits LASER 2011'!D23</f>
        <v>2906102.6259550001</v>
      </c>
      <c r="N25" s="1134">
        <f>'FC &amp; Adoptions LASER 2011'!E23+'TANF LASER 2011'!E23</f>
        <v>111556.45</v>
      </c>
      <c r="O25" s="1134">
        <f t="shared" si="1"/>
        <v>8561720.129999999</v>
      </c>
      <c r="Q25" s="1137">
        <f t="shared" si="2"/>
        <v>0.5330654250294653</v>
      </c>
      <c r="R25" s="1137">
        <f t="shared" si="3"/>
        <v>0.25498468714488265</v>
      </c>
      <c r="S25" s="1137">
        <f t="shared" si="4"/>
        <v>0.21194988782565208</v>
      </c>
      <c r="T25" s="1137">
        <f t="shared" si="5"/>
        <v>0.78805011217434795</v>
      </c>
      <c r="V25" s="1137">
        <f t="shared" si="6"/>
        <v>0.56481630710604946</v>
      </c>
      <c r="W25" s="1137">
        <f t="shared" si="7"/>
        <v>4.0814994717249753E-2</v>
      </c>
      <c r="X25" s="1137">
        <f t="shared" si="8"/>
        <v>0.39436869817670084</v>
      </c>
    </row>
    <row r="26" spans="1:24">
      <c r="A26" s="189" t="s">
        <v>51</v>
      </c>
      <c r="B26" s="190" t="s">
        <v>52</v>
      </c>
      <c r="C26" s="191" t="s">
        <v>273</v>
      </c>
      <c r="D26" s="1134">
        <f>'Eligibililty Staff LASER-2011'!C24+'Services Staff LASER 2011'!C24+'Other Exp. LASER 2011'!C24</f>
        <v>630937.47</v>
      </c>
      <c r="E26" s="1134">
        <f>'Eligibililty Staff LASER-2011'!D24+'Services Staff LASER 2011'!D24+'Other Exp. LASER 2011'!D24</f>
        <v>288467.57</v>
      </c>
      <c r="F26" s="1134">
        <f>'Eligibililty Staff LASER-2011'!E24+'Services Staff LASER 2011'!E24+'Other Exp. LASER 2011'!E24</f>
        <v>659753</v>
      </c>
      <c r="G26" s="1134">
        <f>SUM('Benefits Spending Summary'!D26:F26)</f>
        <v>1579158.04</v>
      </c>
      <c r="H26" s="1134">
        <f>'Services for Clients LASER 2011'!C25</f>
        <v>108745.51</v>
      </c>
      <c r="I26" s="1134">
        <f>'Services for Clients LASER 2011'!D25</f>
        <v>9945.94</v>
      </c>
      <c r="J26" s="1134">
        <f>'Services for Clients LASER 2011'!E25</f>
        <v>15767.01</v>
      </c>
      <c r="K26" s="1134">
        <f t="shared" si="0"/>
        <v>134458.46</v>
      </c>
      <c r="L26" s="1134">
        <f>'Medicaid &amp; FAMIS - LASER 2011'!D24+'SNAP - LASER 2011'!D24+'SNAP - LASER 2011'!E24+'FC &amp; Adoptions LASER 2011'!C24+'LIHEAP LASER 2011'!D24+'TANF LASER 2011'!C24+'Other Benefits LASER 2011'!C24</f>
        <v>14295905.923121998</v>
      </c>
      <c r="M26" s="1134">
        <f>'Medicaid &amp; FAMIS - LASER 2011'!E24+'SNAP - LASER 2011'!F24+'FC &amp; Adoptions LASER 2011'!D24+'TANF LASER 2011'!D24+'Other Benefits LASER 2011'!D24</f>
        <v>7639850.996878</v>
      </c>
      <c r="N26" s="1134">
        <f>'FC &amp; Adoptions LASER 2011'!E24+'TANF LASER 2011'!E24</f>
        <v>121883.65</v>
      </c>
      <c r="O26" s="1134">
        <f t="shared" si="1"/>
        <v>22057640.569999997</v>
      </c>
      <c r="Q26" s="1137">
        <f t="shared" si="2"/>
        <v>0.39954042218598967</v>
      </c>
      <c r="R26" s="1137">
        <f t="shared" si="3"/>
        <v>0.18267175462691498</v>
      </c>
      <c r="S26" s="1137">
        <f t="shared" si="4"/>
        <v>0.41778782318709529</v>
      </c>
      <c r="T26" s="1137">
        <f t="shared" si="5"/>
        <v>0.58221217681290471</v>
      </c>
      <c r="V26" s="1137">
        <f t="shared" si="6"/>
        <v>0.82737643817687012</v>
      </c>
      <c r="W26" s="1137">
        <f t="shared" si="7"/>
        <v>1.9772934074568958E-2</v>
      </c>
      <c r="X26" s="1137">
        <f t="shared" si="8"/>
        <v>0.15285062774856087</v>
      </c>
    </row>
    <row r="27" spans="1:24">
      <c r="A27" s="189" t="s">
        <v>57</v>
      </c>
      <c r="B27" s="190" t="s">
        <v>362</v>
      </c>
      <c r="C27" s="191" t="s">
        <v>275</v>
      </c>
      <c r="D27" s="1134">
        <f>'Eligibililty Staff LASER-2011'!C25+'Services Staff LASER 2011'!C25+'Other Exp. LASER 2011'!C25</f>
        <v>5008436.9000000004</v>
      </c>
      <c r="E27" s="1134">
        <f>'Eligibililty Staff LASER-2011'!D25+'Services Staff LASER 2011'!D25+'Other Exp. LASER 2011'!D25</f>
        <v>1754027.67</v>
      </c>
      <c r="F27" s="1134">
        <f>'Eligibililty Staff LASER-2011'!E25+'Services Staff LASER 2011'!E25+'Other Exp. LASER 2011'!E25</f>
        <v>4512505.1100000003</v>
      </c>
      <c r="G27" s="1134">
        <f>SUM('Benefits Spending Summary'!D27:F27)</f>
        <v>11274969.68</v>
      </c>
      <c r="H27" s="1134">
        <f>'Services for Clients LASER 2011'!C26</f>
        <v>2890881.4399999995</v>
      </c>
      <c r="I27" s="1134">
        <f>'Services for Clients LASER 2011'!D26</f>
        <v>1166144.96</v>
      </c>
      <c r="J27" s="1134">
        <f>'Services for Clients LASER 2011'!E26</f>
        <v>258644.61999999997</v>
      </c>
      <c r="K27" s="1134">
        <f t="shared" si="0"/>
        <v>4315671.0199999996</v>
      </c>
      <c r="L27" s="1134">
        <f>'Medicaid &amp; FAMIS - LASER 2011'!D25+'SNAP - LASER 2011'!D25+'SNAP - LASER 2011'!E25+'FC &amp; Adoptions LASER 2011'!C25+'LIHEAP LASER 2011'!D25+'TANF LASER 2011'!C25+'Other Benefits LASER 2011'!C25</f>
        <v>176214873.24791098</v>
      </c>
      <c r="M27" s="1134">
        <f>'Medicaid &amp; FAMIS - LASER 2011'!E25+'SNAP - LASER 2011'!F25+'FC &amp; Adoptions LASER 2011'!D25+'TANF LASER 2011'!D25+'Other Benefits LASER 2011'!D25</f>
        <v>92010227.042089</v>
      </c>
      <c r="N27" s="1134">
        <f>'FC &amp; Adoptions LASER 2011'!E25+'TANF LASER 2011'!E25</f>
        <v>2408476.9</v>
      </c>
      <c r="O27" s="1134">
        <f t="shared" si="1"/>
        <v>270633577.18999994</v>
      </c>
      <c r="Q27" s="1137">
        <f t="shared" si="2"/>
        <v>0.44420845839471923</v>
      </c>
      <c r="R27" s="1137">
        <f t="shared" si="3"/>
        <v>0.15556828264570552</v>
      </c>
      <c r="S27" s="1137">
        <f t="shared" si="4"/>
        <v>0.40022325895957533</v>
      </c>
      <c r="T27" s="1137">
        <f t="shared" si="5"/>
        <v>0.59977674104042478</v>
      </c>
      <c r="V27" s="1137">
        <f t="shared" si="6"/>
        <v>0.62851528952000668</v>
      </c>
      <c r="W27" s="1137">
        <f t="shared" si="7"/>
        <v>3.6024800916423134E-2</v>
      </c>
      <c r="X27" s="1137">
        <f t="shared" si="8"/>
        <v>0.33545990956357014</v>
      </c>
    </row>
    <row r="28" spans="1:24">
      <c r="A28" s="189" t="s">
        <v>59</v>
      </c>
      <c r="B28" s="190" t="s">
        <v>60</v>
      </c>
      <c r="C28" s="191" t="s">
        <v>276</v>
      </c>
      <c r="D28" s="1134">
        <f>'Eligibililty Staff LASER-2011'!C26+'Services Staff LASER 2011'!C26+'Other Exp. LASER 2011'!C26</f>
        <v>418273.6</v>
      </c>
      <c r="E28" s="1134">
        <f>'Eligibililty Staff LASER-2011'!D26+'Services Staff LASER 2011'!D26+'Other Exp. LASER 2011'!D26</f>
        <v>131705.03</v>
      </c>
      <c r="F28" s="1134">
        <f>'Eligibililty Staff LASER-2011'!E26+'Services Staff LASER 2011'!E26+'Other Exp. LASER 2011'!E26</f>
        <v>485798.43999999994</v>
      </c>
      <c r="G28" s="1134">
        <f>SUM('Benefits Spending Summary'!D28:F28)</f>
        <v>1035777.07</v>
      </c>
      <c r="H28" s="1134">
        <f>'Services for Clients LASER 2011'!C27</f>
        <v>148256.02000000002</v>
      </c>
      <c r="I28" s="1134">
        <f>'Services for Clients LASER 2011'!D27</f>
        <v>40298.090000000004</v>
      </c>
      <c r="J28" s="1134">
        <f>'Services for Clients LASER 2011'!E27</f>
        <v>23011.339999999997</v>
      </c>
      <c r="K28" s="1134">
        <f t="shared" si="0"/>
        <v>211565.45</v>
      </c>
      <c r="L28" s="1134">
        <f>'Medicaid &amp; FAMIS - LASER 2011'!D26+'SNAP - LASER 2011'!D26+'SNAP - LASER 2011'!E26+'FC &amp; Adoptions LASER 2011'!C26+'LIHEAP LASER 2011'!D26+'TANF LASER 2011'!C26+'Other Benefits LASER 2011'!C26</f>
        <v>5705206.6562679997</v>
      </c>
      <c r="M28" s="1134">
        <f>'Medicaid &amp; FAMIS - LASER 2011'!E26+'SNAP - LASER 2011'!F26+'FC &amp; Adoptions LASER 2011'!D26+'TANF LASER 2011'!D26+'Other Benefits LASER 2011'!D26</f>
        <v>3578253.2437319998</v>
      </c>
      <c r="N28" s="1134">
        <f>'FC &amp; Adoptions LASER 2011'!E26+'TANF LASER 2011'!E26</f>
        <v>375679.74</v>
      </c>
      <c r="O28" s="1134">
        <f t="shared" si="1"/>
        <v>9659139.6399999987</v>
      </c>
      <c r="Q28" s="1137">
        <f t="shared" si="2"/>
        <v>0.40382589276667419</v>
      </c>
      <c r="R28" s="1137">
        <f t="shared" si="3"/>
        <v>0.1271557691463473</v>
      </c>
      <c r="S28" s="1137">
        <f t="shared" si="4"/>
        <v>0.46901833808697846</v>
      </c>
      <c r="T28" s="1137">
        <f t="shared" si="5"/>
        <v>0.53098166191302154</v>
      </c>
      <c r="V28" s="1137">
        <f t="shared" si="6"/>
        <v>0.54924160096323127</v>
      </c>
      <c r="W28" s="1137">
        <f t="shared" si="7"/>
        <v>2.6016520806261219E-2</v>
      </c>
      <c r="X28" s="1137">
        <f t="shared" si="8"/>
        <v>0.42474187823050752</v>
      </c>
    </row>
    <row r="29" spans="1:24">
      <c r="A29" s="189" t="s">
        <v>61</v>
      </c>
      <c r="B29" s="190" t="s">
        <v>62</v>
      </c>
      <c r="C29" s="191" t="s">
        <v>273</v>
      </c>
      <c r="D29" s="1134">
        <f>'Eligibililty Staff LASER-2011'!C27+'Services Staff LASER 2011'!C27+'Other Exp. LASER 2011'!C27</f>
        <v>214050.6</v>
      </c>
      <c r="E29" s="1134">
        <f>'Eligibililty Staff LASER-2011'!D27+'Services Staff LASER 2011'!D27+'Other Exp. LASER 2011'!D27</f>
        <v>87030.45</v>
      </c>
      <c r="F29" s="1134">
        <f>'Eligibililty Staff LASER-2011'!E27+'Services Staff LASER 2011'!E27+'Other Exp. LASER 2011'!E27</f>
        <v>632776.18000000005</v>
      </c>
      <c r="G29" s="1134">
        <f>SUM('Benefits Spending Summary'!D29:F29)</f>
        <v>933857.23</v>
      </c>
      <c r="H29" s="1134">
        <f>'Services for Clients LASER 2011'!C28</f>
        <v>57178.82</v>
      </c>
      <c r="I29" s="1134">
        <f>'Services for Clients LASER 2011'!D28</f>
        <v>2930.19</v>
      </c>
      <c r="J29" s="1134">
        <f>'Services for Clients LASER 2011'!E28</f>
        <v>1668.05</v>
      </c>
      <c r="K29" s="1134">
        <f t="shared" si="0"/>
        <v>61777.060000000005</v>
      </c>
      <c r="L29" s="1134">
        <f>'Medicaid &amp; FAMIS - LASER 2011'!D27+'SNAP - LASER 2011'!D27+'SNAP - LASER 2011'!E27+'FC &amp; Adoptions LASER 2011'!C27+'LIHEAP LASER 2011'!D27+'TANF LASER 2011'!C27+'Other Benefits LASER 2011'!C27</f>
        <v>2908035.3676659996</v>
      </c>
      <c r="M29" s="1134">
        <f>'Medicaid &amp; FAMIS - LASER 2011'!E27+'SNAP - LASER 2011'!F27+'FC &amp; Adoptions LASER 2011'!D27+'TANF LASER 2011'!D27+'Other Benefits LASER 2011'!D27</f>
        <v>1844707.8523339997</v>
      </c>
      <c r="N29" s="1134">
        <f>'FC &amp; Adoptions LASER 2011'!E27+'TANF LASER 2011'!E27</f>
        <v>179189.56999999998</v>
      </c>
      <c r="O29" s="1134">
        <f t="shared" si="1"/>
        <v>4931932.7899999991</v>
      </c>
      <c r="Q29" s="1137">
        <f t="shared" si="2"/>
        <v>0.22921126819353319</v>
      </c>
      <c r="R29" s="1137">
        <f t="shared" si="3"/>
        <v>9.3194598921721689E-2</v>
      </c>
      <c r="S29" s="1137">
        <f t="shared" si="4"/>
        <v>0.67759413288474524</v>
      </c>
      <c r="T29" s="1137">
        <f t="shared" si="5"/>
        <v>0.32240586711525487</v>
      </c>
      <c r="V29" s="1137">
        <f t="shared" si="6"/>
        <v>0.77771619123984281</v>
      </c>
      <c r="W29" s="1137">
        <f t="shared" si="7"/>
        <v>2.0501237780436356E-3</v>
      </c>
      <c r="X29" s="1137">
        <f t="shared" si="8"/>
        <v>0.22023368498211354</v>
      </c>
    </row>
    <row r="30" spans="1:24">
      <c r="A30" s="189" t="s">
        <v>63</v>
      </c>
      <c r="B30" s="190" t="s">
        <v>64</v>
      </c>
      <c r="C30" s="191" t="s">
        <v>276</v>
      </c>
      <c r="D30" s="1134">
        <f>'Eligibililty Staff LASER-2011'!C28+'Services Staff LASER 2011'!C28+'Other Exp. LASER 2011'!C28</f>
        <v>1497396.83</v>
      </c>
      <c r="E30" s="1134">
        <f>'Eligibililty Staff LASER-2011'!D28+'Services Staff LASER 2011'!D28+'Other Exp. LASER 2011'!D28</f>
        <v>463009.44</v>
      </c>
      <c r="F30" s="1134">
        <f>'Eligibililty Staff LASER-2011'!E28+'Services Staff LASER 2011'!E28+'Other Exp. LASER 2011'!E28</f>
        <v>5243397.3600000003</v>
      </c>
      <c r="G30" s="1134">
        <f>SUM('Benefits Spending Summary'!D30:F30)</f>
        <v>7203803.6300000008</v>
      </c>
      <c r="H30" s="1134">
        <f>'Services for Clients LASER 2011'!C29</f>
        <v>893259.75999999989</v>
      </c>
      <c r="I30" s="1134">
        <f>'Services for Clients LASER 2011'!D29</f>
        <v>213766.5</v>
      </c>
      <c r="J30" s="1134">
        <f>'Services for Clients LASER 2011'!E29</f>
        <v>60624.729999999996</v>
      </c>
      <c r="K30" s="1134">
        <f t="shared" si="0"/>
        <v>1167650.9899999998</v>
      </c>
      <c r="L30" s="1134">
        <f>'Medicaid &amp; FAMIS - LASER 2011'!D28+'SNAP - LASER 2011'!D28+'SNAP - LASER 2011'!E28+'FC &amp; Adoptions LASER 2011'!C28+'LIHEAP LASER 2011'!D28+'TANF LASER 2011'!C28+'Other Benefits LASER 2011'!C28</f>
        <v>32670994.747757003</v>
      </c>
      <c r="M30" s="1134">
        <f>'Medicaid &amp; FAMIS - LASER 2011'!E28+'SNAP - LASER 2011'!F28+'FC &amp; Adoptions LASER 2011'!D28+'TANF LASER 2011'!D28+'Other Benefits LASER 2011'!D28</f>
        <v>18618524.012243003</v>
      </c>
      <c r="N30" s="1134">
        <f>'FC &amp; Adoptions LASER 2011'!E28+'TANF LASER 2011'!E28</f>
        <v>885717.87</v>
      </c>
      <c r="O30" s="1134">
        <f t="shared" si="1"/>
        <v>52175236.630000003</v>
      </c>
      <c r="Q30" s="1137">
        <f t="shared" si="2"/>
        <v>0.20786197221758526</v>
      </c>
      <c r="R30" s="1137">
        <f t="shared" si="3"/>
        <v>6.4272912447503786E-2</v>
      </c>
      <c r="S30" s="1137">
        <f t="shared" si="4"/>
        <v>0.72786511533491094</v>
      </c>
      <c r="T30" s="1137">
        <f t="shared" si="5"/>
        <v>0.27213488466508906</v>
      </c>
      <c r="V30" s="1137">
        <f t="shared" si="6"/>
        <v>0.84711108930010681</v>
      </c>
      <c r="W30" s="1137">
        <f t="shared" si="7"/>
        <v>9.794390457721262E-3</v>
      </c>
      <c r="X30" s="1137">
        <f t="shared" si="8"/>
        <v>0.14309452024217184</v>
      </c>
    </row>
    <row r="31" spans="1:24">
      <c r="A31" s="189" t="s">
        <v>65</v>
      </c>
      <c r="B31" s="190" t="s">
        <v>66</v>
      </c>
      <c r="C31" s="191" t="s">
        <v>275</v>
      </c>
      <c r="D31" s="1134">
        <f>'Eligibililty Staff LASER-2011'!C29+'Services Staff LASER 2011'!C29+'Other Exp. LASER 2011'!C29</f>
        <v>422901.87</v>
      </c>
      <c r="E31" s="1134">
        <f>'Eligibililty Staff LASER-2011'!D29+'Services Staff LASER 2011'!D29+'Other Exp. LASER 2011'!D29</f>
        <v>199809.31</v>
      </c>
      <c r="F31" s="1134">
        <f>'Eligibililty Staff LASER-2011'!E29+'Services Staff LASER 2011'!E29+'Other Exp. LASER 2011'!E29</f>
        <v>217190.26</v>
      </c>
      <c r="G31" s="1134">
        <f>SUM('Benefits Spending Summary'!D31:F31)</f>
        <v>839901.44</v>
      </c>
      <c r="H31" s="1134">
        <f>'Services for Clients LASER 2011'!C30</f>
        <v>94190.53</v>
      </c>
      <c r="I31" s="1134">
        <f>'Services for Clients LASER 2011'!D30</f>
        <v>45016.46</v>
      </c>
      <c r="J31" s="1134">
        <f>'Services for Clients LASER 2011'!E30</f>
        <v>14907.160000000002</v>
      </c>
      <c r="K31" s="1134">
        <f t="shared" si="0"/>
        <v>154114.15</v>
      </c>
      <c r="L31" s="1134">
        <f>'Medicaid &amp; FAMIS - LASER 2011'!D29+'SNAP - LASER 2011'!D29+'SNAP - LASER 2011'!E29+'FC &amp; Adoptions LASER 2011'!C29+'LIHEAP LASER 2011'!D29+'TANF LASER 2011'!C29+'Other Benefits LASER 2011'!C29</f>
        <v>11413760.540099999</v>
      </c>
      <c r="M31" s="1134">
        <f>'Medicaid &amp; FAMIS - LASER 2011'!E29+'SNAP - LASER 2011'!F29+'FC &amp; Adoptions LASER 2011'!D29+'TANF LASER 2011'!D29+'Other Benefits LASER 2011'!D29</f>
        <v>5995483.9898999995</v>
      </c>
      <c r="N31" s="1134">
        <f>'FC &amp; Adoptions LASER 2011'!E29+'TANF LASER 2011'!E29</f>
        <v>151712.31999999998</v>
      </c>
      <c r="O31" s="1134">
        <f t="shared" si="1"/>
        <v>17560956.849999998</v>
      </c>
      <c r="Q31" s="1137">
        <f t="shared" si="2"/>
        <v>0.50351368608202418</v>
      </c>
      <c r="R31" s="1137">
        <f t="shared" si="3"/>
        <v>0.23789613933749179</v>
      </c>
      <c r="S31" s="1137">
        <f t="shared" si="4"/>
        <v>0.25859017458048411</v>
      </c>
      <c r="T31" s="1137">
        <f t="shared" si="5"/>
        <v>0.74140982541951583</v>
      </c>
      <c r="V31" s="1137">
        <f t="shared" si="6"/>
        <v>0.56588001127850485</v>
      </c>
      <c r="W31" s="1137">
        <f t="shared" si="7"/>
        <v>3.8839973159618103E-2</v>
      </c>
      <c r="X31" s="1137">
        <f t="shared" si="8"/>
        <v>0.39528001556187703</v>
      </c>
    </row>
    <row r="32" spans="1:24">
      <c r="A32" s="189" t="s">
        <v>69</v>
      </c>
      <c r="B32" s="190" t="s">
        <v>70</v>
      </c>
      <c r="C32" s="191" t="s">
        <v>278</v>
      </c>
      <c r="D32" s="1134">
        <f>'Eligibililty Staff LASER-2011'!C30+'Services Staff LASER 2011'!C30+'Other Exp. LASER 2011'!C30</f>
        <v>1224323.72</v>
      </c>
      <c r="E32" s="1134">
        <f>'Eligibililty Staff LASER-2011'!D30+'Services Staff LASER 2011'!D30+'Other Exp. LASER 2011'!D30</f>
        <v>573704.32000000007</v>
      </c>
      <c r="F32" s="1134">
        <f>'Eligibililty Staff LASER-2011'!E30+'Services Staff LASER 2011'!E30+'Other Exp. LASER 2011'!E30</f>
        <v>557665.59</v>
      </c>
      <c r="G32" s="1134">
        <f>SUM('Benefits Spending Summary'!D32:F32)</f>
        <v>2355693.63</v>
      </c>
      <c r="H32" s="1134">
        <f>'Services for Clients LASER 2011'!C31</f>
        <v>164534.51999999999</v>
      </c>
      <c r="I32" s="1134">
        <f>'Services for Clients LASER 2011'!D31</f>
        <v>31740.620000000003</v>
      </c>
      <c r="J32" s="1134">
        <f>'Services for Clients LASER 2011'!E31</f>
        <v>30579.48</v>
      </c>
      <c r="K32" s="1134">
        <f t="shared" si="0"/>
        <v>226854.62</v>
      </c>
      <c r="L32" s="1134">
        <f>'Medicaid &amp; FAMIS - LASER 2011'!D30+'SNAP - LASER 2011'!D30+'SNAP - LASER 2011'!E30+'FC &amp; Adoptions LASER 2011'!C30+'LIHEAP LASER 2011'!D30+'TANF LASER 2011'!C30+'Other Benefits LASER 2011'!C30</f>
        <v>17781340.554610003</v>
      </c>
      <c r="M32" s="1134">
        <f>'Medicaid &amp; FAMIS - LASER 2011'!E30+'SNAP - LASER 2011'!F30+'FC &amp; Adoptions LASER 2011'!D30+'TANF LASER 2011'!D30+'Other Benefits LASER 2011'!D30</f>
        <v>10035445.80539</v>
      </c>
      <c r="N32" s="1134">
        <f>'FC &amp; Adoptions LASER 2011'!E30+'TANF LASER 2011'!E30</f>
        <v>335196.70999999996</v>
      </c>
      <c r="O32" s="1134">
        <f t="shared" si="1"/>
        <v>28151983.070000004</v>
      </c>
      <c r="Q32" s="1137">
        <f t="shared" si="2"/>
        <v>0.51972960507602173</v>
      </c>
      <c r="R32" s="1137">
        <f t="shared" si="3"/>
        <v>0.24353944532252272</v>
      </c>
      <c r="S32" s="1137">
        <f t="shared" si="4"/>
        <v>0.2367309496014556</v>
      </c>
      <c r="T32" s="1137">
        <f t="shared" si="5"/>
        <v>0.76326905039854442</v>
      </c>
      <c r="V32" s="1137">
        <f t="shared" si="6"/>
        <v>0.6038990243651311</v>
      </c>
      <c r="W32" s="1137">
        <f t="shared" si="7"/>
        <v>3.3114681035982585E-2</v>
      </c>
      <c r="X32" s="1137">
        <f t="shared" si="8"/>
        <v>0.36298629459888637</v>
      </c>
    </row>
    <row r="33" spans="1:24">
      <c r="A33" s="189" t="s">
        <v>71</v>
      </c>
      <c r="B33" s="190" t="s">
        <v>72</v>
      </c>
      <c r="C33" s="191" t="s">
        <v>272</v>
      </c>
      <c r="D33" s="1134">
        <f>'Eligibililty Staff LASER-2011'!C31+'Services Staff LASER 2011'!C31+'Other Exp. LASER 2011'!C31</f>
        <v>958230.53</v>
      </c>
      <c r="E33" s="1134">
        <f>'Eligibililty Staff LASER-2011'!D31+'Services Staff LASER 2011'!D31+'Other Exp. LASER 2011'!D31</f>
        <v>452189.14</v>
      </c>
      <c r="F33" s="1134">
        <f>'Eligibililty Staff LASER-2011'!E31+'Services Staff LASER 2011'!E31+'Other Exp. LASER 2011'!E31</f>
        <v>388316.38999999996</v>
      </c>
      <c r="G33" s="1134">
        <f>SUM('Benefits Spending Summary'!D33:F33)</f>
        <v>1798736.0599999998</v>
      </c>
      <c r="H33" s="1134">
        <f>'Services for Clients LASER 2011'!C32</f>
        <v>259166.62000000002</v>
      </c>
      <c r="I33" s="1134">
        <f>'Services for Clients LASER 2011'!D32</f>
        <v>71253.039999999994</v>
      </c>
      <c r="J33" s="1134">
        <f>'Services for Clients LASER 2011'!E32</f>
        <v>70536.939999999988</v>
      </c>
      <c r="K33" s="1134">
        <f t="shared" si="0"/>
        <v>400956.60000000003</v>
      </c>
      <c r="L33" s="1134">
        <f>'Medicaid &amp; FAMIS - LASER 2011'!D31+'SNAP - LASER 2011'!D31+'SNAP - LASER 2011'!E31+'FC &amp; Adoptions LASER 2011'!C31+'LIHEAP LASER 2011'!D31+'TANF LASER 2011'!C31+'Other Benefits LASER 2011'!C31</f>
        <v>24982330.316691998</v>
      </c>
      <c r="M33" s="1134">
        <f>'Medicaid &amp; FAMIS - LASER 2011'!E31+'SNAP - LASER 2011'!F31+'FC &amp; Adoptions LASER 2011'!D31+'TANF LASER 2011'!D31+'Other Benefits LASER 2011'!D31</f>
        <v>12596245.733307999</v>
      </c>
      <c r="N33" s="1134">
        <f>'FC &amp; Adoptions LASER 2011'!E31+'TANF LASER 2011'!E31</f>
        <v>311209.06</v>
      </c>
      <c r="O33" s="1134">
        <f t="shared" si="1"/>
        <v>37889785.109999999</v>
      </c>
      <c r="Q33" s="1137">
        <f t="shared" si="2"/>
        <v>0.5327243675761969</v>
      </c>
      <c r="R33" s="1137">
        <f t="shared" si="3"/>
        <v>0.25139271405944907</v>
      </c>
      <c r="S33" s="1137">
        <f t="shared" si="4"/>
        <v>0.21588291836435414</v>
      </c>
      <c r="T33" s="1137">
        <f t="shared" si="5"/>
        <v>0.78411708163564586</v>
      </c>
      <c r="V33" s="1137">
        <f t="shared" si="6"/>
        <v>0.50426614134472925</v>
      </c>
      <c r="W33" s="1137">
        <f t="shared" si="7"/>
        <v>9.1598993686732313E-2</v>
      </c>
      <c r="X33" s="1137">
        <f t="shared" si="8"/>
        <v>0.40413486496853851</v>
      </c>
    </row>
    <row r="34" spans="1:24">
      <c r="A34" s="189" t="s">
        <v>73</v>
      </c>
      <c r="B34" s="190" t="s">
        <v>74</v>
      </c>
      <c r="C34" s="191" t="s">
        <v>275</v>
      </c>
      <c r="D34" s="1134">
        <f>'Eligibililty Staff LASER-2011'!C32+'Services Staff LASER 2011'!C32+'Other Exp. LASER 2011'!C32</f>
        <v>496816.39999999997</v>
      </c>
      <c r="E34" s="1134">
        <f>'Eligibililty Staff LASER-2011'!D32+'Services Staff LASER 2011'!D32+'Other Exp. LASER 2011'!D32</f>
        <v>184184.87</v>
      </c>
      <c r="F34" s="1134">
        <f>'Eligibililty Staff LASER-2011'!E32+'Services Staff LASER 2011'!E32+'Other Exp. LASER 2011'!E32</f>
        <v>445836.74999999994</v>
      </c>
      <c r="G34" s="1134">
        <f>SUM('Benefits Spending Summary'!D34:F34)</f>
        <v>1126838.02</v>
      </c>
      <c r="H34" s="1134">
        <f>'Services for Clients LASER 2011'!C33</f>
        <v>242835.41000000003</v>
      </c>
      <c r="I34" s="1134">
        <f>'Services for Clients LASER 2011'!D33</f>
        <v>79006.3</v>
      </c>
      <c r="J34" s="1134">
        <f>'Services for Clients LASER 2011'!E33</f>
        <v>17301.55</v>
      </c>
      <c r="K34" s="1134">
        <f t="shared" si="0"/>
        <v>339143.26</v>
      </c>
      <c r="L34" s="1134">
        <f>'Medicaid &amp; FAMIS - LASER 2011'!D32+'SNAP - LASER 2011'!D32+'SNAP - LASER 2011'!E32+'FC &amp; Adoptions LASER 2011'!C32+'LIHEAP LASER 2011'!D32+'TANF LASER 2011'!C32+'Other Benefits LASER 2011'!C32</f>
        <v>12136355.867045999</v>
      </c>
      <c r="M34" s="1134">
        <f>'Medicaid &amp; FAMIS - LASER 2011'!E32+'SNAP - LASER 2011'!F32+'FC &amp; Adoptions LASER 2011'!D32+'TANF LASER 2011'!D32+'Other Benefits LASER 2011'!D32</f>
        <v>5808404.3729539998</v>
      </c>
      <c r="N34" s="1134">
        <f>'FC &amp; Adoptions LASER 2011'!E32+'TANF LASER 2011'!E32</f>
        <v>185102.93000000002</v>
      </c>
      <c r="O34" s="1134">
        <f t="shared" si="1"/>
        <v>18129863.169999998</v>
      </c>
      <c r="Q34" s="1137">
        <f t="shared" si="2"/>
        <v>0.44089424671702143</v>
      </c>
      <c r="R34" s="1137">
        <f t="shared" si="3"/>
        <v>0.16345283592756304</v>
      </c>
      <c r="S34" s="1137">
        <f t="shared" si="4"/>
        <v>0.39565291735541541</v>
      </c>
      <c r="T34" s="1137">
        <f t="shared" si="5"/>
        <v>0.60434708264458459</v>
      </c>
      <c r="V34" s="1137">
        <f t="shared" si="6"/>
        <v>0.68776364317339078</v>
      </c>
      <c r="W34" s="1137">
        <f t="shared" si="7"/>
        <v>2.6689986997587303E-2</v>
      </c>
      <c r="X34" s="1137">
        <f t="shared" si="8"/>
        <v>0.28554636982902187</v>
      </c>
    </row>
    <row r="35" spans="1:24">
      <c r="A35" s="189" t="s">
        <v>75</v>
      </c>
      <c r="B35" s="190" t="s">
        <v>885</v>
      </c>
      <c r="C35" s="191" t="s">
        <v>276</v>
      </c>
      <c r="D35" s="1134">
        <f>'Eligibililty Staff LASER-2011'!C33+'Services Staff LASER 2011'!C33+'Other Exp. LASER 2011'!C33</f>
        <v>21292182.579999998</v>
      </c>
      <c r="E35" s="1134">
        <f>'Eligibililty Staff LASER-2011'!D33+'Services Staff LASER 2011'!D33+'Other Exp. LASER 2011'!D33</f>
        <v>6202500.4900000002</v>
      </c>
      <c r="F35" s="1134">
        <f>'Eligibililty Staff LASER-2011'!E33+'Services Staff LASER 2011'!E33+'Other Exp. LASER 2011'!E33</f>
        <v>36479555.199999996</v>
      </c>
      <c r="G35" s="1134">
        <f>SUM('Benefits Spending Summary'!D35:F35)</f>
        <v>63974238.269999996</v>
      </c>
      <c r="H35" s="1134">
        <f>'Services for Clients LASER 2011'!C34</f>
        <v>17198390.280000001</v>
      </c>
      <c r="I35" s="1134">
        <f>'Services for Clients LASER 2011'!D34</f>
        <v>6456588.7600000007</v>
      </c>
      <c r="J35" s="1134">
        <f>'Services for Clients LASER 2011'!E34</f>
        <v>7152523.3600000003</v>
      </c>
      <c r="K35" s="1134">
        <f t="shared" si="0"/>
        <v>30807502.400000002</v>
      </c>
      <c r="L35" s="1134">
        <f>'Medicaid &amp; FAMIS - LASER 2011'!D33+'SNAP - LASER 2011'!D33+'SNAP - LASER 2011'!E33+'FC &amp; Adoptions LASER 2011'!C33+'LIHEAP LASER 2011'!D33+'TANF LASER 2011'!C33+'Other Benefits LASER 2011'!C33</f>
        <v>324182877.45080799</v>
      </c>
      <c r="M35" s="1134">
        <f>'Medicaid &amp; FAMIS - LASER 2011'!E33+'SNAP - LASER 2011'!F33+'FC &amp; Adoptions LASER 2011'!D33+'TANF LASER 2011'!D33+'Other Benefits LASER 2011'!D33</f>
        <v>203639244.06919196</v>
      </c>
      <c r="N35" s="1134">
        <f>'FC &amp; Adoptions LASER 2011'!E33+'TANF LASER 2011'!E33</f>
        <v>18319924.390000001</v>
      </c>
      <c r="O35" s="1134">
        <f t="shared" si="1"/>
        <v>546142045.90999997</v>
      </c>
      <c r="Q35" s="1137">
        <f t="shared" si="2"/>
        <v>0.33282432359940622</v>
      </c>
      <c r="R35" s="1137">
        <f t="shared" si="3"/>
        <v>9.6953096398313718E-2</v>
      </c>
      <c r="S35" s="1137">
        <f t="shared" si="4"/>
        <v>0.57022258000227999</v>
      </c>
      <c r="T35" s="1137">
        <f t="shared" si="5"/>
        <v>0.42977741999772001</v>
      </c>
      <c r="V35" s="1137">
        <f t="shared" si="6"/>
        <v>0.58883576741565213</v>
      </c>
      <c r="W35" s="1137">
        <f t="shared" si="7"/>
        <v>0.11545265720904349</v>
      </c>
      <c r="X35" s="1137">
        <f t="shared" si="8"/>
        <v>0.29571157537530435</v>
      </c>
    </row>
    <row r="36" spans="1:24">
      <c r="A36" s="189" t="s">
        <v>77</v>
      </c>
      <c r="B36" s="190" t="s">
        <v>78</v>
      </c>
      <c r="C36" s="191" t="s">
        <v>276</v>
      </c>
      <c r="D36" s="1134">
        <f>'Eligibililty Staff LASER-2011'!C34+'Services Staff LASER 2011'!C34+'Other Exp. LASER 2011'!C34</f>
        <v>1312437.74</v>
      </c>
      <c r="E36" s="1134">
        <f>'Eligibililty Staff LASER-2011'!D34+'Services Staff LASER 2011'!D34+'Other Exp. LASER 2011'!D34</f>
        <v>483940.94999999995</v>
      </c>
      <c r="F36" s="1134">
        <f>'Eligibililty Staff LASER-2011'!E34+'Services Staff LASER 2011'!E34+'Other Exp. LASER 2011'!E34</f>
        <v>1939712.06</v>
      </c>
      <c r="G36" s="1134">
        <f>SUM('Benefits Spending Summary'!D36:F36)</f>
        <v>3736090.75</v>
      </c>
      <c r="H36" s="1134">
        <f>'Services for Clients LASER 2011'!C35</f>
        <v>858800.97999999986</v>
      </c>
      <c r="I36" s="1134">
        <f>'Services for Clients LASER 2011'!D35</f>
        <v>192762.43</v>
      </c>
      <c r="J36" s="1134">
        <f>'Services for Clients LASER 2011'!E35</f>
        <v>51802.51</v>
      </c>
      <c r="K36" s="1134">
        <f t="shared" si="0"/>
        <v>1103365.92</v>
      </c>
      <c r="L36" s="1134">
        <f>'Medicaid &amp; FAMIS - LASER 2011'!D34+'SNAP - LASER 2011'!D34+'SNAP - LASER 2011'!E34+'FC &amp; Adoptions LASER 2011'!C34+'LIHEAP LASER 2011'!D34+'TANF LASER 2011'!C34+'Other Benefits LASER 2011'!C34</f>
        <v>26873176.114399001</v>
      </c>
      <c r="M36" s="1134">
        <f>'Medicaid &amp; FAMIS - LASER 2011'!E34+'SNAP - LASER 2011'!F34+'FC &amp; Adoptions LASER 2011'!D34+'TANF LASER 2011'!D34+'Other Benefits LASER 2011'!D34</f>
        <v>15639626.555601001</v>
      </c>
      <c r="N36" s="1134">
        <f>'FC &amp; Adoptions LASER 2011'!E34+'TANF LASER 2011'!E34</f>
        <v>1291367.21</v>
      </c>
      <c r="O36" s="1134">
        <f t="shared" si="1"/>
        <v>43804169.880000003</v>
      </c>
      <c r="Q36" s="1137">
        <f t="shared" si="2"/>
        <v>0.35128636530041463</v>
      </c>
      <c r="R36" s="1137">
        <f t="shared" si="3"/>
        <v>0.12953136911891125</v>
      </c>
      <c r="S36" s="1137">
        <f t="shared" si="4"/>
        <v>0.51918226558067415</v>
      </c>
      <c r="T36" s="1137">
        <f t="shared" si="5"/>
        <v>0.48081773441932585</v>
      </c>
      <c r="V36" s="1137">
        <f t="shared" si="6"/>
        <v>0.59085650656600852</v>
      </c>
      <c r="W36" s="1137">
        <f t="shared" si="7"/>
        <v>1.5779584362614483E-2</v>
      </c>
      <c r="X36" s="1137">
        <f t="shared" si="8"/>
        <v>0.39336390907137686</v>
      </c>
    </row>
    <row r="37" spans="1:24">
      <c r="A37" s="189" t="s">
        <v>79</v>
      </c>
      <c r="B37" s="190" t="s">
        <v>80</v>
      </c>
      <c r="C37" s="191" t="s">
        <v>278</v>
      </c>
      <c r="D37" s="1134">
        <f>'Eligibililty Staff LASER-2011'!C35+'Services Staff LASER 2011'!C35+'Other Exp. LASER 2011'!C35</f>
        <v>407794.45</v>
      </c>
      <c r="E37" s="1134">
        <f>'Eligibililty Staff LASER-2011'!D35+'Services Staff LASER 2011'!D35+'Other Exp. LASER 2011'!D35</f>
        <v>165005.53</v>
      </c>
      <c r="F37" s="1134">
        <f>'Eligibililty Staff LASER-2011'!E35+'Services Staff LASER 2011'!E35+'Other Exp. LASER 2011'!E35</f>
        <v>221049.27000000002</v>
      </c>
      <c r="G37" s="1134">
        <f>SUM('Benefits Spending Summary'!D37:F37)</f>
        <v>793849.25</v>
      </c>
      <c r="H37" s="1134">
        <f>'Services for Clients LASER 2011'!C36</f>
        <v>90304.24</v>
      </c>
      <c r="I37" s="1134">
        <f>'Services for Clients LASER 2011'!D36</f>
        <v>22078.87</v>
      </c>
      <c r="J37" s="1134">
        <f>'Services for Clients LASER 2011'!E36</f>
        <v>13097.970000000001</v>
      </c>
      <c r="K37" s="1134">
        <f t="shared" si="0"/>
        <v>125481.08</v>
      </c>
      <c r="L37" s="1134">
        <f>'Medicaid &amp; FAMIS - LASER 2011'!D35+'SNAP - LASER 2011'!D35+'SNAP - LASER 2011'!E35+'FC &amp; Adoptions LASER 2011'!C35+'LIHEAP LASER 2011'!D35+'TANF LASER 2011'!C35+'Other Benefits LASER 2011'!C35</f>
        <v>12861157.881305002</v>
      </c>
      <c r="M37" s="1134">
        <f>'Medicaid &amp; FAMIS - LASER 2011'!E35+'SNAP - LASER 2011'!F35+'FC &amp; Adoptions LASER 2011'!D35+'TANF LASER 2011'!D35+'Other Benefits LASER 2011'!D35</f>
        <v>6736062.8286950001</v>
      </c>
      <c r="N37" s="1134">
        <f>'FC &amp; Adoptions LASER 2011'!E35+'TANF LASER 2011'!E35</f>
        <v>65917.649999999994</v>
      </c>
      <c r="O37" s="1134">
        <f t="shared" si="1"/>
        <v>19663138.359999999</v>
      </c>
      <c r="Q37" s="1137">
        <f t="shared" si="2"/>
        <v>0.51369255560800742</v>
      </c>
      <c r="R37" s="1137">
        <f t="shared" si="3"/>
        <v>0.20785499261982046</v>
      </c>
      <c r="S37" s="1137">
        <f t="shared" si="4"/>
        <v>0.27845245177217215</v>
      </c>
      <c r="T37" s="1137">
        <f t="shared" si="5"/>
        <v>0.72154754822782785</v>
      </c>
      <c r="V37" s="1137">
        <f t="shared" si="6"/>
        <v>0.73667155794201722</v>
      </c>
      <c r="W37" s="1137">
        <f t="shared" si="7"/>
        <v>4.3650458405846818E-2</v>
      </c>
      <c r="X37" s="1137">
        <f t="shared" si="8"/>
        <v>0.21967798365213601</v>
      </c>
    </row>
    <row r="38" spans="1:24">
      <c r="A38" s="189" t="s">
        <v>81</v>
      </c>
      <c r="B38" s="190" t="s">
        <v>82</v>
      </c>
      <c r="C38" s="191" t="s">
        <v>275</v>
      </c>
      <c r="D38" s="1134">
        <f>'Eligibililty Staff LASER-2011'!C36+'Services Staff LASER 2011'!C36+'Other Exp. LASER 2011'!C36</f>
        <v>606162.70000000007</v>
      </c>
      <c r="E38" s="1134">
        <f>'Eligibililty Staff LASER-2011'!D36+'Services Staff LASER 2011'!D36+'Other Exp. LASER 2011'!D36</f>
        <v>238813.19</v>
      </c>
      <c r="F38" s="1134">
        <f>'Eligibililty Staff LASER-2011'!E36+'Services Staff LASER 2011'!E36+'Other Exp. LASER 2011'!E36</f>
        <v>749844.92999999993</v>
      </c>
      <c r="G38" s="1134">
        <f>SUM('Benefits Spending Summary'!D38:F38)</f>
        <v>1594820.82</v>
      </c>
      <c r="H38" s="1134">
        <f>'Services for Clients LASER 2011'!C37</f>
        <v>227167.94999999998</v>
      </c>
      <c r="I38" s="1134">
        <f>'Services for Clients LASER 2011'!D37</f>
        <v>54854.15</v>
      </c>
      <c r="J38" s="1134">
        <f>'Services for Clients LASER 2011'!E37</f>
        <v>15577.730000000003</v>
      </c>
      <c r="K38" s="1134">
        <f t="shared" ref="K38:K69" si="9">SUM(H38:J38)</f>
        <v>297599.82999999996</v>
      </c>
      <c r="L38" s="1134">
        <f>'Medicaid &amp; FAMIS - LASER 2011'!D36+'SNAP - LASER 2011'!D36+'SNAP - LASER 2011'!E36+'FC &amp; Adoptions LASER 2011'!C36+'LIHEAP LASER 2011'!D36+'TANF LASER 2011'!C36+'Other Benefits LASER 2011'!C36</f>
        <v>10231728.142689999</v>
      </c>
      <c r="M38" s="1134">
        <f>'Medicaid &amp; FAMIS - LASER 2011'!E36+'SNAP - LASER 2011'!F36+'FC &amp; Adoptions LASER 2011'!D36+'TANF LASER 2011'!D36+'Other Benefits LASER 2011'!D36</f>
        <v>6540086.5873099994</v>
      </c>
      <c r="N38" s="1134">
        <f>'FC &amp; Adoptions LASER 2011'!E36+'TANF LASER 2011'!E36</f>
        <v>629286.92999999993</v>
      </c>
      <c r="O38" s="1134">
        <f t="shared" ref="O38:O69" si="10">SUM(L38:N38)</f>
        <v>17401101.66</v>
      </c>
      <c r="Q38" s="1137">
        <f t="shared" ref="Q38:Q69" si="11">D38/G38</f>
        <v>0.38008200820954924</v>
      </c>
      <c r="R38" s="1137">
        <f t="shared" ref="R38:R69" si="12">E38/G38</f>
        <v>0.14974295983921254</v>
      </c>
      <c r="S38" s="1137">
        <f t="shared" ref="S38:S69" si="13">F38/G38</f>
        <v>0.47017503195123822</v>
      </c>
      <c r="T38" s="1137">
        <f t="shared" si="5"/>
        <v>0.52982496804876178</v>
      </c>
      <c r="V38" s="1137">
        <f t="shared" si="6"/>
        <v>0.53763517177794695</v>
      </c>
      <c r="W38" s="1137">
        <f t="shared" si="7"/>
        <v>1.1169156727458943E-2</v>
      </c>
      <c r="X38" s="1137">
        <f t="shared" si="8"/>
        <v>0.45119567149459411</v>
      </c>
    </row>
    <row r="39" spans="1:24">
      <c r="A39" s="189" t="s">
        <v>85</v>
      </c>
      <c r="B39" s="190" t="s">
        <v>387</v>
      </c>
      <c r="C39" s="191" t="s">
        <v>273</v>
      </c>
      <c r="D39" s="1134">
        <f>'Eligibililty Staff LASER-2011'!C37+'Services Staff LASER 2011'!C37+'Other Exp. LASER 2011'!C37</f>
        <v>1368812.21</v>
      </c>
      <c r="E39" s="1134">
        <f>'Eligibililty Staff LASER-2011'!D37+'Services Staff LASER 2011'!D37+'Other Exp. LASER 2011'!D37</f>
        <v>551703.55000000005</v>
      </c>
      <c r="F39" s="1134">
        <f>'Eligibililty Staff LASER-2011'!E37+'Services Staff LASER 2011'!E37+'Other Exp. LASER 2011'!E37</f>
        <v>1001145.0599999999</v>
      </c>
      <c r="G39" s="1134">
        <f>SUM('Benefits Spending Summary'!D39:F39)</f>
        <v>2921660.82</v>
      </c>
      <c r="H39" s="1134">
        <f>'Services for Clients LASER 2011'!C38</f>
        <v>460538.49</v>
      </c>
      <c r="I39" s="1134">
        <f>'Services for Clients LASER 2011'!D38</f>
        <v>109288.5</v>
      </c>
      <c r="J39" s="1134">
        <f>'Services for Clients LASER 2011'!E38</f>
        <v>63878.090000000004</v>
      </c>
      <c r="K39" s="1134">
        <f t="shared" si="9"/>
        <v>633705.07999999996</v>
      </c>
      <c r="L39" s="1134">
        <f>'Medicaid &amp; FAMIS - LASER 2011'!D37+'SNAP - LASER 2011'!D37+'SNAP - LASER 2011'!E37+'FC &amp; Adoptions LASER 2011'!C37+'LIHEAP LASER 2011'!D37+'TANF LASER 2011'!C37+'Other Benefits LASER 2011'!C37</f>
        <v>44376245.249090999</v>
      </c>
      <c r="M39" s="1134">
        <f>'Medicaid &amp; FAMIS - LASER 2011'!E37+'SNAP - LASER 2011'!F37+'FC &amp; Adoptions LASER 2011'!D37+'TANF LASER 2011'!D37+'Other Benefits LASER 2011'!D37</f>
        <v>24534408.080909003</v>
      </c>
      <c r="N39" s="1134">
        <f>'FC &amp; Adoptions LASER 2011'!E37+'TANF LASER 2011'!E37</f>
        <v>985932.49</v>
      </c>
      <c r="O39" s="1134">
        <f t="shared" si="10"/>
        <v>69896585.819999993</v>
      </c>
      <c r="Q39" s="1137">
        <f t="shared" si="11"/>
        <v>0.46850483144035865</v>
      </c>
      <c r="R39" s="1137">
        <f t="shared" si="12"/>
        <v>0.18883216909483699</v>
      </c>
      <c r="S39" s="1137">
        <f t="shared" si="13"/>
        <v>0.34266299946480439</v>
      </c>
      <c r="T39" s="1137">
        <f t="shared" si="5"/>
        <v>0.65733700053519561</v>
      </c>
      <c r="V39" s="1137">
        <f t="shared" si="6"/>
        <v>0.48813589161782162</v>
      </c>
      <c r="W39" s="1137">
        <f t="shared" si="7"/>
        <v>3.1145524922226015E-2</v>
      </c>
      <c r="X39" s="1137">
        <f t="shared" si="8"/>
        <v>0.48071858345995239</v>
      </c>
    </row>
    <row r="40" spans="1:24">
      <c r="A40" s="189" t="s">
        <v>87</v>
      </c>
      <c r="B40" s="190" t="s">
        <v>88</v>
      </c>
      <c r="C40" s="191" t="s">
        <v>276</v>
      </c>
      <c r="D40" s="1134">
        <f>'Eligibililty Staff LASER-2011'!C38+'Services Staff LASER 2011'!C38+'Other Exp. LASER 2011'!C38</f>
        <v>1522138.0000000002</v>
      </c>
      <c r="E40" s="1134">
        <f>'Eligibililty Staff LASER-2011'!D38+'Services Staff LASER 2011'!D38+'Other Exp. LASER 2011'!D38</f>
        <v>480319.27999999997</v>
      </c>
      <c r="F40" s="1134">
        <f>'Eligibililty Staff LASER-2011'!E38+'Services Staff LASER 2011'!E38+'Other Exp. LASER 2011'!E38</f>
        <v>1833736.78</v>
      </c>
      <c r="G40" s="1134">
        <f>SUM('Benefits Spending Summary'!D40:F40)</f>
        <v>3836194.0600000005</v>
      </c>
      <c r="H40" s="1134">
        <f>'Services for Clients LASER 2011'!C39</f>
        <v>605656.08000000007</v>
      </c>
      <c r="I40" s="1134">
        <f>'Services for Clients LASER 2011'!D39</f>
        <v>211539.75999999998</v>
      </c>
      <c r="J40" s="1134">
        <f>'Services for Clients LASER 2011'!E39</f>
        <v>89257.040000000008</v>
      </c>
      <c r="K40" s="1134">
        <f t="shared" si="9"/>
        <v>906452.88000000012</v>
      </c>
      <c r="L40" s="1134">
        <f>'Medicaid &amp; FAMIS - LASER 2011'!D38+'SNAP - LASER 2011'!D38+'SNAP - LASER 2011'!E38+'FC &amp; Adoptions LASER 2011'!C38+'LIHEAP LASER 2011'!D38+'TANF LASER 2011'!C38+'Other Benefits LASER 2011'!C38</f>
        <v>37843271.115132004</v>
      </c>
      <c r="M40" s="1134">
        <f>'Medicaid &amp; FAMIS - LASER 2011'!E38+'SNAP - LASER 2011'!F38+'FC &amp; Adoptions LASER 2011'!D38+'TANF LASER 2011'!D38+'Other Benefits LASER 2011'!D38</f>
        <v>19578426.584867999</v>
      </c>
      <c r="N40" s="1134">
        <f>'FC &amp; Adoptions LASER 2011'!E38+'TANF LASER 2011'!E38</f>
        <v>918337.70000000007</v>
      </c>
      <c r="O40" s="1134">
        <f t="shared" si="10"/>
        <v>58340035.400000006</v>
      </c>
      <c r="Q40" s="1137">
        <f t="shared" si="11"/>
        <v>0.39678336814900339</v>
      </c>
      <c r="R40" s="1137">
        <f t="shared" si="12"/>
        <v>0.12520724251369075</v>
      </c>
      <c r="S40" s="1137">
        <f t="shared" si="13"/>
        <v>0.4780093893373058</v>
      </c>
      <c r="T40" s="1137">
        <f t="shared" si="5"/>
        <v>0.52199061066269414</v>
      </c>
      <c r="V40" s="1137">
        <f t="shared" si="6"/>
        <v>0.64537938184700105</v>
      </c>
      <c r="W40" s="1137">
        <f t="shared" si="7"/>
        <v>3.141380700271118E-2</v>
      </c>
      <c r="X40" s="1137">
        <f t="shared" si="8"/>
        <v>0.32320681115028776</v>
      </c>
    </row>
    <row r="41" spans="1:24">
      <c r="A41" s="189" t="s">
        <v>93</v>
      </c>
      <c r="B41" s="190" t="s">
        <v>94</v>
      </c>
      <c r="C41" s="191" t="s">
        <v>278</v>
      </c>
      <c r="D41" s="1134">
        <f>'Eligibililty Staff LASER-2011'!C39+'Services Staff LASER 2011'!C39+'Other Exp. LASER 2011'!C39</f>
        <v>661517.43999999994</v>
      </c>
      <c r="E41" s="1134">
        <f>'Eligibililty Staff LASER-2011'!D39+'Services Staff LASER 2011'!D39+'Other Exp. LASER 2011'!D39</f>
        <v>301179.83</v>
      </c>
      <c r="F41" s="1134">
        <f>'Eligibililty Staff LASER-2011'!E39+'Services Staff LASER 2011'!E39+'Other Exp. LASER 2011'!E39</f>
        <v>268081.57</v>
      </c>
      <c r="G41" s="1134">
        <f>SUM('Benefits Spending Summary'!D41:F41)</f>
        <v>1230778.8400000001</v>
      </c>
      <c r="H41" s="1134">
        <f>'Services for Clients LASER 2011'!C40</f>
        <v>145148.18000000002</v>
      </c>
      <c r="I41" s="1134">
        <f>'Services for Clients LASER 2011'!D40</f>
        <v>34917.859999999993</v>
      </c>
      <c r="J41" s="1134">
        <f>'Services for Clients LASER 2011'!E40</f>
        <v>15321.25</v>
      </c>
      <c r="K41" s="1134">
        <f t="shared" si="9"/>
        <v>195387.29</v>
      </c>
      <c r="L41" s="1134">
        <f>'Medicaid &amp; FAMIS - LASER 2011'!D39+'SNAP - LASER 2011'!D39+'SNAP - LASER 2011'!E39+'FC &amp; Adoptions LASER 2011'!C39+'LIHEAP LASER 2011'!D39+'TANF LASER 2011'!C39+'Other Benefits LASER 2011'!C39</f>
        <v>16420528.052232001</v>
      </c>
      <c r="M41" s="1134">
        <f>'Medicaid &amp; FAMIS - LASER 2011'!E39+'SNAP - LASER 2011'!F39+'FC &amp; Adoptions LASER 2011'!D39+'TANF LASER 2011'!D39+'Other Benefits LASER 2011'!D39</f>
        <v>9486328.2677680012</v>
      </c>
      <c r="N41" s="1134">
        <f>'FC &amp; Adoptions LASER 2011'!E39+'TANF LASER 2011'!E39</f>
        <v>326070.41000000003</v>
      </c>
      <c r="O41" s="1134">
        <f t="shared" si="10"/>
        <v>26232926.73</v>
      </c>
      <c r="Q41" s="1137">
        <f t="shared" si="11"/>
        <v>0.53747872363486515</v>
      </c>
      <c r="R41" s="1137">
        <f t="shared" si="12"/>
        <v>0.24470670132742939</v>
      </c>
      <c r="S41" s="1137">
        <f t="shared" si="13"/>
        <v>0.21781457503770538</v>
      </c>
      <c r="T41" s="1137">
        <f t="shared" si="5"/>
        <v>0.7821854249622946</v>
      </c>
      <c r="V41" s="1137">
        <f t="shared" si="6"/>
        <v>0.4398578260771191</v>
      </c>
      <c r="W41" s="1137">
        <f t="shared" si="7"/>
        <v>2.5138511826023925E-2</v>
      </c>
      <c r="X41" s="1137">
        <f t="shared" si="8"/>
        <v>0.53500366209685701</v>
      </c>
    </row>
    <row r="42" spans="1:24">
      <c r="A42" s="189" t="s">
        <v>95</v>
      </c>
      <c r="B42" s="190" t="s">
        <v>96</v>
      </c>
      <c r="C42" s="191" t="s">
        <v>272</v>
      </c>
      <c r="D42" s="1134">
        <f>'Eligibililty Staff LASER-2011'!C40+'Services Staff LASER 2011'!C40+'Other Exp. LASER 2011'!C40</f>
        <v>957632.58000000007</v>
      </c>
      <c r="E42" s="1134">
        <f>'Eligibililty Staff LASER-2011'!D40+'Services Staff LASER 2011'!D40+'Other Exp. LASER 2011'!D40</f>
        <v>416190.44</v>
      </c>
      <c r="F42" s="1134">
        <f>'Eligibililty Staff LASER-2011'!E40+'Services Staff LASER 2011'!E40+'Other Exp. LASER 2011'!E40</f>
        <v>598514.97000000009</v>
      </c>
      <c r="G42" s="1134">
        <f>SUM('Benefits Spending Summary'!D42:F42)</f>
        <v>1972337.9900000002</v>
      </c>
      <c r="H42" s="1134">
        <f>'Services for Clients LASER 2011'!C41</f>
        <v>237372.39000000004</v>
      </c>
      <c r="I42" s="1134">
        <f>'Services for Clients LASER 2011'!D41</f>
        <v>66776.740000000005</v>
      </c>
      <c r="J42" s="1134">
        <f>'Services for Clients LASER 2011'!E41</f>
        <v>19905.920000000002</v>
      </c>
      <c r="K42" s="1134">
        <f t="shared" si="9"/>
        <v>324055.05000000005</v>
      </c>
      <c r="L42" s="1134">
        <f>'Medicaid &amp; FAMIS - LASER 2011'!D40+'SNAP - LASER 2011'!D40+'SNAP - LASER 2011'!E40+'FC &amp; Adoptions LASER 2011'!C40+'LIHEAP LASER 2011'!D40+'TANF LASER 2011'!C40+'Other Benefits LASER 2011'!C40</f>
        <v>22708502.533763994</v>
      </c>
      <c r="M42" s="1134">
        <f>'Medicaid &amp; FAMIS - LASER 2011'!E40+'SNAP - LASER 2011'!F40+'FC &amp; Adoptions LASER 2011'!D40+'TANF LASER 2011'!D40+'Other Benefits LASER 2011'!D40</f>
        <v>11495042.906236</v>
      </c>
      <c r="N42" s="1134">
        <f>'FC &amp; Adoptions LASER 2011'!E40+'TANF LASER 2011'!E40</f>
        <v>394449.83</v>
      </c>
      <c r="O42" s="1134">
        <f t="shared" si="10"/>
        <v>34597995.269999996</v>
      </c>
      <c r="Q42" s="1137">
        <f t="shared" si="11"/>
        <v>0.48553168110907807</v>
      </c>
      <c r="R42" s="1137">
        <f t="shared" si="12"/>
        <v>0.21101375226261293</v>
      </c>
      <c r="S42" s="1137">
        <f t="shared" si="13"/>
        <v>0.303454566628309</v>
      </c>
      <c r="T42" s="1137">
        <f t="shared" si="5"/>
        <v>0.69654543337169095</v>
      </c>
      <c r="V42" s="1137">
        <f t="shared" si="6"/>
        <v>0.59090953878102026</v>
      </c>
      <c r="W42" s="1137">
        <f t="shared" si="7"/>
        <v>1.9652972098946644E-2</v>
      </c>
      <c r="X42" s="1137">
        <f t="shared" si="8"/>
        <v>0.38943748912003295</v>
      </c>
    </row>
    <row r="43" spans="1:24">
      <c r="A43" s="189" t="s">
        <v>97</v>
      </c>
      <c r="B43" s="190" t="s">
        <v>98</v>
      </c>
      <c r="C43" s="191" t="s">
        <v>275</v>
      </c>
      <c r="D43" s="1134">
        <f>'Eligibililty Staff LASER-2011'!C41+'Services Staff LASER 2011'!C41+'Other Exp. LASER 2011'!C41</f>
        <v>550281.71000000008</v>
      </c>
      <c r="E43" s="1134">
        <f>'Eligibililty Staff LASER-2011'!D41+'Services Staff LASER 2011'!D41+'Other Exp. LASER 2011'!D41</f>
        <v>240786.12000000002</v>
      </c>
      <c r="F43" s="1134">
        <f>'Eligibililty Staff LASER-2011'!E41+'Services Staff LASER 2011'!E41+'Other Exp. LASER 2011'!E41</f>
        <v>555009.26</v>
      </c>
      <c r="G43" s="1134">
        <f>SUM('Benefits Spending Summary'!D43:F43)</f>
        <v>1346077.09</v>
      </c>
      <c r="H43" s="1134">
        <f>'Services for Clients LASER 2011'!C42</f>
        <v>164120.08000000002</v>
      </c>
      <c r="I43" s="1134">
        <f>'Services for Clients LASER 2011'!D42</f>
        <v>21256.41</v>
      </c>
      <c r="J43" s="1134">
        <f>'Services for Clients LASER 2011'!E42</f>
        <v>96869.7</v>
      </c>
      <c r="K43" s="1134">
        <f t="shared" si="9"/>
        <v>282246.19</v>
      </c>
      <c r="L43" s="1134">
        <f>'Medicaid &amp; FAMIS - LASER 2011'!D41+'SNAP - LASER 2011'!D41+'SNAP - LASER 2011'!E41+'FC &amp; Adoptions LASER 2011'!C41+'LIHEAP LASER 2011'!D41+'TANF LASER 2011'!C41+'Other Benefits LASER 2011'!C41</f>
        <v>7797109.5866169985</v>
      </c>
      <c r="M43" s="1134">
        <f>'Medicaid &amp; FAMIS - LASER 2011'!E41+'SNAP - LASER 2011'!F41+'FC &amp; Adoptions LASER 2011'!D41+'TANF LASER 2011'!D41+'Other Benefits LASER 2011'!D41</f>
        <v>4500927.6833830001</v>
      </c>
      <c r="N43" s="1134">
        <f>'FC &amp; Adoptions LASER 2011'!E41+'TANF LASER 2011'!E41</f>
        <v>455140.33999999997</v>
      </c>
      <c r="O43" s="1134">
        <f t="shared" si="10"/>
        <v>12753177.609999999</v>
      </c>
      <c r="Q43" s="1137">
        <f t="shared" si="11"/>
        <v>0.40880400839449699</v>
      </c>
      <c r="R43" s="1137">
        <f t="shared" si="12"/>
        <v>0.17887988866967494</v>
      </c>
      <c r="S43" s="1137">
        <f t="shared" si="13"/>
        <v>0.4123161029358281</v>
      </c>
      <c r="T43" s="1137">
        <f t="shared" si="5"/>
        <v>0.5876838970641719</v>
      </c>
      <c r="V43" s="1137">
        <f t="shared" si="6"/>
        <v>0.50135463762917243</v>
      </c>
      <c r="W43" s="1137">
        <f t="shared" si="7"/>
        <v>8.7504978458821825E-2</v>
      </c>
      <c r="X43" s="1137">
        <f t="shared" si="8"/>
        <v>0.41114038391200591</v>
      </c>
    </row>
    <row r="44" spans="1:24">
      <c r="A44" s="189" t="s">
        <v>99</v>
      </c>
      <c r="B44" s="190" t="s">
        <v>100</v>
      </c>
      <c r="C44" s="191" t="s">
        <v>278</v>
      </c>
      <c r="D44" s="1134">
        <f>'Eligibililty Staff LASER-2011'!C42+'Services Staff LASER 2011'!C42+'Other Exp. LASER 2011'!C42</f>
        <v>617684.17000000004</v>
      </c>
      <c r="E44" s="1134">
        <f>'Eligibililty Staff LASER-2011'!D42+'Services Staff LASER 2011'!D42+'Other Exp. LASER 2011'!D42</f>
        <v>311906.49</v>
      </c>
      <c r="F44" s="1134">
        <f>'Eligibililty Staff LASER-2011'!E42+'Services Staff LASER 2011'!E42+'Other Exp. LASER 2011'!E42</f>
        <v>209461.04</v>
      </c>
      <c r="G44" s="1134">
        <f>SUM('Benefits Spending Summary'!D44:F44)</f>
        <v>1139051.7</v>
      </c>
      <c r="H44" s="1134">
        <f>'Services for Clients LASER 2011'!C43</f>
        <v>123339.94</v>
      </c>
      <c r="I44" s="1134">
        <f>'Services for Clients LASER 2011'!D43</f>
        <v>24209.66</v>
      </c>
      <c r="J44" s="1134">
        <f>'Services for Clients LASER 2011'!E43</f>
        <v>16317.939999999999</v>
      </c>
      <c r="K44" s="1134">
        <f t="shared" si="9"/>
        <v>163867.54</v>
      </c>
      <c r="L44" s="1134">
        <f>'Medicaid &amp; FAMIS - LASER 2011'!D42+'SNAP - LASER 2011'!D42+'SNAP - LASER 2011'!E42+'FC &amp; Adoptions LASER 2011'!C42+'LIHEAP LASER 2011'!D42+'TANF LASER 2011'!C42+'Other Benefits LASER 2011'!C42</f>
        <v>15259365.702114997</v>
      </c>
      <c r="M44" s="1134">
        <f>'Medicaid &amp; FAMIS - LASER 2011'!E42+'SNAP - LASER 2011'!F42+'FC &amp; Adoptions LASER 2011'!D42+'TANF LASER 2011'!D42+'Other Benefits LASER 2011'!D42</f>
        <v>7745335.8178849993</v>
      </c>
      <c r="N44" s="1134">
        <f>'FC &amp; Adoptions LASER 2011'!E42+'TANF LASER 2011'!E42</f>
        <v>103651.86</v>
      </c>
      <c r="O44" s="1134">
        <f t="shared" si="10"/>
        <v>23108353.379999995</v>
      </c>
      <c r="Q44" s="1137">
        <f t="shared" si="11"/>
        <v>0.54227931006116759</v>
      </c>
      <c r="R44" s="1137">
        <f t="shared" si="12"/>
        <v>0.27382996750718164</v>
      </c>
      <c r="S44" s="1137">
        <f t="shared" si="13"/>
        <v>0.18389072243165083</v>
      </c>
      <c r="T44" s="1137">
        <f t="shared" si="5"/>
        <v>0.81610927756834928</v>
      </c>
      <c r="V44" s="1137">
        <f t="shared" si="6"/>
        <v>0.63582705250060978</v>
      </c>
      <c r="W44" s="1137">
        <f t="shared" si="7"/>
        <v>4.9533735214347258E-2</v>
      </c>
      <c r="X44" s="1137">
        <f t="shared" si="8"/>
        <v>0.31463921228504288</v>
      </c>
    </row>
    <row r="45" spans="1:24">
      <c r="A45" s="189" t="s">
        <v>101</v>
      </c>
      <c r="B45" s="190" t="s">
        <v>102</v>
      </c>
      <c r="C45" s="191" t="s">
        <v>276</v>
      </c>
      <c r="D45" s="1134">
        <f>'Eligibililty Staff LASER-2011'!C43+'Services Staff LASER 2011'!C43+'Other Exp. LASER 2011'!C43</f>
        <v>466607.56</v>
      </c>
      <c r="E45" s="1134">
        <f>'Eligibililty Staff LASER-2011'!D43+'Services Staff LASER 2011'!D43+'Other Exp. LASER 2011'!D43</f>
        <v>186867.43</v>
      </c>
      <c r="F45" s="1134">
        <f>'Eligibililty Staff LASER-2011'!E43+'Services Staff LASER 2011'!E43+'Other Exp. LASER 2011'!E43</f>
        <v>381089.91</v>
      </c>
      <c r="G45" s="1134">
        <f>SUM('Benefits Spending Summary'!D45:F45)</f>
        <v>1034564.8999999999</v>
      </c>
      <c r="H45" s="1134">
        <f>'Services for Clients LASER 2011'!C44</f>
        <v>154824.41</v>
      </c>
      <c r="I45" s="1134">
        <f>'Services for Clients LASER 2011'!D44</f>
        <v>65377.67</v>
      </c>
      <c r="J45" s="1134">
        <f>'Services for Clients LASER 2011'!E44</f>
        <v>14983.9</v>
      </c>
      <c r="K45" s="1134">
        <f t="shared" si="9"/>
        <v>235185.98</v>
      </c>
      <c r="L45" s="1134">
        <f>'Medicaid &amp; FAMIS - LASER 2011'!D43+'SNAP - LASER 2011'!D43+'SNAP - LASER 2011'!E43+'FC &amp; Adoptions LASER 2011'!C43+'LIHEAP LASER 2011'!D43+'TANF LASER 2011'!C43+'Other Benefits LASER 2011'!C43</f>
        <v>10809670.810020998</v>
      </c>
      <c r="M45" s="1134">
        <f>'Medicaid &amp; FAMIS - LASER 2011'!E43+'SNAP - LASER 2011'!F43+'FC &amp; Adoptions LASER 2011'!D43+'TANF LASER 2011'!D43+'Other Benefits LASER 2011'!D43</f>
        <v>6136187.1799789993</v>
      </c>
      <c r="N45" s="1134">
        <f>'FC &amp; Adoptions LASER 2011'!E43+'TANF LASER 2011'!E43</f>
        <v>491715.75</v>
      </c>
      <c r="O45" s="1134">
        <f t="shared" si="10"/>
        <v>17437573.739999998</v>
      </c>
      <c r="Q45" s="1137">
        <f t="shared" si="11"/>
        <v>0.45101816232118452</v>
      </c>
      <c r="R45" s="1137">
        <f t="shared" si="12"/>
        <v>0.18062417350520979</v>
      </c>
      <c r="S45" s="1137">
        <f t="shared" si="13"/>
        <v>0.36835766417360577</v>
      </c>
      <c r="T45" s="1137">
        <f t="shared" si="5"/>
        <v>0.63164233582639429</v>
      </c>
      <c r="V45" s="1137">
        <f t="shared" si="6"/>
        <v>0.42925703023585898</v>
      </c>
      <c r="W45" s="1137">
        <f t="shared" si="7"/>
        <v>1.687776098651126E-2</v>
      </c>
      <c r="X45" s="1137">
        <f t="shared" si="8"/>
        <v>0.55386520877762968</v>
      </c>
    </row>
    <row r="46" spans="1:24">
      <c r="A46" s="189" t="s">
        <v>103</v>
      </c>
      <c r="B46" s="190" t="s">
        <v>329</v>
      </c>
      <c r="C46" s="191" t="s">
        <v>272</v>
      </c>
      <c r="D46" s="1134">
        <f>'Eligibililty Staff LASER-2011'!C44+'Services Staff LASER 2011'!C44+'Other Exp. LASER 2011'!C44</f>
        <v>1022374.6299999999</v>
      </c>
      <c r="E46" s="1134">
        <f>'Eligibililty Staff LASER-2011'!D44+'Services Staff LASER 2011'!D44+'Other Exp. LASER 2011'!D44</f>
        <v>500234.76</v>
      </c>
      <c r="F46" s="1134">
        <f>'Eligibililty Staff LASER-2011'!E44+'Services Staff LASER 2011'!E44+'Other Exp. LASER 2011'!E44</f>
        <v>397515.41000000003</v>
      </c>
      <c r="G46" s="1134">
        <f>SUM('Benefits Spending Summary'!D46:F46)</f>
        <v>1920124.7999999998</v>
      </c>
      <c r="H46" s="1134">
        <f>'Services for Clients LASER 2011'!C45</f>
        <v>342856.53</v>
      </c>
      <c r="I46" s="1134">
        <f>'Services for Clients LASER 2011'!D45</f>
        <v>53075.100000000006</v>
      </c>
      <c r="J46" s="1134">
        <f>'Services for Clients LASER 2011'!E45</f>
        <v>20162.729999999996</v>
      </c>
      <c r="K46" s="1134">
        <f t="shared" si="9"/>
        <v>416094.36</v>
      </c>
      <c r="L46" s="1134">
        <f>'Medicaid &amp; FAMIS - LASER 2011'!D44+'SNAP - LASER 2011'!D44+'SNAP - LASER 2011'!E44+'FC &amp; Adoptions LASER 2011'!C44+'LIHEAP LASER 2011'!D44+'TANF LASER 2011'!C44+'Other Benefits LASER 2011'!C44</f>
        <v>22721852.777188998</v>
      </c>
      <c r="M46" s="1134">
        <f>'Medicaid &amp; FAMIS - LASER 2011'!E44+'SNAP - LASER 2011'!F44+'FC &amp; Adoptions LASER 2011'!D44+'TANF LASER 2011'!D44+'Other Benefits LASER 2011'!D44</f>
        <v>11749563.502811</v>
      </c>
      <c r="N46" s="1134">
        <f>'FC &amp; Adoptions LASER 2011'!E44+'TANF LASER 2011'!E44</f>
        <v>142856.71</v>
      </c>
      <c r="O46" s="1134">
        <f t="shared" si="10"/>
        <v>34614272.990000002</v>
      </c>
      <c r="Q46" s="1137">
        <f t="shared" si="11"/>
        <v>0.53245217706682402</v>
      </c>
      <c r="R46" s="1137">
        <f t="shared" si="12"/>
        <v>0.26052200356976801</v>
      </c>
      <c r="S46" s="1137">
        <f t="shared" si="13"/>
        <v>0.20702581936340808</v>
      </c>
      <c r="T46" s="1137">
        <f t="shared" si="5"/>
        <v>0.79297418063659197</v>
      </c>
      <c r="V46" s="1137">
        <f t="shared" si="6"/>
        <v>0.70917162420855728</v>
      </c>
      <c r="W46" s="1137">
        <f t="shared" si="7"/>
        <v>3.5970519941802004E-2</v>
      </c>
      <c r="X46" s="1137">
        <f t="shared" si="8"/>
        <v>0.25485785584964077</v>
      </c>
    </row>
    <row r="47" spans="1:24">
      <c r="A47" s="189" t="s">
        <v>105</v>
      </c>
      <c r="B47" s="190" t="s">
        <v>871</v>
      </c>
      <c r="C47" s="191" t="s">
        <v>273</v>
      </c>
      <c r="D47" s="1134">
        <f>'Eligibililty Staff LASER-2011'!C45+'Services Staff LASER 2011'!C45+'Other Exp. LASER 2011'!C45</f>
        <v>1778135.48</v>
      </c>
      <c r="E47" s="1134">
        <f>'Eligibililty Staff LASER-2011'!D45+'Services Staff LASER 2011'!D45+'Other Exp. LASER 2011'!D45</f>
        <v>757012.84000000008</v>
      </c>
      <c r="F47" s="1134">
        <f>'Eligibililty Staff LASER-2011'!E45+'Services Staff LASER 2011'!E45+'Other Exp. LASER 2011'!E45</f>
        <v>956313.06</v>
      </c>
      <c r="G47" s="1134">
        <f>SUM('Benefits Spending Summary'!D47:F47)</f>
        <v>3491461.3800000004</v>
      </c>
      <c r="H47" s="1134">
        <f>'Services for Clients LASER 2011'!C46</f>
        <v>271210.45</v>
      </c>
      <c r="I47" s="1134">
        <f>'Services for Clients LASER 2011'!D46</f>
        <v>52296.959999999999</v>
      </c>
      <c r="J47" s="1134">
        <f>'Services for Clients LASER 2011'!E46</f>
        <v>46067.35</v>
      </c>
      <c r="K47" s="1134">
        <f t="shared" si="9"/>
        <v>369574.76</v>
      </c>
      <c r="L47" s="1134">
        <f>'Medicaid &amp; FAMIS - LASER 2011'!D45+'SNAP - LASER 2011'!D45+'SNAP - LASER 2011'!E45+'FC &amp; Adoptions LASER 2011'!C45+'LIHEAP LASER 2011'!D45+'TANF LASER 2011'!C45+'Other Benefits LASER 2011'!C45</f>
        <v>40898897.121163003</v>
      </c>
      <c r="M47" s="1134">
        <f>'Medicaid &amp; FAMIS - LASER 2011'!E45+'SNAP - LASER 2011'!F45+'FC &amp; Adoptions LASER 2011'!D45+'TANF LASER 2011'!D45+'Other Benefits LASER 2011'!D45</f>
        <v>22303682.958837003</v>
      </c>
      <c r="N47" s="1134">
        <f>'FC &amp; Adoptions LASER 2011'!E45+'TANF LASER 2011'!E45</f>
        <v>680592.29</v>
      </c>
      <c r="O47" s="1134">
        <f t="shared" si="10"/>
        <v>63883172.370000005</v>
      </c>
      <c r="Q47" s="1137">
        <f t="shared" si="11"/>
        <v>0.50928115378437888</v>
      </c>
      <c r="R47" s="1137">
        <f t="shared" si="12"/>
        <v>0.21681833410398485</v>
      </c>
      <c r="S47" s="1137">
        <f t="shared" si="13"/>
        <v>0.27390051211163619</v>
      </c>
      <c r="T47" s="1137">
        <f t="shared" si="5"/>
        <v>0.72609948788836387</v>
      </c>
      <c r="V47" s="1137">
        <f t="shared" si="6"/>
        <v>0.56822850424133442</v>
      </c>
      <c r="W47" s="1137">
        <f t="shared" si="7"/>
        <v>2.7372606816497971E-2</v>
      </c>
      <c r="X47" s="1137">
        <f t="shared" si="8"/>
        <v>0.40439888894216763</v>
      </c>
    </row>
    <row r="48" spans="1:24">
      <c r="A48" s="189" t="s">
        <v>109</v>
      </c>
      <c r="B48" s="190" t="s">
        <v>110</v>
      </c>
      <c r="C48" s="191" t="s">
        <v>275</v>
      </c>
      <c r="D48" s="1134">
        <f>'Eligibililty Staff LASER-2011'!C46+'Services Staff LASER 2011'!C46+'Other Exp. LASER 2011'!C46</f>
        <v>1646925.4799999997</v>
      </c>
      <c r="E48" s="1134">
        <f>'Eligibililty Staff LASER-2011'!D46+'Services Staff LASER 2011'!D46+'Other Exp. LASER 2011'!D46</f>
        <v>460883.25</v>
      </c>
      <c r="F48" s="1134">
        <f>'Eligibililty Staff LASER-2011'!E46+'Services Staff LASER 2011'!E46+'Other Exp. LASER 2011'!E46</f>
        <v>1658195.0600000003</v>
      </c>
      <c r="G48" s="1134">
        <f>SUM('Benefits Spending Summary'!D48:F48)</f>
        <v>3766003.79</v>
      </c>
      <c r="H48" s="1134">
        <f>'Services for Clients LASER 2011'!C47</f>
        <v>789397.35000000009</v>
      </c>
      <c r="I48" s="1134">
        <f>'Services for Clients LASER 2011'!D47</f>
        <v>223644.62999999998</v>
      </c>
      <c r="J48" s="1134">
        <f>'Services for Clients LASER 2011'!E47</f>
        <v>61929.64</v>
      </c>
      <c r="K48" s="1134">
        <f t="shared" si="9"/>
        <v>1074971.6200000001</v>
      </c>
      <c r="L48" s="1134">
        <f>'Medicaid &amp; FAMIS - LASER 2011'!D46+'SNAP - LASER 2011'!D46+'SNAP - LASER 2011'!E46+'FC &amp; Adoptions LASER 2011'!C46+'LIHEAP LASER 2011'!D46+'TANF LASER 2011'!C46+'Other Benefits LASER 2011'!C46</f>
        <v>35238949.636739992</v>
      </c>
      <c r="M48" s="1134">
        <f>'Medicaid &amp; FAMIS - LASER 2011'!E46+'SNAP - LASER 2011'!F46+'FC &amp; Adoptions LASER 2011'!D46+'TANF LASER 2011'!D46+'Other Benefits LASER 2011'!D46</f>
        <v>20860981.453259997</v>
      </c>
      <c r="N48" s="1134">
        <f>'FC &amp; Adoptions LASER 2011'!E46+'TANF LASER 2011'!E46</f>
        <v>2178249.3199999998</v>
      </c>
      <c r="O48" s="1134">
        <f t="shared" si="10"/>
        <v>58278180.409999989</v>
      </c>
      <c r="Q48" s="1137">
        <f t="shared" si="11"/>
        <v>0.43731381374950762</v>
      </c>
      <c r="R48" s="1137">
        <f t="shared" si="12"/>
        <v>0.12237992198090698</v>
      </c>
      <c r="S48" s="1137">
        <f t="shared" si="13"/>
        <v>0.44030626426958541</v>
      </c>
      <c r="T48" s="1137">
        <f t="shared" si="5"/>
        <v>0.55969373573041448</v>
      </c>
      <c r="V48" s="1137">
        <f t="shared" si="6"/>
        <v>0.42535555887990456</v>
      </c>
      <c r="W48" s="1137">
        <f t="shared" si="7"/>
        <v>1.5886018037848507E-2</v>
      </c>
      <c r="X48" s="1137">
        <f t="shared" si="8"/>
        <v>0.55875842308224699</v>
      </c>
    </row>
    <row r="49" spans="1:24">
      <c r="A49" s="189" t="s">
        <v>111</v>
      </c>
      <c r="B49" s="190" t="s">
        <v>112</v>
      </c>
      <c r="C49" s="191" t="s">
        <v>275</v>
      </c>
      <c r="D49" s="1134">
        <f>'Eligibililty Staff LASER-2011'!C47+'Services Staff LASER 2011'!C47+'Other Exp. LASER 2011'!C47</f>
        <v>5790630.6599999992</v>
      </c>
      <c r="E49" s="1134">
        <f>'Eligibililty Staff LASER-2011'!D47+'Services Staff LASER 2011'!D47+'Other Exp. LASER 2011'!D47</f>
        <v>2141076.5700000003</v>
      </c>
      <c r="F49" s="1134">
        <f>'Eligibililty Staff LASER-2011'!E47+'Services Staff LASER 2011'!E47+'Other Exp. LASER 2011'!E47</f>
        <v>4984615.3999999994</v>
      </c>
      <c r="G49" s="1134">
        <f>SUM('Benefits Spending Summary'!D49:F49)</f>
        <v>12916322.629999999</v>
      </c>
      <c r="H49" s="1134">
        <f>'Services for Clients LASER 2011'!C48</f>
        <v>5188472.4500000011</v>
      </c>
      <c r="I49" s="1134">
        <f>'Services for Clients LASER 2011'!D48</f>
        <v>2603886.89</v>
      </c>
      <c r="J49" s="1134">
        <f>'Services for Clients LASER 2011'!E48</f>
        <v>547700.41999999993</v>
      </c>
      <c r="K49" s="1134">
        <f t="shared" si="9"/>
        <v>8340059.7600000016</v>
      </c>
      <c r="L49" s="1134">
        <f>'Medicaid &amp; FAMIS - LASER 2011'!D47+'SNAP - LASER 2011'!D47+'SNAP - LASER 2011'!E47+'FC &amp; Adoptions LASER 2011'!C47+'LIHEAP LASER 2011'!D47+'TANF LASER 2011'!C47+'Other Benefits LASER 2011'!C47</f>
        <v>179644354.444969</v>
      </c>
      <c r="M49" s="1134">
        <f>'Medicaid &amp; FAMIS - LASER 2011'!E47+'SNAP - LASER 2011'!F47+'FC &amp; Adoptions LASER 2011'!D47+'TANF LASER 2011'!D47+'Other Benefits LASER 2011'!D47</f>
        <v>90538620.385030985</v>
      </c>
      <c r="N49" s="1134">
        <f>'FC &amp; Adoptions LASER 2011'!E47+'TANF LASER 2011'!E47</f>
        <v>2040633.88</v>
      </c>
      <c r="O49" s="1134">
        <f t="shared" si="10"/>
        <v>272223608.70999998</v>
      </c>
      <c r="Q49" s="1137">
        <f t="shared" si="11"/>
        <v>0.44831883082189622</v>
      </c>
      <c r="R49" s="1137">
        <f t="shared" si="12"/>
        <v>0.16576518188133865</v>
      </c>
      <c r="S49" s="1137">
        <f t="shared" si="13"/>
        <v>0.38591598729676513</v>
      </c>
      <c r="T49" s="1137">
        <f t="shared" si="5"/>
        <v>0.61408401270323487</v>
      </c>
      <c r="V49" s="1137">
        <f t="shared" si="6"/>
        <v>0.65821319267444756</v>
      </c>
      <c r="W49" s="1137">
        <f t="shared" si="7"/>
        <v>7.2323261304640646E-2</v>
      </c>
      <c r="X49" s="1137">
        <f t="shared" si="8"/>
        <v>0.26946354602091177</v>
      </c>
    </row>
    <row r="50" spans="1:24">
      <c r="A50" s="189" t="s">
        <v>113</v>
      </c>
      <c r="B50" s="190" t="s">
        <v>367</v>
      </c>
      <c r="C50" s="191" t="s">
        <v>273</v>
      </c>
      <c r="D50" s="1134">
        <f>'Eligibililty Staff LASER-2011'!C48+'Services Staff LASER 2011'!C48+'Other Exp. LASER 2011'!C48</f>
        <v>2300008.34</v>
      </c>
      <c r="E50" s="1134">
        <f>'Eligibililty Staff LASER-2011'!D48+'Services Staff LASER 2011'!D48+'Other Exp. LASER 2011'!D48</f>
        <v>1234279.8400000001</v>
      </c>
      <c r="F50" s="1134">
        <f>'Eligibililty Staff LASER-2011'!E48+'Services Staff LASER 2011'!E48+'Other Exp. LASER 2011'!E48</f>
        <v>745874.74</v>
      </c>
      <c r="G50" s="1134">
        <f>SUM('Benefits Spending Summary'!D50:F50)</f>
        <v>4280162.92</v>
      </c>
      <c r="H50" s="1134">
        <f>'Services for Clients LASER 2011'!C49</f>
        <v>646196.34</v>
      </c>
      <c r="I50" s="1134">
        <f>'Services for Clients LASER 2011'!D49</f>
        <v>217946.81</v>
      </c>
      <c r="J50" s="1134">
        <f>'Services for Clients LASER 2011'!E49</f>
        <v>64723.549999999996</v>
      </c>
      <c r="K50" s="1134">
        <f t="shared" si="9"/>
        <v>928866.7</v>
      </c>
      <c r="L50" s="1134">
        <f>'Medicaid &amp; FAMIS - LASER 2011'!D48+'SNAP - LASER 2011'!D48+'SNAP - LASER 2011'!E48+'FC &amp; Adoptions LASER 2011'!C48+'LIHEAP LASER 2011'!D48+'TANF LASER 2011'!C48+'Other Benefits LASER 2011'!C48</f>
        <v>81925047.811205998</v>
      </c>
      <c r="M50" s="1134">
        <f>'Medicaid &amp; FAMIS - LASER 2011'!E48+'SNAP - LASER 2011'!F48+'FC &amp; Adoptions LASER 2011'!D48+'TANF LASER 2011'!D48+'Other Benefits LASER 2011'!D48</f>
        <v>38505683.948793992</v>
      </c>
      <c r="N50" s="1134">
        <f>'FC &amp; Adoptions LASER 2011'!E48+'TANF LASER 2011'!E48</f>
        <v>161324.07</v>
      </c>
      <c r="O50" s="1134">
        <f t="shared" si="10"/>
        <v>120592055.82999998</v>
      </c>
      <c r="Q50" s="1137">
        <f t="shared" si="11"/>
        <v>0.53736467115602227</v>
      </c>
      <c r="R50" s="1137">
        <f t="shared" si="12"/>
        <v>0.28837216317924647</v>
      </c>
      <c r="S50" s="1137">
        <f t="shared" si="13"/>
        <v>0.1742631656647313</v>
      </c>
      <c r="T50" s="1137">
        <f t="shared" si="5"/>
        <v>0.82573683433526868</v>
      </c>
      <c r="V50" s="1137">
        <f t="shared" si="6"/>
        <v>0.76742214264933661</v>
      </c>
      <c r="W50" s="1137">
        <f t="shared" si="7"/>
        <v>6.6593333648584843E-2</v>
      </c>
      <c r="X50" s="1137">
        <f t="shared" si="8"/>
        <v>0.16598452370207842</v>
      </c>
    </row>
    <row r="51" spans="1:24">
      <c r="A51" s="189" t="s">
        <v>115</v>
      </c>
      <c r="B51" s="190" t="s">
        <v>116</v>
      </c>
      <c r="C51" s="191" t="s">
        <v>273</v>
      </c>
      <c r="D51" s="1134">
        <f>'Eligibililty Staff LASER-2011'!C49+'Services Staff LASER 2011'!C49+'Other Exp. LASER 2011'!C49</f>
        <v>112526.88</v>
      </c>
      <c r="E51" s="1134">
        <f>'Eligibililty Staff LASER-2011'!D49+'Services Staff LASER 2011'!D49+'Other Exp. LASER 2011'!D49</f>
        <v>55801.29</v>
      </c>
      <c r="F51" s="1134">
        <f>'Eligibililty Staff LASER-2011'!E49+'Services Staff LASER 2011'!E49+'Other Exp. LASER 2011'!E49</f>
        <v>48088.31</v>
      </c>
      <c r="G51" s="1134">
        <f>SUM('Benefits Spending Summary'!D51:F51)</f>
        <v>216416.48</v>
      </c>
      <c r="H51" s="1134">
        <f>'Services for Clients LASER 2011'!C50</f>
        <v>27569.93</v>
      </c>
      <c r="I51" s="1134">
        <f>'Services for Clients LASER 2011'!D50</f>
        <v>1484.8600000000001</v>
      </c>
      <c r="J51" s="1134">
        <f>'Services for Clients LASER 2011'!E50</f>
        <v>6241.51</v>
      </c>
      <c r="K51" s="1134">
        <f t="shared" si="9"/>
        <v>35296.300000000003</v>
      </c>
      <c r="L51" s="1134">
        <f>'Medicaid &amp; FAMIS - LASER 2011'!D49+'SNAP - LASER 2011'!D49+'SNAP - LASER 2011'!E49+'FC &amp; Adoptions LASER 2011'!C49+'LIHEAP LASER 2011'!D49+'TANF LASER 2011'!C49+'Other Benefits LASER 2011'!C49</f>
        <v>1189672.8822589999</v>
      </c>
      <c r="M51" s="1134">
        <f>'Medicaid &amp; FAMIS - LASER 2011'!E49+'SNAP - LASER 2011'!F49+'FC &amp; Adoptions LASER 2011'!D49+'TANF LASER 2011'!D49+'Other Benefits LASER 2011'!D49</f>
        <v>637254.79774099984</v>
      </c>
      <c r="N51" s="1134">
        <f>'FC &amp; Adoptions LASER 2011'!E49+'TANF LASER 2011'!E49</f>
        <v>0</v>
      </c>
      <c r="O51" s="1134">
        <f t="shared" si="10"/>
        <v>1826927.6799999997</v>
      </c>
      <c r="Q51" s="1137">
        <f t="shared" si="11"/>
        <v>0.51995522706958364</v>
      </c>
      <c r="R51" s="1137">
        <f t="shared" si="12"/>
        <v>0.25784214769596103</v>
      </c>
      <c r="S51" s="1137">
        <f t="shared" si="13"/>
        <v>0.22220262523445533</v>
      </c>
      <c r="T51" s="1137">
        <f t="shared" si="5"/>
        <v>0.77779737476554467</v>
      </c>
      <c r="V51" s="1137">
        <f t="shared" si="6"/>
        <v>0.8851181542659261</v>
      </c>
      <c r="W51" s="1137">
        <f t="shared" si="7"/>
        <v>0.11488184573407385</v>
      </c>
      <c r="X51" s="1137">
        <f t="shared" si="8"/>
        <v>0</v>
      </c>
    </row>
    <row r="52" spans="1:24">
      <c r="A52" s="189" t="s">
        <v>119</v>
      </c>
      <c r="B52" s="190" t="s">
        <v>120</v>
      </c>
      <c r="C52" s="191" t="s">
        <v>272</v>
      </c>
      <c r="D52" s="1134">
        <f>'Eligibililty Staff LASER-2011'!C50+'Services Staff LASER 2011'!C50+'Other Exp. LASER 2011'!C50</f>
        <v>1119831.0100000002</v>
      </c>
      <c r="E52" s="1134">
        <f>'Eligibililty Staff LASER-2011'!D50+'Services Staff LASER 2011'!D50+'Other Exp. LASER 2011'!D50</f>
        <v>497167.32999999996</v>
      </c>
      <c r="F52" s="1134">
        <f>'Eligibililty Staff LASER-2011'!E50+'Services Staff LASER 2011'!E50+'Other Exp. LASER 2011'!E50</f>
        <v>635002.68000000005</v>
      </c>
      <c r="G52" s="1134">
        <f>SUM('Benefits Spending Summary'!D52:F52)</f>
        <v>2252001.0200000005</v>
      </c>
      <c r="H52" s="1134">
        <f>'Services for Clients LASER 2011'!C51</f>
        <v>345816.91</v>
      </c>
      <c r="I52" s="1134">
        <f>'Services for Clients LASER 2011'!D51</f>
        <v>83817.489999999991</v>
      </c>
      <c r="J52" s="1134">
        <f>'Services for Clients LASER 2011'!E51</f>
        <v>84854.8</v>
      </c>
      <c r="K52" s="1134">
        <f t="shared" si="9"/>
        <v>514489.19999999995</v>
      </c>
      <c r="L52" s="1134">
        <f>'Medicaid &amp; FAMIS - LASER 2011'!D50+'SNAP - LASER 2011'!D50+'SNAP - LASER 2011'!E50+'FC &amp; Adoptions LASER 2011'!C50+'LIHEAP LASER 2011'!D50+'TANF LASER 2011'!C50+'Other Benefits LASER 2011'!C50</f>
        <v>23772052.849794999</v>
      </c>
      <c r="M52" s="1134">
        <f>'Medicaid &amp; FAMIS - LASER 2011'!E50+'SNAP - LASER 2011'!F50+'FC &amp; Adoptions LASER 2011'!D50+'TANF LASER 2011'!D50+'Other Benefits LASER 2011'!D50</f>
        <v>12184286.230204999</v>
      </c>
      <c r="N52" s="1134">
        <f>'FC &amp; Adoptions LASER 2011'!E50+'TANF LASER 2011'!E50</f>
        <v>217430.03999999998</v>
      </c>
      <c r="O52" s="1134">
        <f t="shared" si="10"/>
        <v>36173769.119999997</v>
      </c>
      <c r="Q52" s="1137">
        <f t="shared" si="11"/>
        <v>0.4972604364095714</v>
      </c>
      <c r="R52" s="1137">
        <f t="shared" si="12"/>
        <v>0.22076692043416563</v>
      </c>
      <c r="S52" s="1137">
        <f t="shared" si="13"/>
        <v>0.2819726431562628</v>
      </c>
      <c r="T52" s="1137">
        <f t="shared" si="5"/>
        <v>0.71802735684373709</v>
      </c>
      <c r="V52" s="1137">
        <f t="shared" si="6"/>
        <v>0.67748974188838029</v>
      </c>
      <c r="W52" s="1137">
        <f t="shared" si="7"/>
        <v>9.0532305391199497E-2</v>
      </c>
      <c r="X52" s="1137">
        <f t="shared" si="8"/>
        <v>0.23197795272042027</v>
      </c>
    </row>
    <row r="53" spans="1:24">
      <c r="A53" s="189" t="s">
        <v>121</v>
      </c>
      <c r="B53" s="190" t="s">
        <v>122</v>
      </c>
      <c r="C53" s="191" t="s">
        <v>272</v>
      </c>
      <c r="D53" s="1134">
        <f>'Eligibililty Staff LASER-2011'!C51+'Services Staff LASER 2011'!C51+'Other Exp. LASER 2011'!C51</f>
        <v>1525480.8499999999</v>
      </c>
      <c r="E53" s="1134">
        <f>'Eligibililty Staff LASER-2011'!D51+'Services Staff LASER 2011'!D51+'Other Exp. LASER 2011'!D51</f>
        <v>577392.67000000004</v>
      </c>
      <c r="F53" s="1134">
        <f>'Eligibililty Staff LASER-2011'!E51+'Services Staff LASER 2011'!E51+'Other Exp. LASER 2011'!E51</f>
        <v>1737246.47</v>
      </c>
      <c r="G53" s="1134">
        <f>SUM('Benefits Spending Summary'!D53:F53)</f>
        <v>3840119.99</v>
      </c>
      <c r="H53" s="1134">
        <f>'Services for Clients LASER 2011'!C52</f>
        <v>829496.40999999992</v>
      </c>
      <c r="I53" s="1134">
        <f>'Services for Clients LASER 2011'!D52</f>
        <v>183089.00000000003</v>
      </c>
      <c r="J53" s="1134">
        <f>'Services for Clients LASER 2011'!E52</f>
        <v>57408.659999999989</v>
      </c>
      <c r="K53" s="1134">
        <f t="shared" si="9"/>
        <v>1069994.0699999998</v>
      </c>
      <c r="L53" s="1134">
        <f>'Medicaid &amp; FAMIS - LASER 2011'!D51+'SNAP - LASER 2011'!D51+'SNAP - LASER 2011'!E51+'FC &amp; Adoptions LASER 2011'!C51+'LIHEAP LASER 2011'!D51+'TANF LASER 2011'!C51+'Other Benefits LASER 2011'!C51</f>
        <v>22140885.887595002</v>
      </c>
      <c r="M53" s="1134">
        <f>'Medicaid &amp; FAMIS - LASER 2011'!E51+'SNAP - LASER 2011'!F51+'FC &amp; Adoptions LASER 2011'!D51+'TANF LASER 2011'!D51+'Other Benefits LASER 2011'!D51</f>
        <v>11210352.602405</v>
      </c>
      <c r="N53" s="1134">
        <f>'FC &amp; Adoptions LASER 2011'!E51+'TANF LASER 2011'!E51</f>
        <v>231270.34</v>
      </c>
      <c r="O53" s="1134">
        <f t="shared" si="10"/>
        <v>33582508.830000006</v>
      </c>
      <c r="Q53" s="1137">
        <f t="shared" si="11"/>
        <v>0.3972482250483011</v>
      </c>
      <c r="R53" s="1137">
        <f t="shared" si="12"/>
        <v>0.15035797618396815</v>
      </c>
      <c r="S53" s="1137">
        <f t="shared" si="13"/>
        <v>0.45239379876773067</v>
      </c>
      <c r="T53" s="1137">
        <f t="shared" si="5"/>
        <v>0.54760620123226933</v>
      </c>
      <c r="V53" s="1137">
        <f t="shared" si="6"/>
        <v>0.8575075913330612</v>
      </c>
      <c r="W53" s="1137">
        <f t="shared" si="7"/>
        <v>2.8337004914598358E-2</v>
      </c>
      <c r="X53" s="1137">
        <f t="shared" si="8"/>
        <v>0.1141554037523404</v>
      </c>
    </row>
    <row r="54" spans="1:24">
      <c r="A54" s="189" t="s">
        <v>123</v>
      </c>
      <c r="B54" s="190" t="s">
        <v>284</v>
      </c>
      <c r="C54" s="191" t="s">
        <v>275</v>
      </c>
      <c r="D54" s="1134">
        <f>'Eligibililty Staff LASER-2011'!C52+'Services Staff LASER 2011'!C52+'Other Exp. LASER 2011'!C52</f>
        <v>401254.52</v>
      </c>
      <c r="E54" s="1134">
        <f>'Eligibililty Staff LASER-2011'!D52+'Services Staff LASER 2011'!D52+'Other Exp. LASER 2011'!D52</f>
        <v>181214.81</v>
      </c>
      <c r="F54" s="1134">
        <f>'Eligibililty Staff LASER-2011'!E52+'Services Staff LASER 2011'!E52+'Other Exp. LASER 2011'!E52</f>
        <v>214851.78000000003</v>
      </c>
      <c r="G54" s="1134">
        <f>SUM('Benefits Spending Summary'!D54:F54)</f>
        <v>797321.1100000001</v>
      </c>
      <c r="H54" s="1134">
        <f>'Services for Clients LASER 2011'!C53</f>
        <v>60066.93</v>
      </c>
      <c r="I54" s="1134">
        <f>'Services for Clients LASER 2011'!D53</f>
        <v>21316.750000000004</v>
      </c>
      <c r="J54" s="1134">
        <f>'Services for Clients LASER 2011'!E53</f>
        <v>6527.51</v>
      </c>
      <c r="K54" s="1134">
        <f t="shared" si="9"/>
        <v>87911.19</v>
      </c>
      <c r="L54" s="1134">
        <f>'Medicaid &amp; FAMIS - LASER 2011'!D52+'SNAP - LASER 2011'!D52+'SNAP - LASER 2011'!E52+'FC &amp; Adoptions LASER 2011'!C52+'LIHEAP LASER 2011'!D52+'TANF LASER 2011'!C52+'Other Benefits LASER 2011'!C52</f>
        <v>6152696.8113169996</v>
      </c>
      <c r="M54" s="1134">
        <f>'Medicaid &amp; FAMIS - LASER 2011'!E52+'SNAP - LASER 2011'!F52+'FC &amp; Adoptions LASER 2011'!D52+'TANF LASER 2011'!D52+'Other Benefits LASER 2011'!D52</f>
        <v>3488259.0486829993</v>
      </c>
      <c r="N54" s="1134">
        <f>'FC &amp; Adoptions LASER 2011'!E52+'TANF LASER 2011'!E52</f>
        <v>183307.49</v>
      </c>
      <c r="O54" s="1134">
        <f t="shared" si="10"/>
        <v>9824263.3499999996</v>
      </c>
      <c r="Q54" s="1137">
        <f t="shared" si="11"/>
        <v>0.50325335046001729</v>
      </c>
      <c r="R54" s="1137">
        <f t="shared" si="12"/>
        <v>0.22727958375515728</v>
      </c>
      <c r="S54" s="1137">
        <f t="shared" si="13"/>
        <v>0.26946706578482538</v>
      </c>
      <c r="T54" s="1137">
        <f t="shared" si="5"/>
        <v>0.73053293421517462</v>
      </c>
      <c r="V54" s="1137">
        <f t="shared" si="6"/>
        <v>0.53090881792580424</v>
      </c>
      <c r="W54" s="1137">
        <f t="shared" si="7"/>
        <v>1.6129783137467449E-2</v>
      </c>
      <c r="X54" s="1137">
        <f t="shared" si="8"/>
        <v>0.45296139893672827</v>
      </c>
    </row>
    <row r="55" spans="1:24">
      <c r="A55" s="189" t="s">
        <v>125</v>
      </c>
      <c r="B55" s="190" t="s">
        <v>126</v>
      </c>
      <c r="C55" s="191" t="s">
        <v>276</v>
      </c>
      <c r="D55" s="1134">
        <f>'Eligibililty Staff LASER-2011'!C53+'Services Staff LASER 2011'!C53+'Other Exp. LASER 2011'!C53</f>
        <v>531917.29999999993</v>
      </c>
      <c r="E55" s="1134">
        <f>'Eligibililty Staff LASER-2011'!D53+'Services Staff LASER 2011'!D53+'Other Exp. LASER 2011'!D53</f>
        <v>209566.27</v>
      </c>
      <c r="F55" s="1134">
        <f>'Eligibililty Staff LASER-2011'!E53+'Services Staff LASER 2011'!E53+'Other Exp. LASER 2011'!E53</f>
        <v>576669.22</v>
      </c>
      <c r="G55" s="1134">
        <f>SUM('Benefits Spending Summary'!D55:F55)</f>
        <v>1318152.79</v>
      </c>
      <c r="H55" s="1134">
        <f>'Services for Clients LASER 2011'!C54</f>
        <v>208509.88</v>
      </c>
      <c r="I55" s="1134">
        <f>'Services for Clients LASER 2011'!D54</f>
        <v>52093.069999999992</v>
      </c>
      <c r="J55" s="1134">
        <f>'Services for Clients LASER 2011'!E54</f>
        <v>14905.76</v>
      </c>
      <c r="K55" s="1134">
        <f t="shared" si="9"/>
        <v>275508.71000000002</v>
      </c>
      <c r="L55" s="1134">
        <f>'Medicaid &amp; FAMIS - LASER 2011'!D53+'SNAP - LASER 2011'!D53+'SNAP - LASER 2011'!E53+'FC &amp; Adoptions LASER 2011'!C53+'LIHEAP LASER 2011'!D53+'TANF LASER 2011'!C53+'Other Benefits LASER 2011'!C53</f>
        <v>12841879.07258</v>
      </c>
      <c r="M55" s="1134">
        <f>'Medicaid &amp; FAMIS - LASER 2011'!E53+'SNAP - LASER 2011'!F53+'FC &amp; Adoptions LASER 2011'!D53+'TANF LASER 2011'!D53+'Other Benefits LASER 2011'!D53</f>
        <v>6879065.1774199996</v>
      </c>
      <c r="N55" s="1134">
        <f>'FC &amp; Adoptions LASER 2011'!E53+'TANF LASER 2011'!E53</f>
        <v>687368.42999999993</v>
      </c>
      <c r="O55" s="1134">
        <f t="shared" si="10"/>
        <v>20408312.68</v>
      </c>
      <c r="Q55" s="1137">
        <f t="shared" si="11"/>
        <v>0.40353235530457732</v>
      </c>
      <c r="R55" s="1137">
        <f t="shared" si="12"/>
        <v>0.15898480934065312</v>
      </c>
      <c r="S55" s="1137">
        <f t="shared" si="13"/>
        <v>0.43748283535476945</v>
      </c>
      <c r="T55" s="1137">
        <f t="shared" si="5"/>
        <v>0.56251716464523049</v>
      </c>
      <c r="V55" s="1137">
        <f t="shared" si="6"/>
        <v>0.45089502435451778</v>
      </c>
      <c r="W55" s="1137">
        <f t="shared" si="7"/>
        <v>1.1654745537177444E-2</v>
      </c>
      <c r="X55" s="1137">
        <f t="shared" si="8"/>
        <v>0.53745023010830473</v>
      </c>
    </row>
    <row r="56" spans="1:24">
      <c r="A56" s="189" t="s">
        <v>127</v>
      </c>
      <c r="B56" s="190" t="s">
        <v>128</v>
      </c>
      <c r="C56" s="191" t="s">
        <v>275</v>
      </c>
      <c r="D56" s="1134">
        <f>'Eligibililty Staff LASER-2011'!C54+'Services Staff LASER 2011'!C54+'Other Exp. LASER 2011'!C54</f>
        <v>383650.10000000003</v>
      </c>
      <c r="E56" s="1134">
        <f>'Eligibililty Staff LASER-2011'!D54+'Services Staff LASER 2011'!D54+'Other Exp. LASER 2011'!D54</f>
        <v>155623.08000000002</v>
      </c>
      <c r="F56" s="1134">
        <f>'Eligibililty Staff LASER-2011'!E54+'Services Staff LASER 2011'!E54+'Other Exp. LASER 2011'!E54</f>
        <v>269580.37000000005</v>
      </c>
      <c r="G56" s="1134">
        <f>SUM('Benefits Spending Summary'!D56:F56)</f>
        <v>808853.55</v>
      </c>
      <c r="H56" s="1134">
        <f>'Services for Clients LASER 2011'!C55</f>
        <v>197249.72000000003</v>
      </c>
      <c r="I56" s="1134">
        <f>'Services for Clients LASER 2011'!D55</f>
        <v>51397.06</v>
      </c>
      <c r="J56" s="1134">
        <f>'Services for Clients LASER 2011'!E55</f>
        <v>12165.03</v>
      </c>
      <c r="K56" s="1134">
        <f t="shared" si="9"/>
        <v>260811.81000000003</v>
      </c>
      <c r="L56" s="1134">
        <f>'Medicaid &amp; FAMIS - LASER 2011'!D54+'SNAP - LASER 2011'!D54+'SNAP - LASER 2011'!E54+'FC &amp; Adoptions LASER 2011'!C54+'LIHEAP LASER 2011'!D54+'TANF LASER 2011'!C54+'Other Benefits LASER 2011'!C54</f>
        <v>9307840.5732959975</v>
      </c>
      <c r="M56" s="1134">
        <f>'Medicaid &amp; FAMIS - LASER 2011'!E54+'SNAP - LASER 2011'!F54+'FC &amp; Adoptions LASER 2011'!D54+'TANF LASER 2011'!D54+'Other Benefits LASER 2011'!D54</f>
        <v>4671238.5667040003</v>
      </c>
      <c r="N56" s="1134">
        <f>'FC &amp; Adoptions LASER 2011'!E54+'TANF LASER 2011'!E54</f>
        <v>177236.99</v>
      </c>
      <c r="O56" s="1134">
        <f t="shared" si="10"/>
        <v>14156316.129999997</v>
      </c>
      <c r="Q56" s="1137">
        <f t="shared" si="11"/>
        <v>0.47431342793760378</v>
      </c>
      <c r="R56" s="1137">
        <f t="shared" si="12"/>
        <v>0.19239957591828583</v>
      </c>
      <c r="S56" s="1137">
        <f t="shared" si="13"/>
        <v>0.33328699614411045</v>
      </c>
      <c r="T56" s="1137">
        <f t="shared" si="5"/>
        <v>0.66671300385588961</v>
      </c>
      <c r="V56" s="1137">
        <f t="shared" si="6"/>
        <v>0.58734360157042198</v>
      </c>
      <c r="W56" s="1137">
        <f t="shared" si="7"/>
        <v>2.650435019957955E-2</v>
      </c>
      <c r="X56" s="1137">
        <f t="shared" si="8"/>
        <v>0.38615204822999843</v>
      </c>
    </row>
    <row r="57" spans="1:24">
      <c r="A57" s="189" t="s">
        <v>129</v>
      </c>
      <c r="B57" s="190" t="s">
        <v>130</v>
      </c>
      <c r="C57" s="191" t="s">
        <v>275</v>
      </c>
      <c r="D57" s="1134">
        <f>'Eligibililty Staff LASER-2011'!C55+'Services Staff LASER 2011'!C55+'Other Exp. LASER 2011'!C55</f>
        <v>548597.6</v>
      </c>
      <c r="E57" s="1134">
        <f>'Eligibililty Staff LASER-2011'!D55+'Services Staff LASER 2011'!D55+'Other Exp. LASER 2011'!D55</f>
        <v>290403.62</v>
      </c>
      <c r="F57" s="1134">
        <f>'Eligibililty Staff LASER-2011'!E55+'Services Staff LASER 2011'!E55+'Other Exp. LASER 2011'!E55</f>
        <v>249941.82000000004</v>
      </c>
      <c r="G57" s="1134">
        <f>SUM('Benefits Spending Summary'!D57:F57)</f>
        <v>1088943.04</v>
      </c>
      <c r="H57" s="1134">
        <f>'Services for Clients LASER 2011'!C56</f>
        <v>122058.56</v>
      </c>
      <c r="I57" s="1134">
        <f>'Services for Clients LASER 2011'!D56</f>
        <v>16931.25</v>
      </c>
      <c r="J57" s="1134">
        <f>'Services for Clients LASER 2011'!E56</f>
        <v>18664.32</v>
      </c>
      <c r="K57" s="1134">
        <f t="shared" si="9"/>
        <v>157654.13</v>
      </c>
      <c r="L57" s="1134">
        <f>'Medicaid &amp; FAMIS - LASER 2011'!D55+'SNAP - LASER 2011'!D55+'SNAP - LASER 2011'!E55+'FC &amp; Adoptions LASER 2011'!C55+'LIHEAP LASER 2011'!D55+'TANF LASER 2011'!C55+'Other Benefits LASER 2011'!C55</f>
        <v>9782760.4754029997</v>
      </c>
      <c r="M57" s="1134">
        <f>'Medicaid &amp; FAMIS - LASER 2011'!E55+'SNAP - LASER 2011'!F55+'FC &amp; Adoptions LASER 2011'!D55+'TANF LASER 2011'!D55+'Other Benefits LASER 2011'!D55</f>
        <v>5200672.6445969995</v>
      </c>
      <c r="N57" s="1134">
        <f>'FC &amp; Adoptions LASER 2011'!E55+'TANF LASER 2011'!E55</f>
        <v>271501.16000000003</v>
      </c>
      <c r="O57" s="1134">
        <f t="shared" si="10"/>
        <v>15254934.279999999</v>
      </c>
      <c r="Q57" s="1137">
        <f t="shared" si="11"/>
        <v>0.50378906871015028</v>
      </c>
      <c r="R57" s="1137">
        <f t="shared" si="12"/>
        <v>0.26668393968521986</v>
      </c>
      <c r="S57" s="1137">
        <f t="shared" si="13"/>
        <v>0.22952699160462978</v>
      </c>
      <c r="T57" s="1137">
        <f t="shared" si="5"/>
        <v>0.77047300839537025</v>
      </c>
      <c r="V57" s="1137">
        <f t="shared" si="6"/>
        <v>0.46276326944664514</v>
      </c>
      <c r="W57" s="1137">
        <f t="shared" si="7"/>
        <v>3.4556689013460838E-2</v>
      </c>
      <c r="X57" s="1137">
        <f t="shared" si="8"/>
        <v>0.50268004153989398</v>
      </c>
    </row>
    <row r="58" spans="1:24">
      <c r="A58" s="189" t="s">
        <v>131</v>
      </c>
      <c r="B58" s="190" t="s">
        <v>132</v>
      </c>
      <c r="C58" s="191" t="s">
        <v>278</v>
      </c>
      <c r="D58" s="1134">
        <f>'Eligibililty Staff LASER-2011'!C56+'Services Staff LASER 2011'!C56+'Other Exp. LASER 2011'!C56</f>
        <v>1584178.2899999998</v>
      </c>
      <c r="E58" s="1134">
        <f>'Eligibililty Staff LASER-2011'!D56+'Services Staff LASER 2011'!D56+'Other Exp. LASER 2011'!D56</f>
        <v>793858.9</v>
      </c>
      <c r="F58" s="1134">
        <f>'Eligibililty Staff LASER-2011'!E56+'Services Staff LASER 2011'!E56+'Other Exp. LASER 2011'!E56</f>
        <v>520280.94999999995</v>
      </c>
      <c r="G58" s="1134">
        <f>SUM('Benefits Spending Summary'!D58:F58)</f>
        <v>2898318.1399999997</v>
      </c>
      <c r="H58" s="1134">
        <f>'Services for Clients LASER 2011'!C57</f>
        <v>267543.67</v>
      </c>
      <c r="I58" s="1134">
        <f>'Services for Clients LASER 2011'!D57</f>
        <v>85932.13</v>
      </c>
      <c r="J58" s="1134">
        <f>'Services for Clients LASER 2011'!E57</f>
        <v>39320.69000000001</v>
      </c>
      <c r="K58" s="1134">
        <f t="shared" si="9"/>
        <v>392796.49</v>
      </c>
      <c r="L58" s="1134">
        <f>'Medicaid &amp; FAMIS - LASER 2011'!D56+'SNAP - LASER 2011'!D56+'SNAP - LASER 2011'!E56+'FC &amp; Adoptions LASER 2011'!C56+'LIHEAP LASER 2011'!D56+'TANF LASER 2011'!C56+'Other Benefits LASER 2011'!C56</f>
        <v>33015431.358690999</v>
      </c>
      <c r="M58" s="1134">
        <f>'Medicaid &amp; FAMIS - LASER 2011'!E56+'SNAP - LASER 2011'!F56+'FC &amp; Adoptions LASER 2011'!D56+'TANF LASER 2011'!D56+'Other Benefits LASER 2011'!D56</f>
        <v>17224046.881308999</v>
      </c>
      <c r="N58" s="1134">
        <f>'FC &amp; Adoptions LASER 2011'!E56+'TANF LASER 2011'!E56</f>
        <v>206750.37</v>
      </c>
      <c r="O58" s="1134">
        <f t="shared" si="10"/>
        <v>50446228.609999992</v>
      </c>
      <c r="Q58" s="1137">
        <f t="shared" si="11"/>
        <v>0.54658536898920285</v>
      </c>
      <c r="R58" s="1137">
        <f t="shared" si="12"/>
        <v>0.27390329896634469</v>
      </c>
      <c r="S58" s="1137">
        <f t="shared" si="13"/>
        <v>0.17951133204445252</v>
      </c>
      <c r="T58" s="1137">
        <f t="shared" si="5"/>
        <v>0.82048866795554753</v>
      </c>
      <c r="V58" s="1137">
        <f t="shared" si="6"/>
        <v>0.67890596385334712</v>
      </c>
      <c r="W58" s="1137">
        <f t="shared" si="7"/>
        <v>5.1308914815790738E-2</v>
      </c>
      <c r="X58" s="1137">
        <f t="shared" si="8"/>
        <v>0.26978512133086202</v>
      </c>
    </row>
    <row r="59" spans="1:24">
      <c r="A59" s="189" t="s">
        <v>133</v>
      </c>
      <c r="B59" s="190" t="s">
        <v>134</v>
      </c>
      <c r="C59" s="191" t="s">
        <v>276</v>
      </c>
      <c r="D59" s="1134">
        <f>'Eligibililty Staff LASER-2011'!C57+'Services Staff LASER 2011'!C57+'Other Exp. LASER 2011'!C57</f>
        <v>3225177.63</v>
      </c>
      <c r="E59" s="1134">
        <f>'Eligibililty Staff LASER-2011'!D57+'Services Staff LASER 2011'!D57+'Other Exp. LASER 2011'!D57</f>
        <v>837035.65999999992</v>
      </c>
      <c r="F59" s="1134">
        <f>'Eligibililty Staff LASER-2011'!E57+'Services Staff LASER 2011'!E57+'Other Exp. LASER 2011'!E57</f>
        <v>6216094.1100000003</v>
      </c>
      <c r="G59" s="1134">
        <f>SUM('Benefits Spending Summary'!D59:F59)</f>
        <v>10278307.4</v>
      </c>
      <c r="H59" s="1134">
        <f>'Services for Clients LASER 2011'!C58</f>
        <v>2480725.2399999998</v>
      </c>
      <c r="I59" s="1134">
        <f>'Services for Clients LASER 2011'!D58</f>
        <v>887581.8400000002</v>
      </c>
      <c r="J59" s="1134">
        <f>'Services for Clients LASER 2011'!E58</f>
        <v>883764.76</v>
      </c>
      <c r="K59" s="1134">
        <f t="shared" si="9"/>
        <v>4252071.84</v>
      </c>
      <c r="L59" s="1134">
        <f>'Medicaid &amp; FAMIS - LASER 2011'!D57+'SNAP - LASER 2011'!D57+'SNAP - LASER 2011'!E57+'FC &amp; Adoptions LASER 2011'!C57+'LIHEAP LASER 2011'!D57+'TANF LASER 2011'!C57+'Other Benefits LASER 2011'!C57</f>
        <v>61704767.805099994</v>
      </c>
      <c r="M59" s="1134">
        <f>'Medicaid &amp; FAMIS - LASER 2011'!E57+'SNAP - LASER 2011'!F57+'FC &amp; Adoptions LASER 2011'!D57+'TANF LASER 2011'!D57+'Other Benefits LASER 2011'!D57</f>
        <v>36495314.704899997</v>
      </c>
      <c r="N59" s="1134">
        <f>'FC &amp; Adoptions LASER 2011'!E57+'TANF LASER 2011'!E57</f>
        <v>2852029.1</v>
      </c>
      <c r="O59" s="1134">
        <f t="shared" si="10"/>
        <v>101052111.60999998</v>
      </c>
      <c r="Q59" s="1137">
        <f t="shared" si="11"/>
        <v>0.31378489711253427</v>
      </c>
      <c r="R59" s="1137">
        <f t="shared" si="12"/>
        <v>8.1437110939102664E-2</v>
      </c>
      <c r="S59" s="1137">
        <f t="shared" si="13"/>
        <v>0.60477799194836301</v>
      </c>
      <c r="T59" s="1137">
        <f t="shared" si="5"/>
        <v>0.39522200805163699</v>
      </c>
      <c r="V59" s="1137">
        <f t="shared" si="6"/>
        <v>0.62461455843739766</v>
      </c>
      <c r="W59" s="1137">
        <f t="shared" si="7"/>
        <v>8.8803728766251366E-2</v>
      </c>
      <c r="X59" s="1137">
        <f t="shared" si="8"/>
        <v>0.28658171279635092</v>
      </c>
    </row>
    <row r="60" spans="1:24">
      <c r="A60" s="189" t="s">
        <v>135</v>
      </c>
      <c r="B60" s="190" t="s">
        <v>136</v>
      </c>
      <c r="C60" s="191" t="s">
        <v>276</v>
      </c>
      <c r="D60" s="1134">
        <f>'Eligibililty Staff LASER-2011'!C58+'Services Staff LASER 2011'!C58+'Other Exp. LASER 2011'!C58</f>
        <v>1083508.05</v>
      </c>
      <c r="E60" s="1134">
        <f>'Eligibililty Staff LASER-2011'!D58+'Services Staff LASER 2011'!D58+'Other Exp. LASER 2011'!D58</f>
        <v>404432.65</v>
      </c>
      <c r="F60" s="1134">
        <f>'Eligibililty Staff LASER-2011'!E58+'Services Staff LASER 2011'!E58+'Other Exp. LASER 2011'!E58</f>
        <v>1103036.3099999998</v>
      </c>
      <c r="G60" s="1134">
        <f>SUM('Benefits Spending Summary'!D60:F60)</f>
        <v>2590977.0099999998</v>
      </c>
      <c r="H60" s="1134">
        <f>'Services for Clients LASER 2011'!C59</f>
        <v>249074.20999999996</v>
      </c>
      <c r="I60" s="1134">
        <f>'Services for Clients LASER 2011'!D59</f>
        <v>86777.07</v>
      </c>
      <c r="J60" s="1134">
        <f>'Services for Clients LASER 2011'!E59</f>
        <v>27867.37</v>
      </c>
      <c r="K60" s="1134">
        <f t="shared" si="9"/>
        <v>363718.64999999997</v>
      </c>
      <c r="L60" s="1134">
        <f>'Medicaid &amp; FAMIS - LASER 2011'!D58+'SNAP - LASER 2011'!D58+'SNAP - LASER 2011'!E58+'FC &amp; Adoptions LASER 2011'!C58+'LIHEAP LASER 2011'!D58+'TANF LASER 2011'!C58+'Other Benefits LASER 2011'!C58</f>
        <v>23069690.266971998</v>
      </c>
      <c r="M60" s="1134">
        <f>'Medicaid &amp; FAMIS - LASER 2011'!E58+'SNAP - LASER 2011'!F58+'FC &amp; Adoptions LASER 2011'!D58+'TANF LASER 2011'!D58+'Other Benefits LASER 2011'!D58</f>
        <v>12415713.043028001</v>
      </c>
      <c r="N60" s="1134">
        <f>'FC &amp; Adoptions LASER 2011'!E58+'TANF LASER 2011'!E58</f>
        <v>858225.24</v>
      </c>
      <c r="O60" s="1134">
        <f t="shared" si="10"/>
        <v>36343628.550000004</v>
      </c>
      <c r="Q60" s="1137">
        <f t="shared" si="11"/>
        <v>0.4181851270073601</v>
      </c>
      <c r="R60" s="1137">
        <f t="shared" si="12"/>
        <v>0.15609272040588273</v>
      </c>
      <c r="S60" s="1137">
        <f t="shared" si="13"/>
        <v>0.42572215258675722</v>
      </c>
      <c r="T60" s="1137">
        <f t="shared" si="5"/>
        <v>0.57427784741324295</v>
      </c>
      <c r="V60" s="1137">
        <f t="shared" si="6"/>
        <v>0.55453233770287746</v>
      </c>
      <c r="W60" s="1137">
        <f t="shared" si="7"/>
        <v>1.400983602410245E-2</v>
      </c>
      <c r="X60" s="1137">
        <f t="shared" si="8"/>
        <v>0.43145782627302004</v>
      </c>
    </row>
    <row r="61" spans="1:24">
      <c r="A61" s="189" t="s">
        <v>137</v>
      </c>
      <c r="B61" s="190" t="s">
        <v>138</v>
      </c>
      <c r="C61" s="191" t="s">
        <v>275</v>
      </c>
      <c r="D61" s="1134">
        <f>'Eligibililty Staff LASER-2011'!C59+'Services Staff LASER 2011'!C59+'Other Exp. LASER 2011'!C59</f>
        <v>385822.43000000005</v>
      </c>
      <c r="E61" s="1134">
        <f>'Eligibililty Staff LASER-2011'!D59+'Services Staff LASER 2011'!D59+'Other Exp. LASER 2011'!D59</f>
        <v>204539.52999999997</v>
      </c>
      <c r="F61" s="1134">
        <f>'Eligibililty Staff LASER-2011'!E59+'Services Staff LASER 2011'!E59+'Other Exp. LASER 2011'!E59</f>
        <v>133059.58000000002</v>
      </c>
      <c r="G61" s="1134">
        <f>SUM('Benefits Spending Summary'!D61:F61)</f>
        <v>723421.54</v>
      </c>
      <c r="H61" s="1134">
        <f>'Services for Clients LASER 2011'!C60</f>
        <v>27579.109999999997</v>
      </c>
      <c r="I61" s="1134">
        <f>'Services for Clients LASER 2011'!D60</f>
        <v>2178.96</v>
      </c>
      <c r="J61" s="1134">
        <f>'Services for Clients LASER 2011'!E60</f>
        <v>1044.3400000000001</v>
      </c>
      <c r="K61" s="1134">
        <f t="shared" si="9"/>
        <v>30802.409999999996</v>
      </c>
      <c r="L61" s="1134">
        <f>'Medicaid &amp; FAMIS - LASER 2011'!D59+'SNAP - LASER 2011'!D59+'SNAP - LASER 2011'!E59+'FC &amp; Adoptions LASER 2011'!C59+'LIHEAP LASER 2011'!D59+'TANF LASER 2011'!C59+'Other Benefits LASER 2011'!C59</f>
        <v>13710933.669148996</v>
      </c>
      <c r="M61" s="1134">
        <f>'Medicaid &amp; FAMIS - LASER 2011'!E59+'SNAP - LASER 2011'!F59+'FC &amp; Adoptions LASER 2011'!D59+'TANF LASER 2011'!D59+'Other Benefits LASER 2011'!D59</f>
        <v>7837197.4008509992</v>
      </c>
      <c r="N61" s="1134">
        <f>'FC &amp; Adoptions LASER 2011'!E59+'TANF LASER 2011'!E59</f>
        <v>182831.11000000002</v>
      </c>
      <c r="O61" s="1134">
        <f t="shared" si="10"/>
        <v>21730962.179999996</v>
      </c>
      <c r="Q61" s="1137">
        <f t="shared" si="11"/>
        <v>0.53333002774564886</v>
      </c>
      <c r="R61" s="1137">
        <f t="shared" si="12"/>
        <v>0.28273906524818154</v>
      </c>
      <c r="S61" s="1137">
        <f t="shared" si="13"/>
        <v>0.1839309070061696</v>
      </c>
      <c r="T61" s="1137">
        <f t="shared" si="5"/>
        <v>0.81606909299383035</v>
      </c>
      <c r="V61" s="1137">
        <f t="shared" si="6"/>
        <v>0.41983235491513832</v>
      </c>
      <c r="W61" s="1137">
        <f t="shared" si="7"/>
        <v>3.2951232938813993E-3</v>
      </c>
      <c r="X61" s="1137">
        <f t="shared" si="8"/>
        <v>0.57687252179098036</v>
      </c>
    </row>
    <row r="62" spans="1:24">
      <c r="A62" s="189" t="s">
        <v>141</v>
      </c>
      <c r="B62" s="190" t="s">
        <v>142</v>
      </c>
      <c r="C62" s="191" t="s">
        <v>276</v>
      </c>
      <c r="D62" s="1134">
        <f>'Eligibililty Staff LASER-2011'!C60+'Services Staff LASER 2011'!C60+'Other Exp. LASER 2011'!C60</f>
        <v>448582.74</v>
      </c>
      <c r="E62" s="1134">
        <f>'Eligibililty Staff LASER-2011'!D60+'Services Staff LASER 2011'!D60+'Other Exp. LASER 2011'!D60</f>
        <v>175238.66</v>
      </c>
      <c r="F62" s="1134">
        <f>'Eligibililty Staff LASER-2011'!E60+'Services Staff LASER 2011'!E60+'Other Exp. LASER 2011'!E60</f>
        <v>344745.22000000003</v>
      </c>
      <c r="G62" s="1134">
        <f>SUM('Benefits Spending Summary'!D62:F62)</f>
        <v>968566.62000000011</v>
      </c>
      <c r="H62" s="1134">
        <f>'Services for Clients LASER 2011'!C61</f>
        <v>113872.40000000001</v>
      </c>
      <c r="I62" s="1134">
        <f>'Services for Clients LASER 2011'!D61</f>
        <v>20666.810000000001</v>
      </c>
      <c r="J62" s="1134">
        <f>'Services for Clients LASER 2011'!E61</f>
        <v>9747.8100000000013</v>
      </c>
      <c r="K62" s="1134">
        <f t="shared" si="9"/>
        <v>144287.02000000002</v>
      </c>
      <c r="L62" s="1134">
        <f>'Medicaid &amp; FAMIS - LASER 2011'!D60+'SNAP - LASER 2011'!D60+'SNAP - LASER 2011'!E60+'FC &amp; Adoptions LASER 2011'!C60+'LIHEAP LASER 2011'!D60+'TANF LASER 2011'!C60+'Other Benefits LASER 2011'!C60</f>
        <v>10062332.770300999</v>
      </c>
      <c r="M62" s="1134">
        <f>'Medicaid &amp; FAMIS - LASER 2011'!E60+'SNAP - LASER 2011'!F60+'FC &amp; Adoptions LASER 2011'!D60+'TANF LASER 2011'!D60+'Other Benefits LASER 2011'!D60</f>
        <v>6147577.1196989994</v>
      </c>
      <c r="N62" s="1134">
        <f>'FC &amp; Adoptions LASER 2011'!E60+'TANF LASER 2011'!E60</f>
        <v>316931.62</v>
      </c>
      <c r="O62" s="1134">
        <f t="shared" si="10"/>
        <v>16526841.509999998</v>
      </c>
      <c r="Q62" s="1137">
        <f t="shared" si="11"/>
        <v>0.46314082143363555</v>
      </c>
      <c r="R62" s="1137">
        <f t="shared" si="12"/>
        <v>0.18092576843087985</v>
      </c>
      <c r="S62" s="1137">
        <f t="shared" si="13"/>
        <v>0.35593341013548452</v>
      </c>
      <c r="T62" s="1137">
        <f t="shared" si="5"/>
        <v>0.64406658986451537</v>
      </c>
      <c r="V62" s="1137">
        <f t="shared" si="6"/>
        <v>0.51345332644549169</v>
      </c>
      <c r="W62" s="1137">
        <f t="shared" si="7"/>
        <v>1.4518099685497101E-2</v>
      </c>
      <c r="X62" s="1137">
        <f t="shared" si="8"/>
        <v>0.4720285738690112</v>
      </c>
    </row>
    <row r="63" spans="1:24">
      <c r="A63" s="189" t="s">
        <v>147</v>
      </c>
      <c r="B63" s="190" t="s">
        <v>148</v>
      </c>
      <c r="C63" s="191" t="s">
        <v>272</v>
      </c>
      <c r="D63" s="1134">
        <f>'Eligibililty Staff LASER-2011'!C61+'Services Staff LASER 2011'!C61+'Other Exp. LASER 2011'!C61</f>
        <v>387105.94</v>
      </c>
      <c r="E63" s="1134">
        <f>'Eligibililty Staff LASER-2011'!D61+'Services Staff LASER 2011'!D61+'Other Exp. LASER 2011'!D61</f>
        <v>142335.43</v>
      </c>
      <c r="F63" s="1134">
        <f>'Eligibililty Staff LASER-2011'!E61+'Services Staff LASER 2011'!E61+'Other Exp. LASER 2011'!E61</f>
        <v>280190.21000000002</v>
      </c>
      <c r="G63" s="1134">
        <f>SUM('Benefits Spending Summary'!D63:F63)</f>
        <v>809631.58000000007</v>
      </c>
      <c r="H63" s="1134">
        <f>'Services for Clients LASER 2011'!C62</f>
        <v>80837.31</v>
      </c>
      <c r="I63" s="1134">
        <f>'Services for Clients LASER 2011'!D62</f>
        <v>13066.869999999999</v>
      </c>
      <c r="J63" s="1134">
        <f>'Services for Clients LASER 2011'!E62</f>
        <v>10022.41</v>
      </c>
      <c r="K63" s="1134">
        <f t="shared" si="9"/>
        <v>103926.59</v>
      </c>
      <c r="L63" s="1134">
        <f>'Medicaid &amp; FAMIS - LASER 2011'!D61+'SNAP - LASER 2011'!D61+'SNAP - LASER 2011'!E61+'FC &amp; Adoptions LASER 2011'!C61+'LIHEAP LASER 2011'!D61+'TANF LASER 2011'!C61+'Other Benefits LASER 2011'!C61</f>
        <v>6709769.8207399994</v>
      </c>
      <c r="M63" s="1134">
        <f>'Medicaid &amp; FAMIS - LASER 2011'!E61+'SNAP - LASER 2011'!F61+'FC &amp; Adoptions LASER 2011'!D61+'TANF LASER 2011'!D61+'Other Benefits LASER 2011'!D61</f>
        <v>3946338.3792599998</v>
      </c>
      <c r="N63" s="1134">
        <f>'FC &amp; Adoptions LASER 2011'!E61+'TANF LASER 2011'!E61</f>
        <v>198795.41</v>
      </c>
      <c r="O63" s="1134">
        <f t="shared" si="10"/>
        <v>10854903.609999999</v>
      </c>
      <c r="Q63" s="1137">
        <f t="shared" si="11"/>
        <v>0.47812603851247992</v>
      </c>
      <c r="R63" s="1137">
        <f t="shared" si="12"/>
        <v>0.17580271510654263</v>
      </c>
      <c r="S63" s="1137">
        <f t="shared" si="13"/>
        <v>0.34607124638097736</v>
      </c>
      <c r="T63" s="1137">
        <f t="shared" si="5"/>
        <v>0.65392875361902258</v>
      </c>
      <c r="V63" s="1137">
        <f t="shared" si="6"/>
        <v>0.57297670551544932</v>
      </c>
      <c r="W63" s="1137">
        <f t="shared" si="7"/>
        <v>2.0495389411090036E-2</v>
      </c>
      <c r="X63" s="1137">
        <f t="shared" si="8"/>
        <v>0.40652790507346065</v>
      </c>
    </row>
    <row r="64" spans="1:24">
      <c r="A64" s="189" t="s">
        <v>149</v>
      </c>
      <c r="B64" s="190" t="s">
        <v>150</v>
      </c>
      <c r="C64" s="191" t="s">
        <v>273</v>
      </c>
      <c r="D64" s="1134">
        <f>'Eligibililty Staff LASER-2011'!C62+'Services Staff LASER 2011'!C62+'Other Exp. LASER 2011'!C62</f>
        <v>1045889.63</v>
      </c>
      <c r="E64" s="1134">
        <f>'Eligibililty Staff LASER-2011'!D62+'Services Staff LASER 2011'!D62+'Other Exp. LASER 2011'!D62</f>
        <v>454163.91000000003</v>
      </c>
      <c r="F64" s="1134">
        <f>'Eligibililty Staff LASER-2011'!E62+'Services Staff LASER 2011'!E62+'Other Exp. LASER 2011'!E62</f>
        <v>624763.09</v>
      </c>
      <c r="G64" s="1134">
        <f>SUM('Benefits Spending Summary'!D64:F64)</f>
        <v>2124816.63</v>
      </c>
      <c r="H64" s="1134">
        <f>'Services for Clients LASER 2011'!C63</f>
        <v>273550.91000000003</v>
      </c>
      <c r="I64" s="1134">
        <f>'Services for Clients LASER 2011'!D63</f>
        <v>76432.579999999987</v>
      </c>
      <c r="J64" s="1134">
        <f>'Services for Clients LASER 2011'!E63</f>
        <v>35072.310000000005</v>
      </c>
      <c r="K64" s="1134">
        <f t="shared" si="9"/>
        <v>385055.8</v>
      </c>
      <c r="L64" s="1134">
        <f>'Medicaid &amp; FAMIS - LASER 2011'!D62+'SNAP - LASER 2011'!D62+'SNAP - LASER 2011'!E62+'FC &amp; Adoptions LASER 2011'!C62+'LIHEAP LASER 2011'!D62+'TANF LASER 2011'!C62+'Other Benefits LASER 2011'!C62</f>
        <v>30909032.316429999</v>
      </c>
      <c r="M64" s="1134">
        <f>'Medicaid &amp; FAMIS - LASER 2011'!E62+'SNAP - LASER 2011'!F62+'FC &amp; Adoptions LASER 2011'!D62+'TANF LASER 2011'!D62+'Other Benefits LASER 2011'!D62</f>
        <v>16932799.373569999</v>
      </c>
      <c r="N64" s="1134">
        <f>'FC &amp; Adoptions LASER 2011'!E62+'TANF LASER 2011'!E62</f>
        <v>318362.74000000005</v>
      </c>
      <c r="O64" s="1134">
        <f t="shared" si="10"/>
        <v>48160194.43</v>
      </c>
      <c r="Q64" s="1137">
        <f t="shared" si="11"/>
        <v>0.49222583032965062</v>
      </c>
      <c r="R64" s="1137">
        <f t="shared" si="12"/>
        <v>0.21374263717053082</v>
      </c>
      <c r="S64" s="1137">
        <f t="shared" si="13"/>
        <v>0.29403153249981856</v>
      </c>
      <c r="T64" s="1137">
        <f t="shared" si="5"/>
        <v>0.7059684675001815</v>
      </c>
      <c r="V64" s="1137">
        <f t="shared" si="6"/>
        <v>0.63868766914645725</v>
      </c>
      <c r="W64" s="1137">
        <f t="shared" si="7"/>
        <v>3.5853993752226927E-2</v>
      </c>
      <c r="X64" s="1137">
        <f t="shared" si="8"/>
        <v>0.32545833710131572</v>
      </c>
    </row>
    <row r="65" spans="1:24">
      <c r="A65" s="189" t="s">
        <v>151</v>
      </c>
      <c r="B65" s="190" t="s">
        <v>152</v>
      </c>
      <c r="C65" s="191" t="s">
        <v>275</v>
      </c>
      <c r="D65" s="1134">
        <f>'Eligibililty Staff LASER-2011'!C63+'Services Staff LASER 2011'!C63+'Other Exp. LASER 2011'!C63</f>
        <v>362838.06</v>
      </c>
      <c r="E65" s="1134">
        <f>'Eligibililty Staff LASER-2011'!D63+'Services Staff LASER 2011'!D63+'Other Exp. LASER 2011'!D63</f>
        <v>172110.34</v>
      </c>
      <c r="F65" s="1134">
        <f>'Eligibililty Staff LASER-2011'!E63+'Services Staff LASER 2011'!E63+'Other Exp. LASER 2011'!E63</f>
        <v>147443.75</v>
      </c>
      <c r="G65" s="1134">
        <f>SUM('Benefits Spending Summary'!D65:F65)</f>
        <v>682392.15</v>
      </c>
      <c r="H65" s="1134">
        <f>'Services for Clients LASER 2011'!C64</f>
        <v>120682.84</v>
      </c>
      <c r="I65" s="1134">
        <f>'Services for Clients LASER 2011'!D64</f>
        <v>31307.809999999998</v>
      </c>
      <c r="J65" s="1134">
        <f>'Services for Clients LASER 2011'!E64</f>
        <v>16061.320000000002</v>
      </c>
      <c r="K65" s="1134">
        <f t="shared" si="9"/>
        <v>168051.97</v>
      </c>
      <c r="L65" s="1134">
        <f>'Medicaid &amp; FAMIS - LASER 2011'!D63+'SNAP - LASER 2011'!D63+'SNAP - LASER 2011'!E63+'FC &amp; Adoptions LASER 2011'!C63+'LIHEAP LASER 2011'!D63+'TANF LASER 2011'!C63+'Other Benefits LASER 2011'!C63</f>
        <v>8981675.8380609993</v>
      </c>
      <c r="M65" s="1134">
        <f>'Medicaid &amp; FAMIS - LASER 2011'!E63+'SNAP - LASER 2011'!F63+'FC &amp; Adoptions LASER 2011'!D63+'TANF LASER 2011'!D63+'Other Benefits LASER 2011'!D63</f>
        <v>4964670.8119389992</v>
      </c>
      <c r="N65" s="1134">
        <f>'FC &amp; Adoptions LASER 2011'!E63+'TANF LASER 2011'!E63</f>
        <v>235890.57</v>
      </c>
      <c r="O65" s="1134">
        <f t="shared" si="10"/>
        <v>14182237.219999999</v>
      </c>
      <c r="Q65" s="1137">
        <f t="shared" si="11"/>
        <v>0.53171487977990362</v>
      </c>
      <c r="R65" s="1137">
        <f t="shared" si="12"/>
        <v>0.25221617804366592</v>
      </c>
      <c r="S65" s="1137">
        <f t="shared" si="13"/>
        <v>0.21606894217643036</v>
      </c>
      <c r="T65" s="1137">
        <f t="shared" si="5"/>
        <v>0.78393105782356964</v>
      </c>
      <c r="V65" s="1137">
        <f t="shared" si="6"/>
        <v>0.36916714964640074</v>
      </c>
      <c r="W65" s="1137">
        <f t="shared" si="7"/>
        <v>4.0214059422381279E-2</v>
      </c>
      <c r="X65" s="1137">
        <f t="shared" si="8"/>
        <v>0.59061879093121794</v>
      </c>
    </row>
    <row r="66" spans="1:24">
      <c r="A66" s="189" t="s">
        <v>153</v>
      </c>
      <c r="B66" s="190" t="s">
        <v>154</v>
      </c>
      <c r="C66" s="191" t="s">
        <v>278</v>
      </c>
      <c r="D66" s="1134">
        <f>'Eligibililty Staff LASER-2011'!C64+'Services Staff LASER 2011'!C64+'Other Exp. LASER 2011'!C64</f>
        <v>1978288.04</v>
      </c>
      <c r="E66" s="1134">
        <f>'Eligibililty Staff LASER-2011'!D64+'Services Staff LASER 2011'!D64+'Other Exp. LASER 2011'!D64</f>
        <v>878101.31</v>
      </c>
      <c r="F66" s="1134">
        <f>'Eligibililty Staff LASER-2011'!E64+'Services Staff LASER 2011'!E64+'Other Exp. LASER 2011'!E64</f>
        <v>837357.37</v>
      </c>
      <c r="G66" s="1134">
        <f>SUM('Benefits Spending Summary'!D66:F66)</f>
        <v>3693746.72</v>
      </c>
      <c r="H66" s="1134">
        <f>'Services for Clients LASER 2011'!C65</f>
        <v>825904.87000000011</v>
      </c>
      <c r="I66" s="1134">
        <f>'Services for Clients LASER 2011'!D65</f>
        <v>246389.66999999998</v>
      </c>
      <c r="J66" s="1134">
        <f>'Services for Clients LASER 2011'!E65</f>
        <v>79409.149999999994</v>
      </c>
      <c r="K66" s="1134">
        <f t="shared" si="9"/>
        <v>1151703.69</v>
      </c>
      <c r="L66" s="1134">
        <f>'Medicaid &amp; FAMIS - LASER 2011'!D64+'SNAP - LASER 2011'!D64+'SNAP - LASER 2011'!E64+'FC &amp; Adoptions LASER 2011'!C64+'LIHEAP LASER 2011'!D64+'TANF LASER 2011'!C64+'Other Benefits LASER 2011'!C64</f>
        <v>45827242.846567996</v>
      </c>
      <c r="M66" s="1134">
        <f>'Medicaid &amp; FAMIS - LASER 2011'!E64+'SNAP - LASER 2011'!F64+'FC &amp; Adoptions LASER 2011'!D64+'TANF LASER 2011'!D64+'Other Benefits LASER 2011'!D64</f>
        <v>24432502.353432</v>
      </c>
      <c r="N66" s="1134">
        <f>'FC &amp; Adoptions LASER 2011'!E64+'TANF LASER 2011'!E64</f>
        <v>568607.36</v>
      </c>
      <c r="O66" s="1134">
        <f t="shared" si="10"/>
        <v>70828352.559999987</v>
      </c>
      <c r="Q66" s="1137">
        <f t="shared" si="11"/>
        <v>0.53557760993422954</v>
      </c>
      <c r="R66" s="1137">
        <f t="shared" si="12"/>
        <v>0.23772645407587664</v>
      </c>
      <c r="S66" s="1137">
        <f t="shared" si="13"/>
        <v>0.22669593598989374</v>
      </c>
      <c r="T66" s="1137">
        <f t="shared" si="5"/>
        <v>0.77330406401010621</v>
      </c>
      <c r="V66" s="1137">
        <f t="shared" si="6"/>
        <v>0.56373508466434052</v>
      </c>
      <c r="W66" s="1137">
        <f t="shared" si="7"/>
        <v>5.3460715224102368E-2</v>
      </c>
      <c r="X66" s="1137">
        <f t="shared" si="8"/>
        <v>0.38280420011155714</v>
      </c>
    </row>
    <row r="67" spans="1:24">
      <c r="A67" s="189" t="s">
        <v>155</v>
      </c>
      <c r="B67" s="190" t="s">
        <v>156</v>
      </c>
      <c r="C67" s="191" t="s">
        <v>273</v>
      </c>
      <c r="D67" s="1134">
        <f>'Eligibililty Staff LASER-2011'!C65+'Services Staff LASER 2011'!C65+'Other Exp. LASER 2011'!C65</f>
        <v>430815.86</v>
      </c>
      <c r="E67" s="1134">
        <f>'Eligibililty Staff LASER-2011'!D65+'Services Staff LASER 2011'!D65+'Other Exp. LASER 2011'!D65</f>
        <v>208545.09</v>
      </c>
      <c r="F67" s="1134">
        <f>'Eligibililty Staff LASER-2011'!E65+'Services Staff LASER 2011'!E65+'Other Exp. LASER 2011'!E65</f>
        <v>246976.17</v>
      </c>
      <c r="G67" s="1134">
        <f>SUM('Benefits Spending Summary'!D67:F67)</f>
        <v>886337.12</v>
      </c>
      <c r="H67" s="1134">
        <f>'Services for Clients LASER 2011'!C66</f>
        <v>79189.55</v>
      </c>
      <c r="I67" s="1134">
        <f>'Services for Clients LASER 2011'!D66</f>
        <v>16356.740000000002</v>
      </c>
      <c r="J67" s="1134">
        <f>'Services for Clients LASER 2011'!E66</f>
        <v>7123.8700000000008</v>
      </c>
      <c r="K67" s="1134">
        <f t="shared" si="9"/>
        <v>102670.16</v>
      </c>
      <c r="L67" s="1134">
        <f>'Medicaid &amp; FAMIS - LASER 2011'!D65+'SNAP - LASER 2011'!D65+'SNAP - LASER 2011'!E65+'FC &amp; Adoptions LASER 2011'!C65+'LIHEAP LASER 2011'!D65+'TANF LASER 2011'!C65+'Other Benefits LASER 2011'!C65</f>
        <v>12805637.401659999</v>
      </c>
      <c r="M67" s="1134">
        <f>'Medicaid &amp; FAMIS - LASER 2011'!E65+'SNAP - LASER 2011'!F65+'FC &amp; Adoptions LASER 2011'!D65+'TANF LASER 2011'!D65+'Other Benefits LASER 2011'!D65</f>
        <v>6867546.8583399989</v>
      </c>
      <c r="N67" s="1134">
        <f>'FC &amp; Adoptions LASER 2011'!E65+'TANF LASER 2011'!E65</f>
        <v>186217.81</v>
      </c>
      <c r="O67" s="1134">
        <f t="shared" si="10"/>
        <v>19859402.069999997</v>
      </c>
      <c r="Q67" s="1137">
        <f t="shared" si="11"/>
        <v>0.48606320358104826</v>
      </c>
      <c r="R67" s="1137">
        <f t="shared" si="12"/>
        <v>0.23528867887198496</v>
      </c>
      <c r="S67" s="1137">
        <f t="shared" si="13"/>
        <v>0.27864811754696678</v>
      </c>
      <c r="T67" s="1137">
        <f t="shared" si="5"/>
        <v>0.72135188245303317</v>
      </c>
      <c r="V67" s="1137">
        <f t="shared" si="6"/>
        <v>0.56090428766401368</v>
      </c>
      <c r="W67" s="1137">
        <f t="shared" si="7"/>
        <v>1.6178926200697975E-2</v>
      </c>
      <c r="X67" s="1137">
        <f t="shared" si="8"/>
        <v>0.42291678613528844</v>
      </c>
    </row>
    <row r="68" spans="1:24">
      <c r="A68" s="189" t="s">
        <v>157</v>
      </c>
      <c r="B68" s="190" t="s">
        <v>158</v>
      </c>
      <c r="C68" s="191" t="s">
        <v>275</v>
      </c>
      <c r="D68" s="1134">
        <f>'Eligibililty Staff LASER-2011'!C66+'Services Staff LASER 2011'!C66+'Other Exp. LASER 2011'!C66</f>
        <v>454363.27999999997</v>
      </c>
      <c r="E68" s="1134">
        <f>'Eligibililty Staff LASER-2011'!D66+'Services Staff LASER 2011'!D66+'Other Exp. LASER 2011'!D66</f>
        <v>165895.1</v>
      </c>
      <c r="F68" s="1134">
        <f>'Eligibililty Staff LASER-2011'!E66+'Services Staff LASER 2011'!E66+'Other Exp. LASER 2011'!E66</f>
        <v>273969.15000000002</v>
      </c>
      <c r="G68" s="1134">
        <f>SUM('Benefits Spending Summary'!D68:F68)</f>
        <v>894227.53</v>
      </c>
      <c r="H68" s="1134">
        <f>'Services for Clients LASER 2011'!C67</f>
        <v>100529.78</v>
      </c>
      <c r="I68" s="1134">
        <f>'Services for Clients LASER 2011'!D67</f>
        <v>38269.770000000004</v>
      </c>
      <c r="J68" s="1134">
        <f>'Services for Clients LASER 2011'!E67</f>
        <v>7849.3</v>
      </c>
      <c r="K68" s="1134">
        <f t="shared" si="9"/>
        <v>146648.84999999998</v>
      </c>
      <c r="L68" s="1134">
        <f>'Medicaid &amp; FAMIS - LASER 2011'!D66+'SNAP - LASER 2011'!D66+'SNAP - LASER 2011'!E66+'FC &amp; Adoptions LASER 2011'!C66+'LIHEAP LASER 2011'!D66+'TANF LASER 2011'!C66+'Other Benefits LASER 2011'!C66</f>
        <v>6403352.4982159995</v>
      </c>
      <c r="M68" s="1134">
        <f>'Medicaid &amp; FAMIS - LASER 2011'!E66+'SNAP - LASER 2011'!F66+'FC &amp; Adoptions LASER 2011'!D66+'TANF LASER 2011'!D66+'Other Benefits LASER 2011'!D66</f>
        <v>3726527.4217839995</v>
      </c>
      <c r="N68" s="1134">
        <f>'FC &amp; Adoptions LASER 2011'!E66+'TANF LASER 2011'!E66</f>
        <v>380332.94</v>
      </c>
      <c r="O68" s="1134">
        <f t="shared" si="10"/>
        <v>10510212.859999998</v>
      </c>
      <c r="Q68" s="1137">
        <f t="shared" si="11"/>
        <v>0.50810701388269708</v>
      </c>
      <c r="R68" s="1137">
        <f t="shared" si="12"/>
        <v>0.18551777308846665</v>
      </c>
      <c r="S68" s="1137">
        <f t="shared" si="13"/>
        <v>0.30637521302883619</v>
      </c>
      <c r="T68" s="1137">
        <f t="shared" si="5"/>
        <v>0.69362478697116381</v>
      </c>
      <c r="V68" s="1137">
        <f t="shared" si="6"/>
        <v>0.41375605962255857</v>
      </c>
      <c r="W68" s="1137">
        <f t="shared" si="7"/>
        <v>1.18542377446342E-2</v>
      </c>
      <c r="X68" s="1137">
        <f t="shared" si="8"/>
        <v>0.57438970263280731</v>
      </c>
    </row>
    <row r="69" spans="1:24">
      <c r="A69" s="189" t="s">
        <v>163</v>
      </c>
      <c r="B69" s="190" t="s">
        <v>164</v>
      </c>
      <c r="C69" s="191" t="s">
        <v>272</v>
      </c>
      <c r="D69" s="1134">
        <f>'Eligibililty Staff LASER-2011'!C67+'Services Staff LASER 2011'!C67+'Other Exp. LASER 2011'!C67</f>
        <v>1043459.3300000001</v>
      </c>
      <c r="E69" s="1134">
        <f>'Eligibililty Staff LASER-2011'!D67+'Services Staff LASER 2011'!D67+'Other Exp. LASER 2011'!D67</f>
        <v>527274.38</v>
      </c>
      <c r="F69" s="1134">
        <f>'Eligibililty Staff LASER-2011'!E67+'Services Staff LASER 2011'!E67+'Other Exp. LASER 2011'!E67</f>
        <v>369558.24999999994</v>
      </c>
      <c r="G69" s="1134">
        <f>SUM('Benefits Spending Summary'!D69:F69)</f>
        <v>1940291.96</v>
      </c>
      <c r="H69" s="1134">
        <f>'Services for Clients LASER 2011'!C68</f>
        <v>361245.79</v>
      </c>
      <c r="I69" s="1134">
        <f>'Services for Clients LASER 2011'!D68</f>
        <v>57057.380000000005</v>
      </c>
      <c r="J69" s="1134">
        <f>'Services for Clients LASER 2011'!E68</f>
        <v>29375.760000000002</v>
      </c>
      <c r="K69" s="1134">
        <f t="shared" si="9"/>
        <v>447678.93</v>
      </c>
      <c r="L69" s="1134">
        <f>'Medicaid &amp; FAMIS - LASER 2011'!D67+'SNAP - LASER 2011'!D67+'SNAP - LASER 2011'!E67+'FC &amp; Adoptions LASER 2011'!C67+'LIHEAP LASER 2011'!D67+'TANF LASER 2011'!C67+'Other Benefits LASER 2011'!C67</f>
        <v>18084597.737322003</v>
      </c>
      <c r="M69" s="1134">
        <f>'Medicaid &amp; FAMIS - LASER 2011'!E67+'SNAP - LASER 2011'!F67+'FC &amp; Adoptions LASER 2011'!D67+'TANF LASER 2011'!D67+'Other Benefits LASER 2011'!D67</f>
        <v>9687748.5626779981</v>
      </c>
      <c r="N69" s="1134">
        <f>'FC &amp; Adoptions LASER 2011'!E67+'TANF LASER 2011'!E67</f>
        <v>113665.86</v>
      </c>
      <c r="O69" s="1134">
        <f t="shared" si="10"/>
        <v>27886012.16</v>
      </c>
      <c r="Q69" s="1137">
        <f t="shared" si="11"/>
        <v>0.53778470019532532</v>
      </c>
      <c r="R69" s="1137">
        <f t="shared" si="12"/>
        <v>0.27175002054845399</v>
      </c>
      <c r="S69" s="1137">
        <f t="shared" si="13"/>
        <v>0.19046527925622078</v>
      </c>
      <c r="T69" s="1137">
        <f t="shared" si="5"/>
        <v>0.80953472074377919</v>
      </c>
      <c r="V69" s="1137">
        <f t="shared" si="6"/>
        <v>0.72094877823515635</v>
      </c>
      <c r="W69" s="1137">
        <f t="shared" si="7"/>
        <v>5.730738870456601E-2</v>
      </c>
      <c r="X69" s="1137">
        <f t="shared" si="8"/>
        <v>0.22174383306027762</v>
      </c>
    </row>
    <row r="70" spans="1:24">
      <c r="A70" s="189" t="s">
        <v>165</v>
      </c>
      <c r="B70" s="190" t="s">
        <v>166</v>
      </c>
      <c r="C70" s="191" t="s">
        <v>275</v>
      </c>
      <c r="D70" s="1134">
        <f>'Eligibililty Staff LASER-2011'!C68+'Services Staff LASER 2011'!C68+'Other Exp. LASER 2011'!C68</f>
        <v>471260.88</v>
      </c>
      <c r="E70" s="1134">
        <f>'Eligibililty Staff LASER-2011'!D68+'Services Staff LASER 2011'!D68+'Other Exp. LASER 2011'!D68</f>
        <v>206711.72999999998</v>
      </c>
      <c r="F70" s="1134">
        <f>'Eligibililty Staff LASER-2011'!E68+'Services Staff LASER 2011'!E68+'Other Exp. LASER 2011'!E68</f>
        <v>348731.37</v>
      </c>
      <c r="G70" s="1134">
        <f>SUM('Benefits Spending Summary'!D70:F70)</f>
        <v>1026703.98</v>
      </c>
      <c r="H70" s="1134">
        <f>'Services for Clients LASER 2011'!C69</f>
        <v>113733.04999999999</v>
      </c>
      <c r="I70" s="1134">
        <f>'Services for Clients LASER 2011'!D69</f>
        <v>21922.03</v>
      </c>
      <c r="J70" s="1134">
        <f>'Services for Clients LASER 2011'!E69</f>
        <v>10147.699999999999</v>
      </c>
      <c r="K70" s="1134">
        <f t="shared" ref="K70:K101" si="14">SUM(H70:J70)</f>
        <v>145802.78</v>
      </c>
      <c r="L70" s="1134">
        <f>'Medicaid &amp; FAMIS - LASER 2011'!D68+'SNAP - LASER 2011'!D68+'SNAP - LASER 2011'!E68+'FC &amp; Adoptions LASER 2011'!C68+'LIHEAP LASER 2011'!D68+'TANF LASER 2011'!C68+'Other Benefits LASER 2011'!C68</f>
        <v>8617743.378419999</v>
      </c>
      <c r="M70" s="1134">
        <f>'Medicaid &amp; FAMIS - LASER 2011'!E68+'SNAP - LASER 2011'!F68+'FC &amp; Adoptions LASER 2011'!D68+'TANF LASER 2011'!D68+'Other Benefits LASER 2011'!D68</f>
        <v>4410272.9315799996</v>
      </c>
      <c r="N70" s="1134">
        <f>'FC &amp; Adoptions LASER 2011'!E68+'TANF LASER 2011'!E68</f>
        <v>75502.840000000011</v>
      </c>
      <c r="O70" s="1134">
        <f t="shared" ref="O70:O101" si="15">SUM(L70:N70)</f>
        <v>13103519.149999999</v>
      </c>
      <c r="Q70" s="1137">
        <f t="shared" ref="Q70:Q101" si="16">D70/G70</f>
        <v>0.45900365556194689</v>
      </c>
      <c r="R70" s="1137">
        <f t="shared" ref="R70:R101" si="17">E70/G70</f>
        <v>0.20133527679516738</v>
      </c>
      <c r="S70" s="1137">
        <f t="shared" ref="S70:S101" si="18">F70/G70</f>
        <v>0.33966106764288573</v>
      </c>
      <c r="T70" s="1137">
        <f t="shared" si="5"/>
        <v>0.66033893235711427</v>
      </c>
      <c r="V70" s="1137">
        <f t="shared" si="6"/>
        <v>0.8028220374094307</v>
      </c>
      <c r="W70" s="1137">
        <f t="shared" si="7"/>
        <v>2.3361239882204114E-2</v>
      </c>
      <c r="X70" s="1137">
        <f t="shared" si="8"/>
        <v>0.1738167227083651</v>
      </c>
    </row>
    <row r="71" spans="1:24">
      <c r="A71" s="189" t="s">
        <v>169</v>
      </c>
      <c r="B71" s="190" t="s">
        <v>170</v>
      </c>
      <c r="C71" s="191" t="s">
        <v>275</v>
      </c>
      <c r="D71" s="1134">
        <f>'Eligibililty Staff LASER-2011'!C69+'Services Staff LASER 2011'!C69+'Other Exp. LASER 2011'!C69</f>
        <v>579022.86</v>
      </c>
      <c r="E71" s="1134">
        <f>'Eligibililty Staff LASER-2011'!D69+'Services Staff LASER 2011'!D69+'Other Exp. LASER 2011'!D69</f>
        <v>261695.78</v>
      </c>
      <c r="F71" s="1134">
        <f>'Eligibililty Staff LASER-2011'!E69+'Services Staff LASER 2011'!E69+'Other Exp. LASER 2011'!E69</f>
        <v>266319.44000000006</v>
      </c>
      <c r="G71" s="1134">
        <f>SUM('Benefits Spending Summary'!D71:F71)</f>
        <v>1107038.08</v>
      </c>
      <c r="H71" s="1134">
        <f>'Services for Clients LASER 2011'!C70</f>
        <v>265539.02999999997</v>
      </c>
      <c r="I71" s="1134">
        <f>'Services for Clients LASER 2011'!D70</f>
        <v>79630.240000000005</v>
      </c>
      <c r="J71" s="1134">
        <f>'Services for Clients LASER 2011'!E70</f>
        <v>40732.920000000006</v>
      </c>
      <c r="K71" s="1134">
        <f t="shared" si="14"/>
        <v>385902.18999999994</v>
      </c>
      <c r="L71" s="1134">
        <f>'Medicaid &amp; FAMIS - LASER 2011'!D69+'SNAP - LASER 2011'!D69+'SNAP - LASER 2011'!E69+'FC &amp; Adoptions LASER 2011'!C69+'LIHEAP LASER 2011'!D69+'TANF LASER 2011'!C69+'Other Benefits LASER 2011'!C69</f>
        <v>17580395.893408999</v>
      </c>
      <c r="M71" s="1134">
        <f>'Medicaid &amp; FAMIS - LASER 2011'!E69+'SNAP - LASER 2011'!F69+'FC &amp; Adoptions LASER 2011'!D69+'TANF LASER 2011'!D69+'Other Benefits LASER 2011'!D69</f>
        <v>8534395.0265909992</v>
      </c>
      <c r="N71" s="1134">
        <f>'FC &amp; Adoptions LASER 2011'!E69+'TANF LASER 2011'!E69</f>
        <v>192383.37</v>
      </c>
      <c r="O71" s="1134">
        <f t="shared" si="15"/>
        <v>26307174.289999999</v>
      </c>
      <c r="Q71" s="1137">
        <f t="shared" si="16"/>
        <v>0.52303788863342437</v>
      </c>
      <c r="R71" s="1137">
        <f t="shared" si="17"/>
        <v>0.23639275353563266</v>
      </c>
      <c r="S71" s="1137">
        <f t="shared" si="18"/>
        <v>0.24056935783094294</v>
      </c>
      <c r="T71" s="1137">
        <f t="shared" ref="T71:T126" si="19">(D71+E71)/G71</f>
        <v>0.75943064216905709</v>
      </c>
      <c r="V71" s="1137">
        <f t="shared" ref="V71:V126" si="20">F71/(F71+J71+N71)</f>
        <v>0.53324066341829413</v>
      </c>
      <c r="W71" s="1137">
        <f t="shared" ref="W71:W126" si="21">J71/(F71+J71+N71)</f>
        <v>8.1557881331397741E-2</v>
      </c>
      <c r="X71" s="1137">
        <f t="shared" ref="X71:X126" si="22">N71/(F71+J71+N71)</f>
        <v>0.38520145525030813</v>
      </c>
    </row>
    <row r="72" spans="1:24">
      <c r="A72" s="189" t="s">
        <v>171</v>
      </c>
      <c r="B72" s="190" t="s">
        <v>172</v>
      </c>
      <c r="C72" s="191" t="s">
        <v>276</v>
      </c>
      <c r="D72" s="1134">
        <f>'Eligibililty Staff LASER-2011'!C70+'Services Staff LASER 2011'!C70+'Other Exp. LASER 2011'!C70</f>
        <v>699192.81</v>
      </c>
      <c r="E72" s="1134">
        <f>'Eligibililty Staff LASER-2011'!D70+'Services Staff LASER 2011'!D70+'Other Exp. LASER 2011'!D70</f>
        <v>314749.71000000002</v>
      </c>
      <c r="F72" s="1134">
        <f>'Eligibililty Staff LASER-2011'!E70+'Services Staff LASER 2011'!E70+'Other Exp. LASER 2011'!E70</f>
        <v>634741.71000000008</v>
      </c>
      <c r="G72" s="1134">
        <f>SUM('Benefits Spending Summary'!D72:F72)</f>
        <v>1648684.23</v>
      </c>
      <c r="H72" s="1134">
        <f>'Services for Clients LASER 2011'!C71</f>
        <v>300617.64999999997</v>
      </c>
      <c r="I72" s="1134">
        <f>'Services for Clients LASER 2011'!D71</f>
        <v>75813.199999999983</v>
      </c>
      <c r="J72" s="1134">
        <f>'Services for Clients LASER 2011'!E71</f>
        <v>24523.41</v>
      </c>
      <c r="K72" s="1134">
        <f t="shared" si="14"/>
        <v>400954.25999999995</v>
      </c>
      <c r="L72" s="1134">
        <f>'Medicaid &amp; FAMIS - LASER 2011'!D70+'SNAP - LASER 2011'!D70+'SNAP - LASER 2011'!E70+'FC &amp; Adoptions LASER 2011'!C70+'LIHEAP LASER 2011'!D70+'TANF LASER 2011'!C70+'Other Benefits LASER 2011'!C70</f>
        <v>21536186.991140999</v>
      </c>
      <c r="M72" s="1134">
        <f>'Medicaid &amp; FAMIS - LASER 2011'!E70+'SNAP - LASER 2011'!F70+'FC &amp; Adoptions LASER 2011'!D70+'TANF LASER 2011'!D70+'Other Benefits LASER 2011'!D70</f>
        <v>12785372.108859001</v>
      </c>
      <c r="N72" s="1134">
        <f>'FC &amp; Adoptions LASER 2011'!E70+'TANF LASER 2011'!E70</f>
        <v>733570.78</v>
      </c>
      <c r="O72" s="1134">
        <f t="shared" si="15"/>
        <v>35055129.880000003</v>
      </c>
      <c r="Q72" s="1137">
        <f t="shared" si="16"/>
        <v>0.42409140408894436</v>
      </c>
      <c r="R72" s="1137">
        <f t="shared" si="17"/>
        <v>0.19090963828773932</v>
      </c>
      <c r="S72" s="1137">
        <f t="shared" si="18"/>
        <v>0.38499895762331643</v>
      </c>
      <c r="T72" s="1137">
        <f t="shared" si="19"/>
        <v>0.61500104237668363</v>
      </c>
      <c r="V72" s="1137">
        <f t="shared" si="20"/>
        <v>0.45571894722127709</v>
      </c>
      <c r="W72" s="1137">
        <f t="shared" si="21"/>
        <v>1.7606819295797875E-2</v>
      </c>
      <c r="X72" s="1137">
        <f t="shared" si="22"/>
        <v>0.52667423348292497</v>
      </c>
    </row>
    <row r="73" spans="1:24">
      <c r="A73" s="189" t="s">
        <v>173</v>
      </c>
      <c r="B73" s="190" t="s">
        <v>174</v>
      </c>
      <c r="C73" s="191" t="s">
        <v>276</v>
      </c>
      <c r="D73" s="1134">
        <f>'Eligibililty Staff LASER-2011'!C71+'Services Staff LASER 2011'!C71+'Other Exp. LASER 2011'!C71</f>
        <v>765779.19000000006</v>
      </c>
      <c r="E73" s="1134">
        <f>'Eligibililty Staff LASER-2011'!D71+'Services Staff LASER 2011'!D71+'Other Exp. LASER 2011'!D71</f>
        <v>342246.26</v>
      </c>
      <c r="F73" s="1134">
        <f>'Eligibililty Staff LASER-2011'!E71+'Services Staff LASER 2011'!E71+'Other Exp. LASER 2011'!E71</f>
        <v>419268.12</v>
      </c>
      <c r="G73" s="1134">
        <f>SUM('Benefits Spending Summary'!D73:F73)</f>
        <v>1527293.5700000003</v>
      </c>
      <c r="H73" s="1134">
        <f>'Services for Clients LASER 2011'!C72</f>
        <v>195771.62</v>
      </c>
      <c r="I73" s="1134">
        <f>'Services for Clients LASER 2011'!D72</f>
        <v>38080.83</v>
      </c>
      <c r="J73" s="1134">
        <f>'Services for Clients LASER 2011'!E72</f>
        <v>16835.36</v>
      </c>
      <c r="K73" s="1134">
        <f t="shared" si="14"/>
        <v>250687.81</v>
      </c>
      <c r="L73" s="1134">
        <f>'Medicaid &amp; FAMIS - LASER 2011'!D71+'SNAP - LASER 2011'!D71+'SNAP - LASER 2011'!E71+'FC &amp; Adoptions LASER 2011'!C71+'LIHEAP LASER 2011'!D71+'TANF LASER 2011'!C71+'Other Benefits LASER 2011'!C71</f>
        <v>19330929.924083002</v>
      </c>
      <c r="M73" s="1134">
        <f>'Medicaid &amp; FAMIS - LASER 2011'!E71+'SNAP - LASER 2011'!F71+'FC &amp; Adoptions LASER 2011'!D71+'TANF LASER 2011'!D71+'Other Benefits LASER 2011'!D71</f>
        <v>9902199.1159170009</v>
      </c>
      <c r="N73" s="1134">
        <f>'FC &amp; Adoptions LASER 2011'!E71+'TANF LASER 2011'!E71</f>
        <v>269349.8</v>
      </c>
      <c r="O73" s="1134">
        <f t="shared" si="15"/>
        <v>29502478.840000004</v>
      </c>
      <c r="Q73" s="1137">
        <f t="shared" si="16"/>
        <v>0.50139619850556949</v>
      </c>
      <c r="R73" s="1137">
        <f t="shared" si="17"/>
        <v>0.22408675497795746</v>
      </c>
      <c r="S73" s="1137">
        <f t="shared" si="18"/>
        <v>0.27451704651647285</v>
      </c>
      <c r="T73" s="1137">
        <f t="shared" si="19"/>
        <v>0.72548295348352709</v>
      </c>
      <c r="V73" s="1137">
        <f t="shared" si="20"/>
        <v>0.5943244320871256</v>
      </c>
      <c r="W73" s="1137">
        <f t="shared" si="21"/>
        <v>2.3864599509693964E-2</v>
      </c>
      <c r="X73" s="1137">
        <f t="shared" si="22"/>
        <v>0.38181096840318041</v>
      </c>
    </row>
    <row r="74" spans="1:24">
      <c r="A74" s="189" t="s">
        <v>175</v>
      </c>
      <c r="B74" s="190" t="s">
        <v>176</v>
      </c>
      <c r="C74" s="191" t="s">
        <v>278</v>
      </c>
      <c r="D74" s="1134">
        <f>'Eligibililty Staff LASER-2011'!C72+'Services Staff LASER 2011'!C72+'Other Exp. LASER 2011'!C72</f>
        <v>631096.68999999983</v>
      </c>
      <c r="E74" s="1134">
        <f>'Eligibililty Staff LASER-2011'!D72+'Services Staff LASER 2011'!D72+'Other Exp. LASER 2011'!D72</f>
        <v>296466.71999999997</v>
      </c>
      <c r="F74" s="1134">
        <f>'Eligibililty Staff LASER-2011'!E72+'Services Staff LASER 2011'!E72+'Other Exp. LASER 2011'!E72</f>
        <v>231879.24</v>
      </c>
      <c r="G74" s="1134">
        <f>SUM('Benefits Spending Summary'!D74:F74)</f>
        <v>1159442.6499999999</v>
      </c>
      <c r="H74" s="1134">
        <f>'Services for Clients LASER 2011'!C73</f>
        <v>191366.81000000003</v>
      </c>
      <c r="I74" s="1134">
        <f>'Services for Clients LASER 2011'!D73</f>
        <v>39970.769999999997</v>
      </c>
      <c r="J74" s="1134">
        <f>'Services for Clients LASER 2011'!E73</f>
        <v>23589.85</v>
      </c>
      <c r="K74" s="1134">
        <f t="shared" si="14"/>
        <v>254927.43000000002</v>
      </c>
      <c r="L74" s="1134">
        <f>'Medicaid &amp; FAMIS - LASER 2011'!D72+'SNAP - LASER 2011'!D72+'SNAP - LASER 2011'!E72+'FC &amp; Adoptions LASER 2011'!C72+'LIHEAP LASER 2011'!D72+'TANF LASER 2011'!C72+'Other Benefits LASER 2011'!C72</f>
        <v>19113075.929962002</v>
      </c>
      <c r="M74" s="1134">
        <f>'Medicaid &amp; FAMIS - LASER 2011'!E72+'SNAP - LASER 2011'!F72+'FC &amp; Adoptions LASER 2011'!D72+'TANF LASER 2011'!D72+'Other Benefits LASER 2011'!D72</f>
        <v>9242974.8200379983</v>
      </c>
      <c r="N74" s="1134">
        <f>'FC &amp; Adoptions LASER 2011'!E72+'TANF LASER 2011'!E72</f>
        <v>10401.290000000001</v>
      </c>
      <c r="O74" s="1134">
        <f t="shared" si="15"/>
        <v>28366452.039999999</v>
      </c>
      <c r="Q74" s="1137">
        <f t="shared" si="16"/>
        <v>0.54431039775878509</v>
      </c>
      <c r="R74" s="1137">
        <f t="shared" si="17"/>
        <v>0.25569761471168928</v>
      </c>
      <c r="S74" s="1137">
        <f t="shared" si="18"/>
        <v>0.19999198752952552</v>
      </c>
      <c r="T74" s="1137">
        <f t="shared" si="19"/>
        <v>0.80000801247047437</v>
      </c>
      <c r="V74" s="1137">
        <f t="shared" si="20"/>
        <v>0.87215145966993379</v>
      </c>
      <c r="W74" s="1137">
        <f t="shared" si="21"/>
        <v>8.8726882626037534E-2</v>
      </c>
      <c r="X74" s="1137">
        <f t="shared" si="22"/>
        <v>3.9121657704028562E-2</v>
      </c>
    </row>
    <row r="75" spans="1:24">
      <c r="A75" s="189" t="s">
        <v>179</v>
      </c>
      <c r="B75" s="190" t="s">
        <v>180</v>
      </c>
      <c r="C75" s="191" t="s">
        <v>273</v>
      </c>
      <c r="D75" s="1134">
        <f>'Eligibililty Staff LASER-2011'!C73+'Services Staff LASER 2011'!C73+'Other Exp. LASER 2011'!C73</f>
        <v>1848286.65</v>
      </c>
      <c r="E75" s="1134">
        <f>'Eligibililty Staff LASER-2011'!D73+'Services Staff LASER 2011'!D73+'Other Exp. LASER 2011'!D73</f>
        <v>899410.89</v>
      </c>
      <c r="F75" s="1134">
        <f>'Eligibililty Staff LASER-2011'!E73+'Services Staff LASER 2011'!E73+'Other Exp. LASER 2011'!E73</f>
        <v>835403.23</v>
      </c>
      <c r="G75" s="1134">
        <f>SUM('Benefits Spending Summary'!D75:F75)</f>
        <v>3583100.77</v>
      </c>
      <c r="H75" s="1134">
        <f>'Services for Clients LASER 2011'!C74</f>
        <v>551607.62</v>
      </c>
      <c r="I75" s="1134">
        <f>'Services for Clients LASER 2011'!D74</f>
        <v>75761.22</v>
      </c>
      <c r="J75" s="1134">
        <f>'Services for Clients LASER 2011'!E74</f>
        <v>46380.35</v>
      </c>
      <c r="K75" s="1134">
        <f t="shared" si="14"/>
        <v>673749.19</v>
      </c>
      <c r="L75" s="1134">
        <f>'Medicaid &amp; FAMIS - LASER 2011'!D73+'SNAP - LASER 2011'!D73+'SNAP - LASER 2011'!E73+'FC &amp; Adoptions LASER 2011'!C73+'LIHEAP LASER 2011'!D73+'TANF LASER 2011'!C73+'Other Benefits LASER 2011'!C73</f>
        <v>54581143.716439992</v>
      </c>
      <c r="M75" s="1134">
        <f>'Medicaid &amp; FAMIS - LASER 2011'!E73+'SNAP - LASER 2011'!F73+'FC &amp; Adoptions LASER 2011'!D73+'TANF LASER 2011'!D73+'Other Benefits LASER 2011'!D73</f>
        <v>29251306.073559996</v>
      </c>
      <c r="N75" s="1134">
        <f>'FC &amp; Adoptions LASER 2011'!E73+'TANF LASER 2011'!E73</f>
        <v>873691.89</v>
      </c>
      <c r="O75" s="1134">
        <f t="shared" si="15"/>
        <v>84706141.679999992</v>
      </c>
      <c r="Q75" s="1137">
        <f t="shared" si="16"/>
        <v>0.51583440395398084</v>
      </c>
      <c r="R75" s="1137">
        <f t="shared" si="17"/>
        <v>0.25101467910990399</v>
      </c>
      <c r="S75" s="1137">
        <f t="shared" si="18"/>
        <v>0.23315091693611509</v>
      </c>
      <c r="T75" s="1137">
        <f t="shared" si="19"/>
        <v>0.76684908306388488</v>
      </c>
      <c r="V75" s="1137">
        <f t="shared" si="20"/>
        <v>0.47588430842613827</v>
      </c>
      <c r="W75" s="1137">
        <f t="shared" si="21"/>
        <v>2.6420391963665548E-2</v>
      </c>
      <c r="X75" s="1137">
        <f t="shared" si="22"/>
        <v>0.49769529961019621</v>
      </c>
    </row>
    <row r="76" spans="1:24">
      <c r="A76" s="189" t="s">
        <v>183</v>
      </c>
      <c r="B76" s="190" t="s">
        <v>184</v>
      </c>
      <c r="C76" s="191" t="s">
        <v>275</v>
      </c>
      <c r="D76" s="1134">
        <f>'Eligibililty Staff LASER-2011'!C74+'Services Staff LASER 2011'!C74+'Other Exp. LASER 2011'!C74</f>
        <v>475057.7</v>
      </c>
      <c r="E76" s="1134">
        <f>'Eligibililty Staff LASER-2011'!D74+'Services Staff LASER 2011'!D74+'Other Exp. LASER 2011'!D74</f>
        <v>150341.82</v>
      </c>
      <c r="F76" s="1134">
        <f>'Eligibililty Staff LASER-2011'!E74+'Services Staff LASER 2011'!E74+'Other Exp. LASER 2011'!E74</f>
        <v>533318.35000000009</v>
      </c>
      <c r="G76" s="1134">
        <f>SUM('Benefits Spending Summary'!D76:F76)</f>
        <v>1158717.8700000001</v>
      </c>
      <c r="H76" s="1134">
        <f>'Services for Clients LASER 2011'!C75</f>
        <v>135049.81</v>
      </c>
      <c r="I76" s="1134">
        <f>'Services for Clients LASER 2011'!D75</f>
        <v>35929.61</v>
      </c>
      <c r="J76" s="1134">
        <f>'Services for Clients LASER 2011'!E75</f>
        <v>11987.039999999997</v>
      </c>
      <c r="K76" s="1134">
        <f t="shared" si="14"/>
        <v>182966.46</v>
      </c>
      <c r="L76" s="1134">
        <f>'Medicaid &amp; FAMIS - LASER 2011'!D74+'SNAP - LASER 2011'!D74+'SNAP - LASER 2011'!E74+'FC &amp; Adoptions LASER 2011'!C74+'LIHEAP LASER 2011'!D74+'TANF LASER 2011'!C74+'Other Benefits LASER 2011'!C74</f>
        <v>8501499.7341689989</v>
      </c>
      <c r="M76" s="1134">
        <f>'Medicaid &amp; FAMIS - LASER 2011'!E74+'SNAP - LASER 2011'!F74+'FC &amp; Adoptions LASER 2011'!D74+'TANF LASER 2011'!D74+'Other Benefits LASER 2011'!D74</f>
        <v>5180669.9858309999</v>
      </c>
      <c r="N76" s="1134">
        <f>'FC &amp; Adoptions LASER 2011'!E74+'TANF LASER 2011'!E74</f>
        <v>656773.11</v>
      </c>
      <c r="O76" s="1134">
        <f t="shared" si="15"/>
        <v>14338942.829999998</v>
      </c>
      <c r="Q76" s="1137">
        <f t="shared" si="16"/>
        <v>0.40998565077795857</v>
      </c>
      <c r="R76" s="1137">
        <f t="shared" si="17"/>
        <v>0.12974842616348015</v>
      </c>
      <c r="S76" s="1137">
        <f t="shared" si="18"/>
        <v>0.46026592305856129</v>
      </c>
      <c r="T76" s="1137">
        <f t="shared" si="19"/>
        <v>0.53973407694143871</v>
      </c>
      <c r="V76" s="1137">
        <f t="shared" si="20"/>
        <v>0.44366349618598128</v>
      </c>
      <c r="W76" s="1137">
        <f t="shared" si="21"/>
        <v>9.9719277900736075E-3</v>
      </c>
      <c r="X76" s="1137">
        <f t="shared" si="22"/>
        <v>0.54636457602394517</v>
      </c>
    </row>
    <row r="77" spans="1:24">
      <c r="A77" s="189" t="s">
        <v>185</v>
      </c>
      <c r="B77" s="190" t="s">
        <v>186</v>
      </c>
      <c r="C77" s="191" t="s">
        <v>275</v>
      </c>
      <c r="D77" s="1134">
        <f>'Eligibililty Staff LASER-2011'!C75+'Services Staff LASER 2011'!C75+'Other Exp. LASER 2011'!C75</f>
        <v>910530.94999999984</v>
      </c>
      <c r="E77" s="1134">
        <f>'Eligibililty Staff LASER-2011'!D75+'Services Staff LASER 2011'!D75+'Other Exp. LASER 2011'!D75</f>
        <v>420816.64000000001</v>
      </c>
      <c r="F77" s="1134">
        <f>'Eligibililty Staff LASER-2011'!E75+'Services Staff LASER 2011'!E75+'Other Exp. LASER 2011'!E75</f>
        <v>570262.74</v>
      </c>
      <c r="G77" s="1134">
        <f>SUM('Benefits Spending Summary'!D77:F77)</f>
        <v>1901610.3299999998</v>
      </c>
      <c r="H77" s="1134">
        <f>'Services for Clients LASER 2011'!C76</f>
        <v>226929.93999999997</v>
      </c>
      <c r="I77" s="1134">
        <f>'Services for Clients LASER 2011'!D76</f>
        <v>83818.39</v>
      </c>
      <c r="J77" s="1134">
        <f>'Services for Clients LASER 2011'!E76</f>
        <v>30576.03</v>
      </c>
      <c r="K77" s="1134">
        <f t="shared" si="14"/>
        <v>341324.36</v>
      </c>
      <c r="L77" s="1134">
        <f>'Medicaid &amp; FAMIS - LASER 2011'!D75+'SNAP - LASER 2011'!D75+'SNAP - LASER 2011'!E75+'FC &amp; Adoptions LASER 2011'!C75+'LIHEAP LASER 2011'!D75+'TANF LASER 2011'!C75+'Other Benefits LASER 2011'!C75</f>
        <v>20505511.297399998</v>
      </c>
      <c r="M77" s="1134">
        <f>'Medicaid &amp; FAMIS - LASER 2011'!E75+'SNAP - LASER 2011'!F75+'FC &amp; Adoptions LASER 2011'!D75+'TANF LASER 2011'!D75+'Other Benefits LASER 2011'!D75</f>
        <v>11033893.752599999</v>
      </c>
      <c r="N77" s="1134">
        <f>'FC &amp; Adoptions LASER 2011'!E75+'TANF LASER 2011'!E75</f>
        <v>157928.56</v>
      </c>
      <c r="O77" s="1134">
        <f t="shared" si="15"/>
        <v>31697333.609999996</v>
      </c>
      <c r="Q77" s="1137">
        <f t="shared" si="16"/>
        <v>0.47882099483546658</v>
      </c>
      <c r="R77" s="1137">
        <f t="shared" si="17"/>
        <v>0.22129488537223083</v>
      </c>
      <c r="S77" s="1137">
        <f t="shared" si="18"/>
        <v>0.29988411979230256</v>
      </c>
      <c r="T77" s="1137">
        <f t="shared" si="19"/>
        <v>0.70011588020769744</v>
      </c>
      <c r="V77" s="1137">
        <f t="shared" si="20"/>
        <v>0.7515646990230852</v>
      </c>
      <c r="W77" s="1137">
        <f t="shared" si="21"/>
        <v>4.0296977467387793E-2</v>
      </c>
      <c r="X77" s="1137">
        <f t="shared" si="22"/>
        <v>0.20813832350952693</v>
      </c>
    </row>
    <row r="78" spans="1:24">
      <c r="A78" s="189" t="s">
        <v>187</v>
      </c>
      <c r="B78" s="190" t="s">
        <v>188</v>
      </c>
      <c r="C78" s="191" t="s">
        <v>272</v>
      </c>
      <c r="D78" s="1134">
        <f>'Eligibililty Staff LASER-2011'!C76+'Services Staff LASER 2011'!C76+'Other Exp. LASER 2011'!C76</f>
        <v>650647.44000000006</v>
      </c>
      <c r="E78" s="1134">
        <f>'Eligibililty Staff LASER-2011'!D76+'Services Staff LASER 2011'!D76+'Other Exp. LASER 2011'!D76</f>
        <v>312369.17000000004</v>
      </c>
      <c r="F78" s="1134">
        <f>'Eligibililty Staff LASER-2011'!E76+'Services Staff LASER 2011'!E76+'Other Exp. LASER 2011'!E76</f>
        <v>615162.49</v>
      </c>
      <c r="G78" s="1134">
        <f>SUM('Benefits Spending Summary'!D78:F78)</f>
        <v>1578179.1</v>
      </c>
      <c r="H78" s="1134">
        <f>'Services for Clients LASER 2011'!C77</f>
        <v>82268.970000000016</v>
      </c>
      <c r="I78" s="1134">
        <f>'Services for Clients LASER 2011'!D77</f>
        <v>22591.3</v>
      </c>
      <c r="J78" s="1134">
        <f>'Services for Clients LASER 2011'!E77</f>
        <v>6566.7000000000007</v>
      </c>
      <c r="K78" s="1134">
        <f t="shared" si="14"/>
        <v>111426.97000000002</v>
      </c>
      <c r="L78" s="1134">
        <f>'Medicaid &amp; FAMIS - LASER 2011'!D76+'SNAP - LASER 2011'!D76+'SNAP - LASER 2011'!E76+'FC &amp; Adoptions LASER 2011'!C76+'LIHEAP LASER 2011'!D76+'TANF LASER 2011'!C76+'Other Benefits LASER 2011'!C76</f>
        <v>13420533.408368001</v>
      </c>
      <c r="M78" s="1134">
        <f>'Medicaid &amp; FAMIS - LASER 2011'!E76+'SNAP - LASER 2011'!F76+'FC &amp; Adoptions LASER 2011'!D76+'TANF LASER 2011'!D76+'Other Benefits LASER 2011'!D76</f>
        <v>7075864.9116319995</v>
      </c>
      <c r="N78" s="1134">
        <f>'FC &amp; Adoptions LASER 2011'!E76+'TANF LASER 2011'!E76</f>
        <v>310186.53999999998</v>
      </c>
      <c r="O78" s="1134">
        <f t="shared" si="15"/>
        <v>20806584.859999999</v>
      </c>
      <c r="Q78" s="1137">
        <f t="shared" si="16"/>
        <v>0.41227731377256233</v>
      </c>
      <c r="R78" s="1137">
        <f t="shared" si="17"/>
        <v>0.1979301145224899</v>
      </c>
      <c r="S78" s="1137">
        <f t="shared" si="18"/>
        <v>0.3897925717049478</v>
      </c>
      <c r="T78" s="1137">
        <f t="shared" si="19"/>
        <v>0.61020742829505226</v>
      </c>
      <c r="V78" s="1137">
        <f t="shared" si="20"/>
        <v>0.66010527582789058</v>
      </c>
      <c r="W78" s="1137">
        <f t="shared" si="21"/>
        <v>7.0464525799988379E-3</v>
      </c>
      <c r="X78" s="1137">
        <f t="shared" si="22"/>
        <v>0.33284827159211056</v>
      </c>
    </row>
    <row r="79" spans="1:24">
      <c r="A79" s="189" t="s">
        <v>189</v>
      </c>
      <c r="B79" s="190" t="s">
        <v>190</v>
      </c>
      <c r="C79" s="191" t="s">
        <v>276</v>
      </c>
      <c r="D79" s="1134">
        <f>'Eligibililty Staff LASER-2011'!C77+'Services Staff LASER 2011'!C77+'Other Exp. LASER 2011'!C77</f>
        <v>8263672.9100000001</v>
      </c>
      <c r="E79" s="1134">
        <f>'Eligibililty Staff LASER-2011'!D77+'Services Staff LASER 2011'!D77+'Other Exp. LASER 2011'!D77</f>
        <v>2362943.2800000003</v>
      </c>
      <c r="F79" s="1134">
        <f>'Eligibililty Staff LASER-2011'!E77+'Services Staff LASER 2011'!E77+'Other Exp. LASER 2011'!E77</f>
        <v>9282636.6500000004</v>
      </c>
      <c r="G79" s="1134">
        <f>SUM('Benefits Spending Summary'!D79:F79)</f>
        <v>19909252.840000004</v>
      </c>
      <c r="H79" s="1134">
        <f>'Services for Clients LASER 2011'!C78</f>
        <v>4617140.5699999994</v>
      </c>
      <c r="I79" s="1134">
        <f>'Services for Clients LASER 2011'!D78</f>
        <v>1918620.1400000001</v>
      </c>
      <c r="J79" s="1134">
        <f>'Services for Clients LASER 2011'!E78</f>
        <v>327630.13000000006</v>
      </c>
      <c r="K79" s="1134">
        <f t="shared" si="14"/>
        <v>6863390.8399999989</v>
      </c>
      <c r="L79" s="1134">
        <f>'Medicaid &amp; FAMIS - LASER 2011'!D77+'SNAP - LASER 2011'!D77+'SNAP - LASER 2011'!E77+'FC &amp; Adoptions LASER 2011'!C77+'LIHEAP LASER 2011'!D77+'TANF LASER 2011'!C77+'Other Benefits LASER 2011'!C77</f>
        <v>158572601.69449902</v>
      </c>
      <c r="M79" s="1134">
        <f>'Medicaid &amp; FAMIS - LASER 2011'!E77+'SNAP - LASER 2011'!F77+'FC &amp; Adoptions LASER 2011'!D77+'TANF LASER 2011'!D77+'Other Benefits LASER 2011'!D77</f>
        <v>84916092.955501005</v>
      </c>
      <c r="N79" s="1134">
        <f>'FC &amp; Adoptions LASER 2011'!E77+'TANF LASER 2011'!E77</f>
        <v>2584372.1599999997</v>
      </c>
      <c r="O79" s="1134">
        <f t="shared" si="15"/>
        <v>246073066.81000003</v>
      </c>
      <c r="Q79" s="1137">
        <f t="shared" si="16"/>
        <v>0.41506695285909073</v>
      </c>
      <c r="R79" s="1137">
        <f t="shared" si="17"/>
        <v>0.11868568343522026</v>
      </c>
      <c r="S79" s="1137">
        <f t="shared" si="18"/>
        <v>0.46624736370568887</v>
      </c>
      <c r="T79" s="1137">
        <f t="shared" si="19"/>
        <v>0.53375263629431102</v>
      </c>
      <c r="V79" s="1137">
        <f t="shared" si="20"/>
        <v>0.76120635433917971</v>
      </c>
      <c r="W79" s="1137">
        <f t="shared" si="21"/>
        <v>2.6866734768614644E-2</v>
      </c>
      <c r="X79" s="1137">
        <f t="shared" si="22"/>
        <v>0.2119269108922055</v>
      </c>
    </row>
    <row r="80" spans="1:24">
      <c r="A80" s="189" t="s">
        <v>191</v>
      </c>
      <c r="B80" s="190" t="s">
        <v>192</v>
      </c>
      <c r="C80" s="191" t="s">
        <v>278</v>
      </c>
      <c r="D80" s="1134">
        <f>'Eligibililty Staff LASER-2011'!C78+'Services Staff LASER 2011'!C78+'Other Exp. LASER 2011'!C78</f>
        <v>1652928.1300000001</v>
      </c>
      <c r="E80" s="1134">
        <f>'Eligibililty Staff LASER-2011'!D78+'Services Staff LASER 2011'!D78+'Other Exp. LASER 2011'!D78</f>
        <v>868446.83000000007</v>
      </c>
      <c r="F80" s="1134">
        <f>'Eligibililty Staff LASER-2011'!E78+'Services Staff LASER 2011'!E78+'Other Exp. LASER 2011'!E78</f>
        <v>746355.88</v>
      </c>
      <c r="G80" s="1134">
        <f>SUM('Benefits Spending Summary'!D80:F80)</f>
        <v>3267730.84</v>
      </c>
      <c r="H80" s="1134">
        <f>'Services for Clients LASER 2011'!C79</f>
        <v>295350.82999999996</v>
      </c>
      <c r="I80" s="1134">
        <f>'Services for Clients LASER 2011'!D79</f>
        <v>79635.509999999995</v>
      </c>
      <c r="J80" s="1134">
        <f>'Services for Clients LASER 2011'!E79</f>
        <v>31984.980000000003</v>
      </c>
      <c r="K80" s="1134">
        <f t="shared" si="14"/>
        <v>406971.31999999995</v>
      </c>
      <c r="L80" s="1134">
        <f>'Medicaid &amp; FAMIS - LASER 2011'!D78+'SNAP - LASER 2011'!D78+'SNAP - LASER 2011'!E78+'FC &amp; Adoptions LASER 2011'!C78+'LIHEAP LASER 2011'!D78+'TANF LASER 2011'!C78+'Other Benefits LASER 2011'!C78</f>
        <v>34327150.312871993</v>
      </c>
      <c r="M80" s="1134">
        <f>'Medicaid &amp; FAMIS - LASER 2011'!E78+'SNAP - LASER 2011'!F78+'FC &amp; Adoptions LASER 2011'!D78+'TANF LASER 2011'!D78+'Other Benefits LASER 2011'!D78</f>
        <v>19400900.037127998</v>
      </c>
      <c r="N80" s="1134">
        <f>'FC &amp; Adoptions LASER 2011'!E78+'TANF LASER 2011'!E78</f>
        <v>1072412.1500000001</v>
      </c>
      <c r="O80" s="1134">
        <f t="shared" si="15"/>
        <v>54800462.499999993</v>
      </c>
      <c r="Q80" s="1137">
        <f t="shared" si="16"/>
        <v>0.50583362306547874</v>
      </c>
      <c r="R80" s="1137">
        <f t="shared" si="17"/>
        <v>0.2657644930143635</v>
      </c>
      <c r="S80" s="1137">
        <f t="shared" si="18"/>
        <v>0.22840188392015789</v>
      </c>
      <c r="T80" s="1137">
        <f t="shared" si="19"/>
        <v>0.77159811607984219</v>
      </c>
      <c r="V80" s="1137">
        <f t="shared" si="20"/>
        <v>0.40327146624497445</v>
      </c>
      <c r="W80" s="1137">
        <f t="shared" si="21"/>
        <v>1.7282143985274404E-2</v>
      </c>
      <c r="X80" s="1137">
        <f t="shared" si="22"/>
        <v>0.57944638976975105</v>
      </c>
    </row>
    <row r="81" spans="1:24">
      <c r="A81" s="189" t="s">
        <v>195</v>
      </c>
      <c r="B81" s="190" t="s">
        <v>196</v>
      </c>
      <c r="C81" s="191" t="s">
        <v>276</v>
      </c>
      <c r="D81" s="1134">
        <f>'Eligibililty Staff LASER-2011'!C79+'Services Staff LASER 2011'!C79+'Other Exp. LASER 2011'!C79</f>
        <v>316691.83</v>
      </c>
      <c r="E81" s="1134">
        <f>'Eligibililty Staff LASER-2011'!D79+'Services Staff LASER 2011'!D79+'Other Exp. LASER 2011'!D79</f>
        <v>121390.73999999999</v>
      </c>
      <c r="F81" s="1134">
        <f>'Eligibililty Staff LASER-2011'!E79+'Services Staff LASER 2011'!E79+'Other Exp. LASER 2011'!E79</f>
        <v>299183.54000000004</v>
      </c>
      <c r="G81" s="1134">
        <f>SUM('Benefits Spending Summary'!D81:F81)</f>
        <v>737266.1100000001</v>
      </c>
      <c r="H81" s="1134">
        <f>'Services for Clients LASER 2011'!C80</f>
        <v>84319.56</v>
      </c>
      <c r="I81" s="1134">
        <f>'Services for Clients LASER 2011'!D80</f>
        <v>7940.7899999999991</v>
      </c>
      <c r="J81" s="1134">
        <f>'Services for Clients LASER 2011'!E80</f>
        <v>5772</v>
      </c>
      <c r="K81" s="1134">
        <f t="shared" si="14"/>
        <v>98032.349999999991</v>
      </c>
      <c r="L81" s="1134">
        <f>'Medicaid &amp; FAMIS - LASER 2011'!D79+'SNAP - LASER 2011'!D79+'SNAP - LASER 2011'!E79+'FC &amp; Adoptions LASER 2011'!C79+'LIHEAP LASER 2011'!D79+'TANF LASER 2011'!C79+'Other Benefits LASER 2011'!C79</f>
        <v>3131345.7046119994</v>
      </c>
      <c r="M81" s="1134">
        <f>'Medicaid &amp; FAMIS - LASER 2011'!E79+'SNAP - LASER 2011'!F79+'FC &amp; Adoptions LASER 2011'!D79+'TANF LASER 2011'!D79+'Other Benefits LASER 2011'!D79</f>
        <v>2045220.5253879998</v>
      </c>
      <c r="N81" s="1134">
        <f>'FC &amp; Adoptions LASER 2011'!E79+'TANF LASER 2011'!E79</f>
        <v>189696.31</v>
      </c>
      <c r="O81" s="1134">
        <f t="shared" si="15"/>
        <v>5366262.5399999991</v>
      </c>
      <c r="Q81" s="1137">
        <f t="shared" si="16"/>
        <v>0.42954887754165177</v>
      </c>
      <c r="R81" s="1137">
        <f t="shared" si="17"/>
        <v>0.16464983043910694</v>
      </c>
      <c r="S81" s="1137">
        <f t="shared" si="18"/>
        <v>0.4058012920192412</v>
      </c>
      <c r="T81" s="1137">
        <f t="shared" si="19"/>
        <v>0.59419870798075869</v>
      </c>
      <c r="V81" s="1137">
        <f t="shared" si="20"/>
        <v>0.60483659365673048</v>
      </c>
      <c r="W81" s="1137">
        <f t="shared" si="21"/>
        <v>1.1668813125837899E-2</v>
      </c>
      <c r="X81" s="1137">
        <f t="shared" si="22"/>
        <v>0.38349459321743157</v>
      </c>
    </row>
    <row r="82" spans="1:24">
      <c r="A82" s="189" t="s">
        <v>199</v>
      </c>
      <c r="B82" s="190" t="s">
        <v>200</v>
      </c>
      <c r="C82" s="191" t="s">
        <v>275</v>
      </c>
      <c r="D82" s="1134">
        <f>'Eligibililty Staff LASER-2011'!C80+'Services Staff LASER 2011'!C80+'Other Exp. LASER 2011'!C80</f>
        <v>333058.73</v>
      </c>
      <c r="E82" s="1134">
        <f>'Eligibililty Staff LASER-2011'!D80+'Services Staff LASER 2011'!D80+'Other Exp. LASER 2011'!D80</f>
        <v>151198.96</v>
      </c>
      <c r="F82" s="1134">
        <f>'Eligibililty Staff LASER-2011'!E80+'Services Staff LASER 2011'!E80+'Other Exp. LASER 2011'!E80</f>
        <v>249500.16999999998</v>
      </c>
      <c r="G82" s="1134">
        <f>SUM('Benefits Spending Summary'!D82:F82)</f>
        <v>733757.85999999987</v>
      </c>
      <c r="H82" s="1134">
        <f>'Services for Clients LASER 2011'!C81</f>
        <v>29747.72</v>
      </c>
      <c r="I82" s="1134">
        <f>'Services for Clients LASER 2011'!D81</f>
        <v>6023.87</v>
      </c>
      <c r="J82" s="1134">
        <f>'Services for Clients LASER 2011'!E81</f>
        <v>5402.36</v>
      </c>
      <c r="K82" s="1134">
        <f t="shared" si="14"/>
        <v>41173.950000000004</v>
      </c>
      <c r="L82" s="1134">
        <f>'Medicaid &amp; FAMIS - LASER 2011'!D80+'SNAP - LASER 2011'!D80+'SNAP - LASER 2011'!E80+'FC &amp; Adoptions LASER 2011'!C80+'LIHEAP LASER 2011'!D80+'TANF LASER 2011'!C80+'Other Benefits LASER 2011'!C80</f>
        <v>8070832.0747250002</v>
      </c>
      <c r="M82" s="1134">
        <f>'Medicaid &amp; FAMIS - LASER 2011'!E80+'SNAP - LASER 2011'!F80+'FC &amp; Adoptions LASER 2011'!D80+'TANF LASER 2011'!D80+'Other Benefits LASER 2011'!D80</f>
        <v>4189440.7452749996</v>
      </c>
      <c r="N82" s="1134">
        <f>'FC &amp; Adoptions LASER 2011'!E80+'TANF LASER 2011'!E80</f>
        <v>133979.99</v>
      </c>
      <c r="O82" s="1134">
        <f t="shared" si="15"/>
        <v>12394252.810000001</v>
      </c>
      <c r="Q82" s="1137">
        <f t="shared" si="16"/>
        <v>0.4539082279813671</v>
      </c>
      <c r="R82" s="1137">
        <f t="shared" si="17"/>
        <v>0.2060611112227132</v>
      </c>
      <c r="S82" s="1137">
        <f t="shared" si="18"/>
        <v>0.34003066079591981</v>
      </c>
      <c r="T82" s="1137">
        <f t="shared" si="19"/>
        <v>0.6599693392040803</v>
      </c>
      <c r="V82" s="1137">
        <f t="shared" si="20"/>
        <v>0.64158237300046295</v>
      </c>
      <c r="W82" s="1137">
        <f t="shared" si="21"/>
        <v>1.3892010368581236E-2</v>
      </c>
      <c r="X82" s="1137">
        <f t="shared" si="22"/>
        <v>0.34452561663095582</v>
      </c>
    </row>
    <row r="83" spans="1:24">
      <c r="A83" s="189" t="s">
        <v>203</v>
      </c>
      <c r="B83" s="190" t="s">
        <v>887</v>
      </c>
      <c r="C83" s="191" t="s">
        <v>273</v>
      </c>
      <c r="D83" s="1134">
        <f>'Eligibililty Staff LASER-2011'!C81+'Services Staff LASER 2011'!C81+'Other Exp. LASER 2011'!C81</f>
        <v>2355764.7800000003</v>
      </c>
      <c r="E83" s="1134">
        <f>'Eligibililty Staff LASER-2011'!D81+'Services Staff LASER 2011'!D81+'Other Exp. LASER 2011'!D81</f>
        <v>924890.92999999993</v>
      </c>
      <c r="F83" s="1134">
        <f>'Eligibililty Staff LASER-2011'!E81+'Services Staff LASER 2011'!E81+'Other Exp. LASER 2011'!E81</f>
        <v>2142870.14</v>
      </c>
      <c r="G83" s="1134">
        <f>SUM('Benefits Spending Summary'!D83:F83)</f>
        <v>5423525.8499999996</v>
      </c>
      <c r="H83" s="1134">
        <f>'Services for Clients LASER 2011'!C82</f>
        <v>1622820.88</v>
      </c>
      <c r="I83" s="1134">
        <f>'Services for Clients LASER 2011'!D82</f>
        <v>641699.35</v>
      </c>
      <c r="J83" s="1134">
        <f>'Services for Clients LASER 2011'!E82</f>
        <v>137968.59999999998</v>
      </c>
      <c r="K83" s="1134">
        <f t="shared" si="14"/>
        <v>2402488.83</v>
      </c>
      <c r="L83" s="1134">
        <f>'Medicaid &amp; FAMIS - LASER 2011'!D81+'SNAP - LASER 2011'!D81+'SNAP - LASER 2011'!E81+'FC &amp; Adoptions LASER 2011'!C81+'LIHEAP LASER 2011'!D81+'TANF LASER 2011'!C81+'Other Benefits LASER 2011'!C81</f>
        <v>58769778.675888993</v>
      </c>
      <c r="M83" s="1134">
        <f>'Medicaid &amp; FAMIS - LASER 2011'!E81+'SNAP - LASER 2011'!F81+'FC &amp; Adoptions LASER 2011'!D81+'TANF LASER 2011'!D81+'Other Benefits LASER 2011'!D81</f>
        <v>36677653.914110996</v>
      </c>
      <c r="N83" s="1134">
        <f>'FC &amp; Adoptions LASER 2011'!E81+'TANF LASER 2011'!E81</f>
        <v>2673034.9300000002</v>
      </c>
      <c r="O83" s="1134">
        <f t="shared" si="15"/>
        <v>98120467.519999996</v>
      </c>
      <c r="Q83" s="1137">
        <f t="shared" si="16"/>
        <v>0.43436038568895186</v>
      </c>
      <c r="R83" s="1137">
        <f t="shared" si="17"/>
        <v>0.17053314680891582</v>
      </c>
      <c r="S83" s="1137">
        <f t="shared" si="18"/>
        <v>0.39510646750213246</v>
      </c>
      <c r="T83" s="1137">
        <f t="shared" si="19"/>
        <v>0.60489353249786759</v>
      </c>
      <c r="V83" s="1137">
        <f t="shared" si="20"/>
        <v>0.43256455104556596</v>
      </c>
      <c r="W83" s="1137">
        <f t="shared" si="21"/>
        <v>2.7850649651306101E-2</v>
      </c>
      <c r="X83" s="1137">
        <f t="shared" si="22"/>
        <v>0.53958479930312797</v>
      </c>
    </row>
    <row r="84" spans="1:24">
      <c r="A84" s="189" t="s">
        <v>205</v>
      </c>
      <c r="B84" s="190" t="s">
        <v>359</v>
      </c>
      <c r="C84" s="191" t="s">
        <v>273</v>
      </c>
      <c r="D84" s="1134">
        <f>'Eligibililty Staff LASER-2011'!C82+'Services Staff LASER 2011'!C82+'Other Exp. LASER 2011'!C82</f>
        <v>801390.03999999992</v>
      </c>
      <c r="E84" s="1134">
        <f>'Eligibililty Staff LASER-2011'!D82+'Services Staff LASER 2011'!D82+'Other Exp. LASER 2011'!D82</f>
        <v>391078.32</v>
      </c>
      <c r="F84" s="1134">
        <f>'Eligibililty Staff LASER-2011'!E82+'Services Staff LASER 2011'!E82+'Other Exp. LASER 2011'!E82</f>
        <v>348356.04999999993</v>
      </c>
      <c r="G84" s="1134">
        <f>SUM('Benefits Spending Summary'!D84:F84)</f>
        <v>1540824.4099999997</v>
      </c>
      <c r="H84" s="1134">
        <f>'Services for Clients LASER 2011'!C83</f>
        <v>175966.58999999997</v>
      </c>
      <c r="I84" s="1134">
        <f>'Services for Clients LASER 2011'!D83</f>
        <v>32361.82</v>
      </c>
      <c r="J84" s="1134">
        <f>'Services for Clients LASER 2011'!E83</f>
        <v>19473.3</v>
      </c>
      <c r="K84" s="1134">
        <f t="shared" si="14"/>
        <v>227801.70999999996</v>
      </c>
      <c r="L84" s="1134">
        <f>'Medicaid &amp; FAMIS - LASER 2011'!D82+'SNAP - LASER 2011'!D82+'SNAP - LASER 2011'!E82+'FC &amp; Adoptions LASER 2011'!C82+'LIHEAP LASER 2011'!D82+'TANF LASER 2011'!C82+'Other Benefits LASER 2011'!C82</f>
        <v>25141794.635985997</v>
      </c>
      <c r="M84" s="1134">
        <f>'Medicaid &amp; FAMIS - LASER 2011'!E82+'SNAP - LASER 2011'!F82+'FC &amp; Adoptions LASER 2011'!D82+'TANF LASER 2011'!D82+'Other Benefits LASER 2011'!D82</f>
        <v>15537669.274013998</v>
      </c>
      <c r="N84" s="1134">
        <f>'FC &amp; Adoptions LASER 2011'!E82+'TANF LASER 2011'!E82</f>
        <v>751126.49</v>
      </c>
      <c r="O84" s="1134">
        <f t="shared" si="15"/>
        <v>41430590.399999999</v>
      </c>
      <c r="Q84" s="1137">
        <f t="shared" si="16"/>
        <v>0.52010471459236562</v>
      </c>
      <c r="R84" s="1137">
        <f t="shared" si="17"/>
        <v>0.25381108805253161</v>
      </c>
      <c r="S84" s="1137">
        <f t="shared" si="18"/>
        <v>0.22608419735510291</v>
      </c>
      <c r="T84" s="1137">
        <f t="shared" si="19"/>
        <v>0.77391580264489712</v>
      </c>
      <c r="V84" s="1137">
        <f t="shared" si="20"/>
        <v>0.31132242895304962</v>
      </c>
      <c r="W84" s="1137">
        <f t="shared" si="21"/>
        <v>1.7403099661198428E-2</v>
      </c>
      <c r="X84" s="1137">
        <f t="shared" si="22"/>
        <v>0.67127447138575203</v>
      </c>
    </row>
    <row r="85" spans="1:24">
      <c r="A85" s="189" t="s">
        <v>207</v>
      </c>
      <c r="B85" s="190" t="s">
        <v>360</v>
      </c>
      <c r="C85" s="191" t="s">
        <v>276</v>
      </c>
      <c r="D85" s="1134">
        <f>'Eligibililty Staff LASER-2011'!C83+'Services Staff LASER 2011'!C83+'Other Exp. LASER 2011'!C83</f>
        <v>2681709.79</v>
      </c>
      <c r="E85" s="1134">
        <f>'Eligibililty Staff LASER-2011'!D83+'Services Staff LASER 2011'!D83+'Other Exp. LASER 2011'!D83</f>
        <v>1051184.9100000001</v>
      </c>
      <c r="F85" s="1134">
        <f>'Eligibililty Staff LASER-2011'!E83+'Services Staff LASER 2011'!E83+'Other Exp. LASER 2011'!E83</f>
        <v>1980923.0700000003</v>
      </c>
      <c r="G85" s="1134">
        <f>SUM('Benefits Spending Summary'!D85:F85)</f>
        <v>5713817.7700000005</v>
      </c>
      <c r="H85" s="1134">
        <f>'Services for Clients LASER 2011'!C84</f>
        <v>910403.87000000011</v>
      </c>
      <c r="I85" s="1134">
        <f>'Services for Clients LASER 2011'!D84</f>
        <v>297234.39999999997</v>
      </c>
      <c r="J85" s="1134">
        <f>'Services for Clients LASER 2011'!E84</f>
        <v>85750.790000000008</v>
      </c>
      <c r="K85" s="1134">
        <f t="shared" si="14"/>
        <v>1293389.06</v>
      </c>
      <c r="L85" s="1134">
        <f>'Medicaid &amp; FAMIS - LASER 2011'!D83+'SNAP - LASER 2011'!D83+'SNAP - LASER 2011'!E83+'FC &amp; Adoptions LASER 2011'!C83+'LIHEAP LASER 2011'!D83+'TANF LASER 2011'!C83+'Other Benefits LASER 2011'!C83</f>
        <v>66223830.669723988</v>
      </c>
      <c r="M85" s="1134">
        <f>'Medicaid &amp; FAMIS - LASER 2011'!E83+'SNAP - LASER 2011'!F83+'FC &amp; Adoptions LASER 2011'!D83+'TANF LASER 2011'!D83+'Other Benefits LASER 2011'!D83</f>
        <v>41626195.250275999</v>
      </c>
      <c r="N85" s="1134">
        <f>'FC &amp; Adoptions LASER 2011'!E83+'TANF LASER 2011'!E83</f>
        <v>3361295.11</v>
      </c>
      <c r="O85" s="1134">
        <f t="shared" si="15"/>
        <v>111211321.02999999</v>
      </c>
      <c r="Q85" s="1137">
        <f t="shared" si="16"/>
        <v>0.46933764742728218</v>
      </c>
      <c r="R85" s="1137">
        <f t="shared" si="17"/>
        <v>0.1839724247978598</v>
      </c>
      <c r="S85" s="1137">
        <f t="shared" si="18"/>
        <v>0.34668992777485796</v>
      </c>
      <c r="T85" s="1137">
        <f t="shared" si="19"/>
        <v>0.65331007222514204</v>
      </c>
      <c r="V85" s="1137">
        <f t="shared" si="20"/>
        <v>0.36494738288822609</v>
      </c>
      <c r="W85" s="1137">
        <f t="shared" si="21"/>
        <v>1.5797951402069271E-2</v>
      </c>
      <c r="X85" s="1137">
        <f t="shared" si="22"/>
        <v>0.61925466570970455</v>
      </c>
    </row>
    <row r="86" spans="1:24">
      <c r="A86" s="189" t="s">
        <v>209</v>
      </c>
      <c r="B86" s="190" t="s">
        <v>210</v>
      </c>
      <c r="C86" s="191" t="s">
        <v>278</v>
      </c>
      <c r="D86" s="1134">
        <f>'Eligibililty Staff LASER-2011'!C84+'Services Staff LASER 2011'!C84+'Other Exp. LASER 2011'!C84</f>
        <v>1314306.1200000001</v>
      </c>
      <c r="E86" s="1134">
        <f>'Eligibililty Staff LASER-2011'!D84+'Services Staff LASER 2011'!D84+'Other Exp. LASER 2011'!D84</f>
        <v>659462.34</v>
      </c>
      <c r="F86" s="1134">
        <f>'Eligibililty Staff LASER-2011'!E84+'Services Staff LASER 2011'!E84+'Other Exp. LASER 2011'!E84</f>
        <v>699595.53</v>
      </c>
      <c r="G86" s="1134">
        <f>SUM('Benefits Spending Summary'!D86:F86)</f>
        <v>2673363.9900000002</v>
      </c>
      <c r="H86" s="1134">
        <f>'Services for Clients LASER 2011'!C85</f>
        <v>214949.49</v>
      </c>
      <c r="I86" s="1134">
        <f>'Services for Clients LASER 2011'!D85</f>
        <v>57111.39</v>
      </c>
      <c r="J86" s="1134">
        <f>'Services for Clients LASER 2011'!E85</f>
        <v>43190.69</v>
      </c>
      <c r="K86" s="1134">
        <f t="shared" si="14"/>
        <v>315251.57</v>
      </c>
      <c r="L86" s="1134">
        <f>'Medicaid &amp; FAMIS - LASER 2011'!D84+'SNAP - LASER 2011'!D84+'SNAP - LASER 2011'!E84+'FC &amp; Adoptions LASER 2011'!C84+'LIHEAP LASER 2011'!D84+'TANF LASER 2011'!C84+'Other Benefits LASER 2011'!C84</f>
        <v>29957175.612592001</v>
      </c>
      <c r="M86" s="1134">
        <f>'Medicaid &amp; FAMIS - LASER 2011'!E84+'SNAP - LASER 2011'!F84+'FC &amp; Adoptions LASER 2011'!D84+'TANF LASER 2011'!D84+'Other Benefits LASER 2011'!D84</f>
        <v>15754817.997408001</v>
      </c>
      <c r="N86" s="1134">
        <f>'FC &amp; Adoptions LASER 2011'!E84+'TANF LASER 2011'!E84</f>
        <v>315810.97000000003</v>
      </c>
      <c r="O86" s="1134">
        <f t="shared" si="15"/>
        <v>46027804.579999998</v>
      </c>
      <c r="Q86" s="1137">
        <f t="shared" si="16"/>
        <v>0.49163006792801156</v>
      </c>
      <c r="R86" s="1137">
        <f t="shared" si="17"/>
        <v>0.24667884450706615</v>
      </c>
      <c r="S86" s="1137">
        <f t="shared" si="18"/>
        <v>0.26169108756492226</v>
      </c>
      <c r="T86" s="1137">
        <f t="shared" si="19"/>
        <v>0.73830891243507768</v>
      </c>
      <c r="V86" s="1137">
        <f t="shared" si="20"/>
        <v>0.66087038262400832</v>
      </c>
      <c r="W86" s="1137">
        <f t="shared" si="21"/>
        <v>4.0799928819006223E-2</v>
      </c>
      <c r="X86" s="1137">
        <f t="shared" si="22"/>
        <v>0.29832968855698555</v>
      </c>
    </row>
    <row r="87" spans="1:24">
      <c r="A87" s="189" t="s">
        <v>211</v>
      </c>
      <c r="B87" s="190" t="s">
        <v>212</v>
      </c>
      <c r="C87" s="191" t="s">
        <v>278</v>
      </c>
      <c r="D87" s="1134">
        <f>'Eligibililty Staff LASER-2011'!C85+'Services Staff LASER 2011'!C85+'Other Exp. LASER 2011'!C85</f>
        <v>1052444.8900000001</v>
      </c>
      <c r="E87" s="1134">
        <f>'Eligibililty Staff LASER-2011'!D85+'Services Staff LASER 2011'!D85+'Other Exp. LASER 2011'!D85</f>
        <v>531427.81000000006</v>
      </c>
      <c r="F87" s="1134">
        <f>'Eligibililty Staff LASER-2011'!E85+'Services Staff LASER 2011'!E85+'Other Exp. LASER 2011'!E85</f>
        <v>360929.14</v>
      </c>
      <c r="G87" s="1134">
        <f>SUM('Benefits Spending Summary'!D87:F87)</f>
        <v>1944801.8400000003</v>
      </c>
      <c r="H87" s="1134">
        <f>'Services for Clients LASER 2011'!C86</f>
        <v>225391.04</v>
      </c>
      <c r="I87" s="1134">
        <f>'Services for Clients LASER 2011'!D86</f>
        <v>80226.83</v>
      </c>
      <c r="J87" s="1134">
        <f>'Services for Clients LASER 2011'!E86</f>
        <v>48068.24</v>
      </c>
      <c r="K87" s="1134">
        <f t="shared" si="14"/>
        <v>353686.11</v>
      </c>
      <c r="L87" s="1134">
        <f>'Medicaid &amp; FAMIS - LASER 2011'!D85+'SNAP - LASER 2011'!D85+'SNAP - LASER 2011'!E85+'FC &amp; Adoptions LASER 2011'!C85+'LIHEAP LASER 2011'!D85+'TANF LASER 2011'!C85+'Other Benefits LASER 2011'!C85</f>
        <v>23114489.113772001</v>
      </c>
      <c r="M87" s="1134">
        <f>'Medicaid &amp; FAMIS - LASER 2011'!E85+'SNAP - LASER 2011'!F85+'FC &amp; Adoptions LASER 2011'!D85+'TANF LASER 2011'!D85+'Other Benefits LASER 2011'!D85</f>
        <v>12777164.646228001</v>
      </c>
      <c r="N87" s="1134">
        <f>'FC &amp; Adoptions LASER 2011'!E85+'TANF LASER 2011'!E85</f>
        <v>289589.96999999997</v>
      </c>
      <c r="O87" s="1134">
        <f t="shared" si="15"/>
        <v>36181243.730000004</v>
      </c>
      <c r="Q87" s="1137">
        <f t="shared" si="16"/>
        <v>0.54115790532160335</v>
      </c>
      <c r="R87" s="1137">
        <f t="shared" si="17"/>
        <v>0.27325550555834521</v>
      </c>
      <c r="S87" s="1137">
        <f t="shared" si="18"/>
        <v>0.18558658912005141</v>
      </c>
      <c r="T87" s="1137">
        <f t="shared" si="19"/>
        <v>0.81441341087994856</v>
      </c>
      <c r="V87" s="1137">
        <f t="shared" si="20"/>
        <v>0.51665570526005089</v>
      </c>
      <c r="W87" s="1137">
        <f t="shared" si="21"/>
        <v>6.8807773287048499E-2</v>
      </c>
      <c r="X87" s="1137">
        <f t="shared" si="22"/>
        <v>0.4145365214529006</v>
      </c>
    </row>
    <row r="88" spans="1:24">
      <c r="A88" s="189" t="s">
        <v>213</v>
      </c>
      <c r="B88" s="190" t="s">
        <v>214</v>
      </c>
      <c r="C88" s="191" t="s">
        <v>276</v>
      </c>
      <c r="D88" s="1134">
        <f>'Eligibililty Staff LASER-2011'!C86+'Services Staff LASER 2011'!C86+'Other Exp. LASER 2011'!C86</f>
        <v>969381.46</v>
      </c>
      <c r="E88" s="1134">
        <f>'Eligibililty Staff LASER-2011'!D86+'Services Staff LASER 2011'!D86+'Other Exp. LASER 2011'!D86</f>
        <v>378318.94</v>
      </c>
      <c r="F88" s="1134">
        <f>'Eligibililty Staff LASER-2011'!E86+'Services Staff LASER 2011'!E86+'Other Exp. LASER 2011'!E86</f>
        <v>1390862.48</v>
      </c>
      <c r="G88" s="1134">
        <f>SUM('Benefits Spending Summary'!D88:F88)</f>
        <v>2738562.88</v>
      </c>
      <c r="H88" s="1134">
        <f>'Services for Clients LASER 2011'!C87</f>
        <v>186256.99</v>
      </c>
      <c r="I88" s="1134">
        <f>'Services for Clients LASER 2011'!D87</f>
        <v>15354.16</v>
      </c>
      <c r="J88" s="1134">
        <f>'Services for Clients LASER 2011'!E87</f>
        <v>16461.919999999998</v>
      </c>
      <c r="K88" s="1134">
        <f t="shared" si="14"/>
        <v>218073.07</v>
      </c>
      <c r="L88" s="1134">
        <f>'Medicaid &amp; FAMIS - LASER 2011'!D86+'SNAP - LASER 2011'!D86+'SNAP - LASER 2011'!E86+'FC &amp; Adoptions LASER 2011'!C86+'LIHEAP LASER 2011'!D86+'TANF LASER 2011'!C86+'Other Benefits LASER 2011'!C86</f>
        <v>27385918.657417998</v>
      </c>
      <c r="M88" s="1134">
        <f>'Medicaid &amp; FAMIS - LASER 2011'!E86+'SNAP - LASER 2011'!F86+'FC &amp; Adoptions LASER 2011'!D86+'TANF LASER 2011'!D86+'Other Benefits LASER 2011'!D86</f>
        <v>15438487.242581999</v>
      </c>
      <c r="N88" s="1134">
        <f>'FC &amp; Adoptions LASER 2011'!E86+'TANF LASER 2011'!E86</f>
        <v>663335.77</v>
      </c>
      <c r="O88" s="1134">
        <f t="shared" si="15"/>
        <v>43487741.670000002</v>
      </c>
      <c r="Q88" s="1137">
        <f t="shared" si="16"/>
        <v>0.35397451235445065</v>
      </c>
      <c r="R88" s="1137">
        <f t="shared" si="17"/>
        <v>0.13814506242047656</v>
      </c>
      <c r="S88" s="1137">
        <f t="shared" si="18"/>
        <v>0.50788042522507282</v>
      </c>
      <c r="T88" s="1137">
        <f t="shared" si="19"/>
        <v>0.49211957477492718</v>
      </c>
      <c r="V88" s="1137">
        <f t="shared" si="20"/>
        <v>0.67170002115798655</v>
      </c>
      <c r="W88" s="1137">
        <f t="shared" si="21"/>
        <v>7.950082895543404E-3</v>
      </c>
      <c r="X88" s="1137">
        <f t="shared" si="22"/>
        <v>0.32034989594647006</v>
      </c>
    </row>
    <row r="89" spans="1:24">
      <c r="A89" s="189" t="s">
        <v>215</v>
      </c>
      <c r="B89" s="190" t="s">
        <v>216</v>
      </c>
      <c r="C89" s="191" t="s">
        <v>278</v>
      </c>
      <c r="D89" s="1134">
        <f>'Eligibililty Staff LASER-2011'!C87+'Services Staff LASER 2011'!C87+'Other Exp. LASER 2011'!C87</f>
        <v>1657995.7899999998</v>
      </c>
      <c r="E89" s="1134">
        <f>'Eligibililty Staff LASER-2011'!D87+'Services Staff LASER 2011'!D87+'Other Exp. LASER 2011'!D87</f>
        <v>818775.4</v>
      </c>
      <c r="F89" s="1134">
        <f>'Eligibililty Staff LASER-2011'!E87+'Services Staff LASER 2011'!E87+'Other Exp. LASER 2011'!E87</f>
        <v>615763.07000000007</v>
      </c>
      <c r="G89" s="1134">
        <f>SUM('Benefits Spending Summary'!D89:F89)</f>
        <v>3092534.26</v>
      </c>
      <c r="H89" s="1134">
        <f>'Services for Clients LASER 2011'!C88</f>
        <v>283344.12</v>
      </c>
      <c r="I89" s="1134">
        <f>'Services for Clients LASER 2011'!D88</f>
        <v>60414.069999999992</v>
      </c>
      <c r="J89" s="1134">
        <f>'Services for Clients LASER 2011'!E88</f>
        <v>30626.480000000003</v>
      </c>
      <c r="K89" s="1134">
        <f t="shared" si="14"/>
        <v>374384.67</v>
      </c>
      <c r="L89" s="1134">
        <f>'Medicaid &amp; FAMIS - LASER 2011'!D87+'SNAP - LASER 2011'!D87+'SNAP - LASER 2011'!E87+'FC &amp; Adoptions LASER 2011'!C87+'LIHEAP LASER 2011'!D87+'TANF LASER 2011'!C87+'Other Benefits LASER 2011'!C87</f>
        <v>32790168.033631999</v>
      </c>
      <c r="M89" s="1134">
        <f>'Medicaid &amp; FAMIS - LASER 2011'!E87+'SNAP - LASER 2011'!F87+'FC &amp; Adoptions LASER 2011'!D87+'TANF LASER 2011'!D87+'Other Benefits LASER 2011'!D87</f>
        <v>15799216.096368002</v>
      </c>
      <c r="N89" s="1134">
        <f>'FC &amp; Adoptions LASER 2011'!E87+'TANF LASER 2011'!E87</f>
        <v>116311.65</v>
      </c>
      <c r="O89" s="1134">
        <f t="shared" si="15"/>
        <v>48705695.780000001</v>
      </c>
      <c r="Q89" s="1137">
        <f t="shared" si="16"/>
        <v>0.53612851163692521</v>
      </c>
      <c r="R89" s="1137">
        <f t="shared" si="17"/>
        <v>0.26475871604410295</v>
      </c>
      <c r="S89" s="1137">
        <f t="shared" si="18"/>
        <v>0.19911277231897184</v>
      </c>
      <c r="T89" s="1137">
        <f t="shared" si="19"/>
        <v>0.80088722768102827</v>
      </c>
      <c r="V89" s="1137">
        <f t="shared" si="20"/>
        <v>0.80734509136736643</v>
      </c>
      <c r="W89" s="1137">
        <f t="shared" si="21"/>
        <v>4.0155279682266135E-2</v>
      </c>
      <c r="X89" s="1137">
        <f t="shared" si="22"/>
        <v>0.15249962895036742</v>
      </c>
    </row>
    <row r="90" spans="1:24">
      <c r="A90" s="189" t="s">
        <v>217</v>
      </c>
      <c r="B90" s="190" t="s">
        <v>218</v>
      </c>
      <c r="C90" s="191" t="s">
        <v>272</v>
      </c>
      <c r="D90" s="1134">
        <f>'Eligibililty Staff LASER-2011'!C88+'Services Staff LASER 2011'!C88+'Other Exp. LASER 2011'!C88</f>
        <v>919699.46000000008</v>
      </c>
      <c r="E90" s="1134">
        <f>'Eligibililty Staff LASER-2011'!D88+'Services Staff LASER 2011'!D88+'Other Exp. LASER 2011'!D88</f>
        <v>481624.18000000005</v>
      </c>
      <c r="F90" s="1134">
        <f>'Eligibililty Staff LASER-2011'!E88+'Services Staff LASER 2011'!E88+'Other Exp. LASER 2011'!E88</f>
        <v>302617.33999999997</v>
      </c>
      <c r="G90" s="1134">
        <f>SUM('Benefits Spending Summary'!D90:F90)</f>
        <v>1703940.98</v>
      </c>
      <c r="H90" s="1134">
        <f>'Services for Clients LASER 2011'!C89</f>
        <v>350380.62000000005</v>
      </c>
      <c r="I90" s="1134">
        <f>'Services for Clients LASER 2011'!D89</f>
        <v>67127.000000000015</v>
      </c>
      <c r="J90" s="1134">
        <f>'Services for Clients LASER 2011'!E89</f>
        <v>36063.530000000006</v>
      </c>
      <c r="K90" s="1134">
        <f t="shared" si="14"/>
        <v>453571.15000000008</v>
      </c>
      <c r="L90" s="1134">
        <f>'Medicaid &amp; FAMIS - LASER 2011'!D88+'SNAP - LASER 2011'!D88+'SNAP - LASER 2011'!E88+'FC &amp; Adoptions LASER 2011'!C88+'LIHEAP LASER 2011'!D88+'TANF LASER 2011'!C88+'Other Benefits LASER 2011'!C88</f>
        <v>16528893.489283999</v>
      </c>
      <c r="M90" s="1134">
        <f>'Medicaid &amp; FAMIS - LASER 2011'!E88+'SNAP - LASER 2011'!F88+'FC &amp; Adoptions LASER 2011'!D88+'TANF LASER 2011'!D88+'Other Benefits LASER 2011'!D88</f>
        <v>8511969.0607159995</v>
      </c>
      <c r="N90" s="1134">
        <f>'FC &amp; Adoptions LASER 2011'!E88+'TANF LASER 2011'!E88</f>
        <v>166416.47</v>
      </c>
      <c r="O90" s="1134">
        <f t="shared" si="15"/>
        <v>25207279.019999996</v>
      </c>
      <c r="Q90" s="1137">
        <f t="shared" si="16"/>
        <v>0.5397484248544806</v>
      </c>
      <c r="R90" s="1137">
        <f t="shared" si="17"/>
        <v>0.28265308813689077</v>
      </c>
      <c r="S90" s="1137">
        <f t="shared" si="18"/>
        <v>0.17759848700862865</v>
      </c>
      <c r="T90" s="1137">
        <f t="shared" si="19"/>
        <v>0.82240151299137143</v>
      </c>
      <c r="V90" s="1137">
        <f t="shared" si="20"/>
        <v>0.59912677425701744</v>
      </c>
      <c r="W90" s="1137">
        <f t="shared" si="21"/>
        <v>7.1399168326643753E-2</v>
      </c>
      <c r="X90" s="1137">
        <f t="shared" si="22"/>
        <v>0.32947405741633884</v>
      </c>
    </row>
    <row r="91" spans="1:24">
      <c r="A91" s="189" t="s">
        <v>219</v>
      </c>
      <c r="B91" s="190" t="s">
        <v>220</v>
      </c>
      <c r="C91" s="191" t="s">
        <v>276</v>
      </c>
      <c r="D91" s="1134">
        <f>'Eligibililty Staff LASER-2011'!C89+'Services Staff LASER 2011'!C89+'Other Exp. LASER 2011'!C89</f>
        <v>2230433.64</v>
      </c>
      <c r="E91" s="1134">
        <f>'Eligibililty Staff LASER-2011'!D89+'Services Staff LASER 2011'!D89+'Other Exp. LASER 2011'!D89</f>
        <v>668817.93999999994</v>
      </c>
      <c r="F91" s="1134">
        <f>'Eligibililty Staff LASER-2011'!E89+'Services Staff LASER 2011'!E89+'Other Exp. LASER 2011'!E89</f>
        <v>2844607.1400000006</v>
      </c>
      <c r="G91" s="1134">
        <f>SUM('Benefits Spending Summary'!D91:F91)</f>
        <v>5743858.7200000007</v>
      </c>
      <c r="H91" s="1134">
        <f>'Services for Clients LASER 2011'!C90</f>
        <v>955436.02000000014</v>
      </c>
      <c r="I91" s="1134">
        <f>'Services for Clients LASER 2011'!D90</f>
        <v>451817.98</v>
      </c>
      <c r="J91" s="1134">
        <f>'Services for Clients LASER 2011'!E90</f>
        <v>108333.68</v>
      </c>
      <c r="K91" s="1134">
        <f t="shared" si="14"/>
        <v>1515587.68</v>
      </c>
      <c r="L91" s="1134">
        <f>'Medicaid &amp; FAMIS - LASER 2011'!D89+'SNAP - LASER 2011'!D89+'SNAP - LASER 2011'!E89+'FC &amp; Adoptions LASER 2011'!C89+'LIHEAP LASER 2011'!D89+'TANF LASER 2011'!C89+'Other Benefits LASER 2011'!C89</f>
        <v>62265802.709010996</v>
      </c>
      <c r="M91" s="1134">
        <f>'Medicaid &amp; FAMIS - LASER 2011'!E89+'SNAP - LASER 2011'!F89+'FC &amp; Adoptions LASER 2011'!D89+'TANF LASER 2011'!D89+'Other Benefits LASER 2011'!D89</f>
        <v>33952251.070988998</v>
      </c>
      <c r="N91" s="1134">
        <f>'FC &amp; Adoptions LASER 2011'!E89+'TANF LASER 2011'!E89</f>
        <v>3004408.98</v>
      </c>
      <c r="O91" s="1134">
        <f t="shared" si="15"/>
        <v>99222462.760000005</v>
      </c>
      <c r="Q91" s="1137">
        <f t="shared" si="16"/>
        <v>0.38831624326581626</v>
      </c>
      <c r="R91" s="1137">
        <f t="shared" si="17"/>
        <v>0.11644052763191917</v>
      </c>
      <c r="S91" s="1137">
        <f t="shared" si="18"/>
        <v>0.49524322910226459</v>
      </c>
      <c r="T91" s="1137">
        <f t="shared" si="19"/>
        <v>0.50475677089773541</v>
      </c>
      <c r="V91" s="1137">
        <f t="shared" si="20"/>
        <v>0.47749540240192045</v>
      </c>
      <c r="W91" s="1137">
        <f t="shared" si="21"/>
        <v>1.8184878114761698E-2</v>
      </c>
      <c r="X91" s="1137">
        <f t="shared" si="22"/>
        <v>0.50431971948331789</v>
      </c>
    </row>
    <row r="92" spans="1:24">
      <c r="A92" s="189" t="s">
        <v>221</v>
      </c>
      <c r="B92" s="190" t="s">
        <v>222</v>
      </c>
      <c r="C92" s="191" t="s">
        <v>276</v>
      </c>
      <c r="D92" s="1134">
        <f>'Eligibililty Staff LASER-2011'!C90+'Services Staff LASER 2011'!C90+'Other Exp. LASER 2011'!C90</f>
        <v>1942763.8199999998</v>
      </c>
      <c r="E92" s="1134">
        <f>'Eligibililty Staff LASER-2011'!D90+'Services Staff LASER 2011'!D90+'Other Exp. LASER 2011'!D90</f>
        <v>640270.63</v>
      </c>
      <c r="F92" s="1134">
        <f>'Eligibililty Staff LASER-2011'!E90+'Services Staff LASER 2011'!E90+'Other Exp. LASER 2011'!E90</f>
        <v>1719508.9900000002</v>
      </c>
      <c r="G92" s="1134">
        <f>SUM('Benefits Spending Summary'!D92:F92)</f>
        <v>4302543.4399999995</v>
      </c>
      <c r="H92" s="1134">
        <f>'Services for Clients LASER 2011'!C91</f>
        <v>1008677.9299999999</v>
      </c>
      <c r="I92" s="1134">
        <f>'Services for Clients LASER 2011'!D91</f>
        <v>305385.32000000007</v>
      </c>
      <c r="J92" s="1134">
        <f>'Services for Clients LASER 2011'!E91</f>
        <v>77310.06</v>
      </c>
      <c r="K92" s="1134">
        <f t="shared" si="14"/>
        <v>1391373.31</v>
      </c>
      <c r="L92" s="1134">
        <f>'Medicaid &amp; FAMIS - LASER 2011'!D90+'SNAP - LASER 2011'!D90+'SNAP - LASER 2011'!E90+'FC &amp; Adoptions LASER 2011'!C90+'LIHEAP LASER 2011'!D90+'TANF LASER 2011'!C90+'Other Benefits LASER 2011'!C90</f>
        <v>47901777.091728002</v>
      </c>
      <c r="M92" s="1134">
        <f>'Medicaid &amp; FAMIS - LASER 2011'!E90+'SNAP - LASER 2011'!F90+'FC &amp; Adoptions LASER 2011'!D90+'TANF LASER 2011'!D90+'Other Benefits LASER 2011'!D90</f>
        <v>25760326.198271994</v>
      </c>
      <c r="N92" s="1134">
        <f>'FC &amp; Adoptions LASER 2011'!E90+'TANF LASER 2011'!E90</f>
        <v>1712622.25</v>
      </c>
      <c r="O92" s="1134">
        <f t="shared" si="15"/>
        <v>75374725.539999992</v>
      </c>
      <c r="Q92" s="1137">
        <f t="shared" si="16"/>
        <v>0.45153845558849259</v>
      </c>
      <c r="R92" s="1137">
        <f t="shared" si="17"/>
        <v>0.14881212448606912</v>
      </c>
      <c r="S92" s="1137">
        <f t="shared" si="18"/>
        <v>0.39964941992543845</v>
      </c>
      <c r="T92" s="1137">
        <f t="shared" si="19"/>
        <v>0.60035058007456166</v>
      </c>
      <c r="V92" s="1137">
        <f t="shared" si="20"/>
        <v>0.4899665909784558</v>
      </c>
      <c r="W92" s="1137">
        <f t="shared" si="21"/>
        <v>2.2029164585257485E-2</v>
      </c>
      <c r="X92" s="1137">
        <f t="shared" si="22"/>
        <v>0.4880042444362867</v>
      </c>
    </row>
    <row r="93" spans="1:24">
      <c r="A93" s="189" t="s">
        <v>225</v>
      </c>
      <c r="B93" s="190" t="s">
        <v>226</v>
      </c>
      <c r="C93" s="191" t="s">
        <v>272</v>
      </c>
      <c r="D93" s="1134">
        <f>'Eligibililty Staff LASER-2011'!C91+'Services Staff LASER 2011'!C91+'Other Exp. LASER 2011'!C91</f>
        <v>574605.23</v>
      </c>
      <c r="E93" s="1134">
        <f>'Eligibililty Staff LASER-2011'!D91+'Services Staff LASER 2011'!D91+'Other Exp. LASER 2011'!D91</f>
        <v>268755.07999999996</v>
      </c>
      <c r="F93" s="1134">
        <f>'Eligibililty Staff LASER-2011'!E91+'Services Staff LASER 2011'!E91+'Other Exp. LASER 2011'!E91</f>
        <v>595511.28</v>
      </c>
      <c r="G93" s="1134">
        <f>SUM('Benefits Spending Summary'!D93:F93)</f>
        <v>1438871.5899999999</v>
      </c>
      <c r="H93" s="1134">
        <f>'Services for Clients LASER 2011'!C92</f>
        <v>164101.42000000001</v>
      </c>
      <c r="I93" s="1134">
        <f>'Services for Clients LASER 2011'!D92</f>
        <v>26683.96</v>
      </c>
      <c r="J93" s="1134">
        <f>'Services for Clients LASER 2011'!E92</f>
        <v>33561.149999999994</v>
      </c>
      <c r="K93" s="1134">
        <f t="shared" si="14"/>
        <v>224346.53</v>
      </c>
      <c r="L93" s="1134">
        <f>'Medicaid &amp; FAMIS - LASER 2011'!D91+'SNAP - LASER 2011'!D91+'SNAP - LASER 2011'!E91+'FC &amp; Adoptions LASER 2011'!C91+'LIHEAP LASER 2011'!D91+'TANF LASER 2011'!C91+'Other Benefits LASER 2011'!C91</f>
        <v>5748710.1650369987</v>
      </c>
      <c r="M93" s="1134">
        <f>'Medicaid &amp; FAMIS - LASER 2011'!E91+'SNAP - LASER 2011'!F91+'FC &amp; Adoptions LASER 2011'!D91+'TANF LASER 2011'!D91+'Other Benefits LASER 2011'!D91</f>
        <v>2978801.7649630001</v>
      </c>
      <c r="N93" s="1134">
        <f>'FC &amp; Adoptions LASER 2011'!E91+'TANF LASER 2011'!E91</f>
        <v>35672.46</v>
      </c>
      <c r="O93" s="1134">
        <f t="shared" si="15"/>
        <v>8763184.3900000006</v>
      </c>
      <c r="Q93" s="1137">
        <f t="shared" si="16"/>
        <v>0.3993443431599063</v>
      </c>
      <c r="R93" s="1137">
        <f t="shared" si="17"/>
        <v>0.18678183784280569</v>
      </c>
      <c r="S93" s="1137">
        <f t="shared" si="18"/>
        <v>0.41387381899728809</v>
      </c>
      <c r="T93" s="1137">
        <f t="shared" si="19"/>
        <v>0.58612618100271197</v>
      </c>
      <c r="V93" s="1137">
        <f t="shared" si="20"/>
        <v>0.8958493535768286</v>
      </c>
      <c r="W93" s="1137">
        <f t="shared" si="21"/>
        <v>5.0487262865608479E-2</v>
      </c>
      <c r="X93" s="1137">
        <f t="shared" si="22"/>
        <v>5.3663383557562963E-2</v>
      </c>
    </row>
    <row r="94" spans="1:24">
      <c r="A94" s="189" t="s">
        <v>227</v>
      </c>
      <c r="B94" s="190" t="s">
        <v>228</v>
      </c>
      <c r="C94" s="191" t="s">
        <v>272</v>
      </c>
      <c r="D94" s="1134">
        <f>'Eligibililty Staff LASER-2011'!C92+'Services Staff LASER 2011'!C92+'Other Exp. LASER 2011'!C92</f>
        <v>901793.22</v>
      </c>
      <c r="E94" s="1134">
        <f>'Eligibililty Staff LASER-2011'!D92+'Services Staff LASER 2011'!D92+'Other Exp. LASER 2011'!D92</f>
        <v>375691.15</v>
      </c>
      <c r="F94" s="1134">
        <f>'Eligibililty Staff LASER-2011'!E92+'Services Staff LASER 2011'!E92+'Other Exp. LASER 2011'!E92</f>
        <v>470413.12</v>
      </c>
      <c r="G94" s="1134">
        <f>SUM('Benefits Spending Summary'!D94:F94)</f>
        <v>1747897.4900000002</v>
      </c>
      <c r="H94" s="1134">
        <f>'Services for Clients LASER 2011'!C93</f>
        <v>154751.76</v>
      </c>
      <c r="I94" s="1134">
        <f>'Services for Clients LASER 2011'!D93</f>
        <v>25415.59</v>
      </c>
      <c r="J94" s="1134">
        <f>'Services for Clients LASER 2011'!E93</f>
        <v>14357.26</v>
      </c>
      <c r="K94" s="1134">
        <f t="shared" si="14"/>
        <v>194524.61000000002</v>
      </c>
      <c r="L94" s="1134">
        <f>'Medicaid &amp; FAMIS - LASER 2011'!D92+'SNAP - LASER 2011'!D92+'SNAP - LASER 2011'!E92+'FC &amp; Adoptions LASER 2011'!C92+'LIHEAP LASER 2011'!D92+'TANF LASER 2011'!C92+'Other Benefits LASER 2011'!C92</f>
        <v>13242560.516864996</v>
      </c>
      <c r="M94" s="1134">
        <f>'Medicaid &amp; FAMIS - LASER 2011'!E92+'SNAP - LASER 2011'!F92+'FC &amp; Adoptions LASER 2011'!D92+'TANF LASER 2011'!D92+'Other Benefits LASER 2011'!D92</f>
        <v>7533456.9831349999</v>
      </c>
      <c r="N94" s="1134">
        <f>'FC &amp; Adoptions LASER 2011'!E92+'TANF LASER 2011'!E92</f>
        <v>158521.35</v>
      </c>
      <c r="O94" s="1134">
        <f t="shared" si="15"/>
        <v>20934538.849999998</v>
      </c>
      <c r="Q94" s="1137">
        <f t="shared" si="16"/>
        <v>0.51593026774127348</v>
      </c>
      <c r="R94" s="1137">
        <f t="shared" si="17"/>
        <v>0.21493889209715611</v>
      </c>
      <c r="S94" s="1137">
        <f t="shared" si="18"/>
        <v>0.26913084016157029</v>
      </c>
      <c r="T94" s="1137">
        <f t="shared" si="19"/>
        <v>0.73086915983842959</v>
      </c>
      <c r="V94" s="1137">
        <f t="shared" si="20"/>
        <v>0.73125939299732645</v>
      </c>
      <c r="W94" s="1137">
        <f t="shared" si="21"/>
        <v>2.2318427752833075E-2</v>
      </c>
      <c r="X94" s="1137">
        <f t="shared" si="22"/>
        <v>0.24642217924984053</v>
      </c>
    </row>
    <row r="95" spans="1:24">
      <c r="A95" s="189" t="s">
        <v>229</v>
      </c>
      <c r="B95" s="190" t="s">
        <v>230</v>
      </c>
      <c r="C95" s="191" t="s">
        <v>278</v>
      </c>
      <c r="D95" s="1134">
        <f>'Eligibililty Staff LASER-2011'!C93+'Services Staff LASER 2011'!C93+'Other Exp. LASER 2011'!C93</f>
        <v>2094956.49</v>
      </c>
      <c r="E95" s="1134">
        <f>'Eligibililty Staff LASER-2011'!D93+'Services Staff LASER 2011'!D93+'Other Exp. LASER 2011'!D93</f>
        <v>1004170.9</v>
      </c>
      <c r="F95" s="1134">
        <f>'Eligibililty Staff LASER-2011'!E93+'Services Staff LASER 2011'!E93+'Other Exp. LASER 2011'!E93</f>
        <v>843185.19999999984</v>
      </c>
      <c r="G95" s="1134">
        <f>SUM('Benefits Spending Summary'!D95:F95)</f>
        <v>3942312.59</v>
      </c>
      <c r="H95" s="1134">
        <f>'Services for Clients LASER 2011'!C94</f>
        <v>384895.01</v>
      </c>
      <c r="I95" s="1134">
        <f>'Services for Clients LASER 2011'!D94</f>
        <v>102764.45</v>
      </c>
      <c r="J95" s="1134">
        <f>'Services for Clients LASER 2011'!E94</f>
        <v>54415.689999999995</v>
      </c>
      <c r="K95" s="1134">
        <f t="shared" si="14"/>
        <v>542075.15</v>
      </c>
      <c r="L95" s="1134">
        <f>'Medicaid &amp; FAMIS - LASER 2011'!D93+'SNAP - LASER 2011'!D93+'SNAP - LASER 2011'!E93+'FC &amp; Adoptions LASER 2011'!C93+'LIHEAP LASER 2011'!D93+'TANF LASER 2011'!C93+'Other Benefits LASER 2011'!C93</f>
        <v>39898858.718952999</v>
      </c>
      <c r="M95" s="1134">
        <f>'Medicaid &amp; FAMIS - LASER 2011'!E93+'SNAP - LASER 2011'!F93+'FC &amp; Adoptions LASER 2011'!D93+'TANF LASER 2011'!D93+'Other Benefits LASER 2011'!D93</f>
        <v>21495420.411046997</v>
      </c>
      <c r="N95" s="1134">
        <f>'FC &amp; Adoptions LASER 2011'!E93+'TANF LASER 2011'!E93</f>
        <v>437179.49</v>
      </c>
      <c r="O95" s="1134">
        <f t="shared" si="15"/>
        <v>61831458.619999997</v>
      </c>
      <c r="Q95" s="1137">
        <f t="shared" si="16"/>
        <v>0.53140293727951193</v>
      </c>
      <c r="R95" s="1137">
        <f t="shared" si="17"/>
        <v>0.25471620453110749</v>
      </c>
      <c r="S95" s="1137">
        <f t="shared" si="18"/>
        <v>0.21388085818938063</v>
      </c>
      <c r="T95" s="1137">
        <f t="shared" si="19"/>
        <v>0.78611914181061937</v>
      </c>
      <c r="V95" s="1137">
        <f t="shared" si="20"/>
        <v>0.63170332186033473</v>
      </c>
      <c r="W95" s="1137">
        <f t="shared" si="21"/>
        <v>4.0767523118672148E-2</v>
      </c>
      <c r="X95" s="1137">
        <f t="shared" si="22"/>
        <v>0.32752915502099306</v>
      </c>
    </row>
    <row r="96" spans="1:24">
      <c r="A96" s="189" t="s">
        <v>233</v>
      </c>
      <c r="B96" s="190" t="s">
        <v>234</v>
      </c>
      <c r="C96" s="191" t="s">
        <v>276</v>
      </c>
      <c r="D96" s="1134">
        <f>'Eligibililty Staff LASER-2011'!C94+'Services Staff LASER 2011'!C94+'Other Exp. LASER 2011'!C94</f>
        <v>1062032.81</v>
      </c>
      <c r="E96" s="1134">
        <f>'Eligibililty Staff LASER-2011'!D94+'Services Staff LASER 2011'!D94+'Other Exp. LASER 2011'!D94</f>
        <v>424522.31999999995</v>
      </c>
      <c r="F96" s="1134">
        <f>'Eligibililty Staff LASER-2011'!E94+'Services Staff LASER 2011'!E94+'Other Exp. LASER 2011'!E94</f>
        <v>776845.61999999988</v>
      </c>
      <c r="G96" s="1134">
        <f>SUM('Benefits Spending Summary'!D96:F96)</f>
        <v>2263400.75</v>
      </c>
      <c r="H96" s="1134">
        <f>'Services for Clients LASER 2011'!C95</f>
        <v>374249.23999999993</v>
      </c>
      <c r="I96" s="1134">
        <f>'Services for Clients LASER 2011'!D95</f>
        <v>110134.53</v>
      </c>
      <c r="J96" s="1134">
        <f>'Services for Clients LASER 2011'!E95</f>
        <v>39310.070000000007</v>
      </c>
      <c r="K96" s="1134">
        <f t="shared" si="14"/>
        <v>523693.83999999991</v>
      </c>
      <c r="L96" s="1134">
        <f>'Medicaid &amp; FAMIS - LASER 2011'!D94+'SNAP - LASER 2011'!D94+'SNAP - LASER 2011'!E94+'FC &amp; Adoptions LASER 2011'!C94+'LIHEAP LASER 2011'!D94+'TANF LASER 2011'!C94+'Other Benefits LASER 2011'!C94</f>
        <v>25841220.208322998</v>
      </c>
      <c r="M96" s="1134">
        <f>'Medicaid &amp; FAMIS - LASER 2011'!E94+'SNAP - LASER 2011'!F94+'FC &amp; Adoptions LASER 2011'!D94+'TANF LASER 2011'!D94+'Other Benefits LASER 2011'!D94</f>
        <v>13792265.411676999</v>
      </c>
      <c r="N96" s="1134">
        <f>'FC &amp; Adoptions LASER 2011'!E94+'TANF LASER 2011'!E94</f>
        <v>739395.36</v>
      </c>
      <c r="O96" s="1134">
        <f t="shared" si="15"/>
        <v>40372880.979999997</v>
      </c>
      <c r="Q96" s="1137">
        <f t="shared" si="16"/>
        <v>0.46921996027437918</v>
      </c>
      <c r="R96" s="1137">
        <f t="shared" si="17"/>
        <v>0.18755950310611144</v>
      </c>
      <c r="S96" s="1137">
        <f t="shared" si="18"/>
        <v>0.34322053661950935</v>
      </c>
      <c r="T96" s="1137">
        <f t="shared" si="19"/>
        <v>0.65677946338049054</v>
      </c>
      <c r="V96" s="1137">
        <f t="shared" si="20"/>
        <v>0.49940220219709275</v>
      </c>
      <c r="W96" s="1137">
        <f t="shared" si="21"/>
        <v>2.5270832480875513E-2</v>
      </c>
      <c r="X96" s="1137">
        <f t="shared" si="22"/>
        <v>0.47532696532203172</v>
      </c>
    </row>
    <row r="97" spans="1:24">
      <c r="A97" s="189" t="s">
        <v>235</v>
      </c>
      <c r="B97" s="190" t="s">
        <v>236</v>
      </c>
      <c r="C97" s="191" t="s">
        <v>278</v>
      </c>
      <c r="D97" s="1134">
        <f>'Eligibililty Staff LASER-2011'!C95+'Services Staff LASER 2011'!C95+'Other Exp. LASER 2011'!C95</f>
        <v>1641128.2</v>
      </c>
      <c r="E97" s="1134">
        <f>'Eligibililty Staff LASER-2011'!D95+'Services Staff LASER 2011'!D95+'Other Exp. LASER 2011'!D95</f>
        <v>742226.11</v>
      </c>
      <c r="F97" s="1134">
        <f>'Eligibililty Staff LASER-2011'!E95+'Services Staff LASER 2011'!E95+'Other Exp. LASER 2011'!E95</f>
        <v>695208.28</v>
      </c>
      <c r="G97" s="1134">
        <f>SUM('Benefits Spending Summary'!D97:F97)</f>
        <v>3078562.59</v>
      </c>
      <c r="H97" s="1134">
        <f>'Services for Clients LASER 2011'!C96</f>
        <v>318389.29000000004</v>
      </c>
      <c r="I97" s="1134">
        <f>'Services for Clients LASER 2011'!D96</f>
        <v>72353.06</v>
      </c>
      <c r="J97" s="1134">
        <f>'Services for Clients LASER 2011'!E96</f>
        <v>37232.33</v>
      </c>
      <c r="K97" s="1134">
        <f t="shared" si="14"/>
        <v>427974.68000000005</v>
      </c>
      <c r="L97" s="1134">
        <f>'Medicaid &amp; FAMIS - LASER 2011'!D95+'SNAP - LASER 2011'!D95+'SNAP - LASER 2011'!E95+'FC &amp; Adoptions LASER 2011'!C95+'LIHEAP LASER 2011'!D95+'TANF LASER 2011'!C95+'Other Benefits LASER 2011'!C95</f>
        <v>39972493.290475003</v>
      </c>
      <c r="M97" s="1134">
        <f>'Medicaid &amp; FAMIS - LASER 2011'!E95+'SNAP - LASER 2011'!F95+'FC &amp; Adoptions LASER 2011'!D95+'TANF LASER 2011'!D95+'Other Benefits LASER 2011'!D95</f>
        <v>20653879.159524996</v>
      </c>
      <c r="N97" s="1134">
        <f>'FC &amp; Adoptions LASER 2011'!E95+'TANF LASER 2011'!E95</f>
        <v>258817.87</v>
      </c>
      <c r="O97" s="1134">
        <f t="shared" si="15"/>
        <v>60885190.32</v>
      </c>
      <c r="Q97" s="1137">
        <f t="shared" si="16"/>
        <v>0.53308261632582243</v>
      </c>
      <c r="R97" s="1137">
        <f t="shared" si="17"/>
        <v>0.24109502025748972</v>
      </c>
      <c r="S97" s="1137">
        <f t="shared" si="18"/>
        <v>0.22582236341668793</v>
      </c>
      <c r="T97" s="1137">
        <f t="shared" si="19"/>
        <v>0.77417763658331218</v>
      </c>
      <c r="V97" s="1137">
        <f t="shared" si="20"/>
        <v>0.7013390493264684</v>
      </c>
      <c r="W97" s="1137">
        <f t="shared" si="21"/>
        <v>3.7560667324631619E-2</v>
      </c>
      <c r="X97" s="1137">
        <f t="shared" si="22"/>
        <v>0.26110028334890006</v>
      </c>
    </row>
    <row r="98" spans="1:24">
      <c r="A98" s="189" t="s">
        <v>237</v>
      </c>
      <c r="B98" s="190" t="s">
        <v>238</v>
      </c>
      <c r="C98" s="191" t="s">
        <v>275</v>
      </c>
      <c r="D98" s="1134">
        <f>'Eligibililty Staff LASER-2011'!C96+'Services Staff LASER 2011'!C96+'Other Exp. LASER 2011'!C96</f>
        <v>804822.49</v>
      </c>
      <c r="E98" s="1134">
        <f>'Eligibililty Staff LASER-2011'!D96+'Services Staff LASER 2011'!D96+'Other Exp. LASER 2011'!D96</f>
        <v>349922.70999999996</v>
      </c>
      <c r="F98" s="1134">
        <f>'Eligibililty Staff LASER-2011'!E96+'Services Staff LASER 2011'!E96+'Other Exp. LASER 2011'!E96</f>
        <v>563208.43999999994</v>
      </c>
      <c r="G98" s="1134">
        <f>SUM('Benefits Spending Summary'!D98:F98)</f>
        <v>1717953.64</v>
      </c>
      <c r="H98" s="1134">
        <f>'Services for Clients LASER 2011'!C97</f>
        <v>271539.13</v>
      </c>
      <c r="I98" s="1134">
        <f>'Services for Clients LASER 2011'!D97</f>
        <v>58550.219999999994</v>
      </c>
      <c r="J98" s="1134">
        <f>'Services for Clients LASER 2011'!E97</f>
        <v>17570.88</v>
      </c>
      <c r="K98" s="1134">
        <f t="shared" si="14"/>
        <v>347660.23</v>
      </c>
      <c r="L98" s="1134">
        <f>'Medicaid &amp; FAMIS - LASER 2011'!D96+'SNAP - LASER 2011'!D96+'SNAP - LASER 2011'!E96+'FC &amp; Adoptions LASER 2011'!C96+'LIHEAP LASER 2011'!D96+'TANF LASER 2011'!C96+'Other Benefits LASER 2011'!C96</f>
        <v>16425589.644723</v>
      </c>
      <c r="M98" s="1134">
        <f>'Medicaid &amp; FAMIS - LASER 2011'!E96+'SNAP - LASER 2011'!F96+'FC &amp; Adoptions LASER 2011'!D96+'TANF LASER 2011'!D96+'Other Benefits LASER 2011'!D96</f>
        <v>8324583.3852769993</v>
      </c>
      <c r="N98" s="1134">
        <f>'FC &amp; Adoptions LASER 2011'!E96+'TANF LASER 2011'!E96</f>
        <v>222938.50999999998</v>
      </c>
      <c r="O98" s="1134">
        <f t="shared" si="15"/>
        <v>24973111.540000003</v>
      </c>
      <c r="Q98" s="1137">
        <f t="shared" si="16"/>
        <v>0.46847742061304987</v>
      </c>
      <c r="R98" s="1137">
        <f t="shared" si="17"/>
        <v>0.20368577000715804</v>
      </c>
      <c r="S98" s="1137">
        <f t="shared" si="18"/>
        <v>0.32783680937979209</v>
      </c>
      <c r="T98" s="1137">
        <f t="shared" si="19"/>
        <v>0.67216319062020791</v>
      </c>
      <c r="V98" s="1137">
        <f t="shared" si="20"/>
        <v>0.70075394495105325</v>
      </c>
      <c r="W98" s="1137">
        <f t="shared" si="21"/>
        <v>2.1862000996046089E-2</v>
      </c>
      <c r="X98" s="1137">
        <f t="shared" si="22"/>
        <v>0.27738405405290062</v>
      </c>
    </row>
    <row r="99" spans="1:24">
      <c r="A99" s="189" t="s">
        <v>243</v>
      </c>
      <c r="B99" s="190" t="s">
        <v>244</v>
      </c>
      <c r="C99" s="191" t="s">
        <v>278</v>
      </c>
      <c r="D99" s="1134">
        <f>'Eligibililty Staff LASER-2011'!C97+'Services Staff LASER 2011'!C97+'Other Exp. LASER 2011'!C97</f>
        <v>2475457</v>
      </c>
      <c r="E99" s="1134">
        <f>'Eligibililty Staff LASER-2011'!D97+'Services Staff LASER 2011'!D97+'Other Exp. LASER 2011'!D97</f>
        <v>1230406.67</v>
      </c>
      <c r="F99" s="1134">
        <f>'Eligibililty Staff LASER-2011'!E97+'Services Staff LASER 2011'!E97+'Other Exp. LASER 2011'!E97</f>
        <v>831786.15</v>
      </c>
      <c r="G99" s="1134">
        <f>SUM('Benefits Spending Summary'!D99:F99)</f>
        <v>4537649.82</v>
      </c>
      <c r="H99" s="1134">
        <f>'Services for Clients LASER 2011'!C98</f>
        <v>464498.89999999997</v>
      </c>
      <c r="I99" s="1134">
        <f>'Services for Clients LASER 2011'!D98</f>
        <v>148095.56000000003</v>
      </c>
      <c r="J99" s="1134">
        <f>'Services for Clients LASER 2011'!E98</f>
        <v>91801.63</v>
      </c>
      <c r="K99" s="1134">
        <f t="shared" si="14"/>
        <v>704396.09</v>
      </c>
      <c r="L99" s="1134">
        <f>'Medicaid &amp; FAMIS - LASER 2011'!D97+'SNAP - LASER 2011'!D97+'SNAP - LASER 2011'!E97+'FC &amp; Adoptions LASER 2011'!C97+'LIHEAP LASER 2011'!D97+'TANF LASER 2011'!C97+'Other Benefits LASER 2011'!C97</f>
        <v>48855901.934516005</v>
      </c>
      <c r="M99" s="1134">
        <f>'Medicaid &amp; FAMIS - LASER 2011'!E97+'SNAP - LASER 2011'!F97+'FC &amp; Adoptions LASER 2011'!D97+'TANF LASER 2011'!D97+'Other Benefits LASER 2011'!D97</f>
        <v>25543491.225483999</v>
      </c>
      <c r="N99" s="1134">
        <f>'FC &amp; Adoptions LASER 2011'!E97+'TANF LASER 2011'!E97</f>
        <v>428759.11</v>
      </c>
      <c r="O99" s="1134">
        <f t="shared" si="15"/>
        <v>74828152.269999996</v>
      </c>
      <c r="Q99" s="1137">
        <f t="shared" si="16"/>
        <v>0.54553724905991086</v>
      </c>
      <c r="R99" s="1137">
        <f t="shared" si="17"/>
        <v>0.27115505136092671</v>
      </c>
      <c r="S99" s="1137">
        <f t="shared" si="18"/>
        <v>0.18330769957916232</v>
      </c>
      <c r="T99" s="1137">
        <f t="shared" si="19"/>
        <v>0.81669230042083762</v>
      </c>
      <c r="V99" s="1137">
        <f t="shared" si="20"/>
        <v>0.61506863080078511</v>
      </c>
      <c r="W99" s="1137">
        <f t="shared" si="21"/>
        <v>6.7883196743995178E-2</v>
      </c>
      <c r="X99" s="1137">
        <f t="shared" si="22"/>
        <v>0.31704817245521966</v>
      </c>
    </row>
    <row r="100" spans="1:24">
      <c r="A100" s="189" t="s">
        <v>245</v>
      </c>
      <c r="B100" s="190" t="s">
        <v>246</v>
      </c>
      <c r="C100" s="191" t="s">
        <v>278</v>
      </c>
      <c r="D100" s="1134">
        <f>'Eligibililty Staff LASER-2011'!C98+'Services Staff LASER 2011'!C98+'Other Exp. LASER 2011'!C98</f>
        <v>1259434.26</v>
      </c>
      <c r="E100" s="1134">
        <f>'Eligibililty Staff LASER-2011'!D98+'Services Staff LASER 2011'!D98+'Other Exp. LASER 2011'!D98</f>
        <v>550932.27</v>
      </c>
      <c r="F100" s="1134">
        <f>'Eligibililty Staff LASER-2011'!E98+'Services Staff LASER 2011'!E98+'Other Exp. LASER 2011'!E98</f>
        <v>598258.37999999989</v>
      </c>
      <c r="G100" s="1134">
        <f>SUM('Benefits Spending Summary'!D100:F100)</f>
        <v>2408624.91</v>
      </c>
      <c r="H100" s="1134">
        <f>'Services for Clients LASER 2011'!C99</f>
        <v>365427.25000000006</v>
      </c>
      <c r="I100" s="1134">
        <f>'Services for Clients LASER 2011'!D99</f>
        <v>78675.839999999997</v>
      </c>
      <c r="J100" s="1134">
        <f>'Services for Clients LASER 2011'!E99</f>
        <v>36530.359999999993</v>
      </c>
      <c r="K100" s="1134">
        <f t="shared" si="14"/>
        <v>480633.45000000007</v>
      </c>
      <c r="L100" s="1134">
        <f>'Medicaid &amp; FAMIS - LASER 2011'!D98+'SNAP - LASER 2011'!D98+'SNAP - LASER 2011'!E98+'FC &amp; Adoptions LASER 2011'!C98+'LIHEAP LASER 2011'!D98+'TANF LASER 2011'!C98+'Other Benefits LASER 2011'!C98</f>
        <v>25587723.484114997</v>
      </c>
      <c r="M100" s="1134">
        <f>'Medicaid &amp; FAMIS - LASER 2011'!E98+'SNAP - LASER 2011'!F98+'FC &amp; Adoptions LASER 2011'!D98+'TANF LASER 2011'!D98+'Other Benefits LASER 2011'!D98</f>
        <v>14597189.685884999</v>
      </c>
      <c r="N100" s="1134">
        <f>'FC &amp; Adoptions LASER 2011'!E98+'TANF LASER 2011'!E98</f>
        <v>631456.38</v>
      </c>
      <c r="O100" s="1134">
        <f t="shared" si="15"/>
        <v>40816369.549999997</v>
      </c>
      <c r="Q100" s="1137">
        <f t="shared" si="16"/>
        <v>0.52288517600691919</v>
      </c>
      <c r="R100" s="1137">
        <f t="shared" si="17"/>
        <v>0.22873311145818881</v>
      </c>
      <c r="S100" s="1137">
        <f t="shared" si="18"/>
        <v>0.24838171253489189</v>
      </c>
      <c r="T100" s="1137">
        <f t="shared" si="19"/>
        <v>0.75161828746510806</v>
      </c>
      <c r="V100" s="1137">
        <f t="shared" si="20"/>
        <v>0.47246648421436754</v>
      </c>
      <c r="W100" s="1137">
        <f t="shared" si="21"/>
        <v>2.8849358961399195E-2</v>
      </c>
      <c r="X100" s="1137">
        <f t="shared" si="22"/>
        <v>0.49868415682423328</v>
      </c>
    </row>
    <row r="101" spans="1:24">
      <c r="A101" s="189" t="s">
        <v>247</v>
      </c>
      <c r="B101" s="190" t="s">
        <v>248</v>
      </c>
      <c r="C101" s="191" t="s">
        <v>272</v>
      </c>
      <c r="D101" s="1134">
        <f>'Eligibililty Staff LASER-2011'!C99+'Services Staff LASER 2011'!C99+'Other Exp. LASER 2011'!C99</f>
        <v>1692281.0999999999</v>
      </c>
      <c r="E101" s="1134">
        <f>'Eligibililty Staff LASER-2011'!D99+'Services Staff LASER 2011'!D99+'Other Exp. LASER 2011'!D99</f>
        <v>660828.42000000004</v>
      </c>
      <c r="F101" s="1134">
        <f>'Eligibililty Staff LASER-2011'!E99+'Services Staff LASER 2011'!E99+'Other Exp. LASER 2011'!E99</f>
        <v>1571388.1199999999</v>
      </c>
      <c r="G101" s="1134">
        <f>SUM('Benefits Spending Summary'!D101:F101)</f>
        <v>3924497.6399999997</v>
      </c>
      <c r="H101" s="1134">
        <f>'Services for Clients LASER 2011'!C100</f>
        <v>536691.93000000005</v>
      </c>
      <c r="I101" s="1134">
        <f>'Services for Clients LASER 2011'!D100</f>
        <v>106900.6</v>
      </c>
      <c r="J101" s="1134">
        <f>'Services for Clients LASER 2011'!E100</f>
        <v>41299.659999999996</v>
      </c>
      <c r="K101" s="1134">
        <f t="shared" si="14"/>
        <v>684892.19000000006</v>
      </c>
      <c r="L101" s="1134">
        <f>'Medicaid &amp; FAMIS - LASER 2011'!D99+'SNAP - LASER 2011'!D99+'SNAP - LASER 2011'!E99+'FC &amp; Adoptions LASER 2011'!C99+'LIHEAP LASER 2011'!D99+'TANF LASER 2011'!C99+'Other Benefits LASER 2011'!C99</f>
        <v>19358635.029194999</v>
      </c>
      <c r="M101" s="1134">
        <f>'Medicaid &amp; FAMIS - LASER 2011'!E99+'SNAP - LASER 2011'!F99+'FC &amp; Adoptions LASER 2011'!D99+'TANF LASER 2011'!D99+'Other Benefits LASER 2011'!D99</f>
        <v>10685646.480804998</v>
      </c>
      <c r="N101" s="1134">
        <f>'FC &amp; Adoptions LASER 2011'!E99+'TANF LASER 2011'!E99</f>
        <v>402900.52999999997</v>
      </c>
      <c r="O101" s="1134">
        <f t="shared" si="15"/>
        <v>30447182.039999999</v>
      </c>
      <c r="Q101" s="1137">
        <f t="shared" si="16"/>
        <v>0.43120961081785747</v>
      </c>
      <c r="R101" s="1137">
        <f t="shared" si="17"/>
        <v>0.16838548028786687</v>
      </c>
      <c r="S101" s="1137">
        <f t="shared" si="18"/>
        <v>0.40040490889427571</v>
      </c>
      <c r="T101" s="1137">
        <f t="shared" si="19"/>
        <v>0.5995950911057244</v>
      </c>
      <c r="V101" s="1137">
        <f t="shared" si="20"/>
        <v>0.77961759958808252</v>
      </c>
      <c r="W101" s="1137">
        <f t="shared" si="21"/>
        <v>2.0490126775938682E-2</v>
      </c>
      <c r="X101" s="1137">
        <f t="shared" si="22"/>
        <v>0.19989227363597878</v>
      </c>
    </row>
    <row r="102" spans="1:24">
      <c r="A102" s="189" t="s">
        <v>14</v>
      </c>
      <c r="B102" s="190" t="s">
        <v>15</v>
      </c>
      <c r="C102" s="191" t="s">
        <v>276</v>
      </c>
      <c r="D102" s="1134">
        <f>'Eligibililty Staff LASER-2011'!C100+'Services Staff LASER 2011'!C100+'Other Exp. LASER 2011'!C100</f>
        <v>6696878.7799999993</v>
      </c>
      <c r="E102" s="1134">
        <f>'Eligibililty Staff LASER-2011'!D100+'Services Staff LASER 2011'!D100+'Other Exp. LASER 2011'!D100</f>
        <v>2132461.91</v>
      </c>
      <c r="F102" s="1134">
        <f>'Eligibililty Staff LASER-2011'!E100+'Services Staff LASER 2011'!E100+'Other Exp. LASER 2011'!E100</f>
        <v>8472973.3599999994</v>
      </c>
      <c r="G102" s="1134">
        <f>SUM('Benefits Spending Summary'!D102:F102)</f>
        <v>17302314.049999997</v>
      </c>
      <c r="H102" s="1134">
        <f>'Services for Clients LASER 2011'!C101</f>
        <v>3143228.8599999994</v>
      </c>
      <c r="I102" s="1134">
        <f>'Services for Clients LASER 2011'!D101</f>
        <v>1129591.44</v>
      </c>
      <c r="J102" s="1134">
        <f>'Services for Clients LASER 2011'!E101</f>
        <v>394106.01</v>
      </c>
      <c r="K102" s="1134">
        <f t="shared" ref="K102:K126" si="23">SUM(H102:J102)</f>
        <v>4666926.3099999987</v>
      </c>
      <c r="L102" s="1134">
        <f>'Medicaid &amp; FAMIS - LASER 2011'!D100+'SNAP - LASER 2011'!D100+'SNAP - LASER 2011'!E100+'FC &amp; Adoptions LASER 2011'!C100+'LIHEAP LASER 2011'!D100+'TANF LASER 2011'!C100+'Other Benefits LASER 2011'!C100</f>
        <v>59177729.749577001</v>
      </c>
      <c r="M102" s="1134">
        <f>'Medicaid &amp; FAMIS - LASER 2011'!E100+'SNAP - LASER 2011'!F100+'FC &amp; Adoptions LASER 2011'!D100+'TANF LASER 2011'!D100+'Other Benefits LASER 2011'!D100</f>
        <v>37286083.630423002</v>
      </c>
      <c r="N102" s="1134">
        <f>'FC &amp; Adoptions LASER 2011'!E100+'TANF LASER 2011'!E100</f>
        <v>4538400.38</v>
      </c>
      <c r="O102" s="1134">
        <f t="shared" ref="O102:O126" si="24">SUM(L102:N102)</f>
        <v>101002213.75999999</v>
      </c>
      <c r="Q102" s="1137">
        <f t="shared" ref="Q102:Q126" si="25">D102/G102</f>
        <v>0.38705104766029841</v>
      </c>
      <c r="R102" s="1137">
        <f t="shared" ref="R102:R126" si="26">E102/G102</f>
        <v>0.12324720865877478</v>
      </c>
      <c r="S102" s="1137">
        <f t="shared" ref="S102:S126" si="27">F102/G102</f>
        <v>0.48970174368092695</v>
      </c>
      <c r="T102" s="1137">
        <f t="shared" si="19"/>
        <v>0.51029825631907322</v>
      </c>
      <c r="V102" s="1137">
        <f t="shared" si="20"/>
        <v>0.63205297520217429</v>
      </c>
      <c r="W102" s="1137">
        <f t="shared" si="21"/>
        <v>2.9398873994047101E-2</v>
      </c>
      <c r="X102" s="1137">
        <f t="shared" si="22"/>
        <v>0.33854815080377859</v>
      </c>
    </row>
    <row r="103" spans="1:24">
      <c r="A103" s="189" t="s">
        <v>35</v>
      </c>
      <c r="B103" s="190" t="s">
        <v>36</v>
      </c>
      <c r="C103" s="191" t="s">
        <v>278</v>
      </c>
      <c r="D103" s="1134">
        <f>'Eligibililty Staff LASER-2011'!C101+'Services Staff LASER 2011'!C101+'Other Exp. LASER 2011'!C101</f>
        <v>1195237.54</v>
      </c>
      <c r="E103" s="1134">
        <f>'Eligibililty Staff LASER-2011'!D101+'Services Staff LASER 2011'!D101+'Other Exp. LASER 2011'!D101</f>
        <v>615327.90999999992</v>
      </c>
      <c r="F103" s="1134">
        <f>'Eligibililty Staff LASER-2011'!E101+'Services Staff LASER 2011'!E101+'Other Exp. LASER 2011'!E101</f>
        <v>377019.71</v>
      </c>
      <c r="G103" s="1134">
        <f>SUM('Benefits Spending Summary'!D103:F103)</f>
        <v>2187585.16</v>
      </c>
      <c r="H103" s="1134">
        <f>'Services for Clients LASER 2011'!C102</f>
        <v>413415.12000000005</v>
      </c>
      <c r="I103" s="1134">
        <f>'Services for Clients LASER 2011'!D102</f>
        <v>142857.49</v>
      </c>
      <c r="J103" s="1134">
        <f>'Services for Clients LASER 2011'!E102</f>
        <v>54531.840000000011</v>
      </c>
      <c r="K103" s="1134">
        <f t="shared" si="23"/>
        <v>610804.45000000007</v>
      </c>
      <c r="L103" s="1134">
        <f>'Medicaid &amp; FAMIS - LASER 2011'!D101+'SNAP - LASER 2011'!D101+'SNAP - LASER 2011'!E101+'FC &amp; Adoptions LASER 2011'!C101+'LIHEAP LASER 2011'!D101+'TANF LASER 2011'!C101+'Other Benefits LASER 2011'!C101</f>
        <v>21966925.592497002</v>
      </c>
      <c r="M103" s="1134">
        <f>'Medicaid &amp; FAMIS - LASER 2011'!E101+'SNAP - LASER 2011'!F101+'FC &amp; Adoptions LASER 2011'!D101+'TANF LASER 2011'!D101+'Other Benefits LASER 2011'!D101</f>
        <v>11273776.527503001</v>
      </c>
      <c r="N103" s="1134">
        <f>'FC &amp; Adoptions LASER 2011'!E101+'TANF LASER 2011'!E101</f>
        <v>285613.36</v>
      </c>
      <c r="O103" s="1134">
        <f t="shared" si="24"/>
        <v>33526315.480000004</v>
      </c>
      <c r="Q103" s="1137">
        <f t="shared" si="25"/>
        <v>0.54637303354169764</v>
      </c>
      <c r="R103" s="1137">
        <f t="shared" si="26"/>
        <v>0.28128180847597262</v>
      </c>
      <c r="S103" s="1137">
        <f t="shared" si="27"/>
        <v>0.17234515798232969</v>
      </c>
      <c r="T103" s="1137">
        <f t="shared" si="19"/>
        <v>0.82765484201767026</v>
      </c>
      <c r="V103" s="1137">
        <f t="shared" si="20"/>
        <v>0.52570852915823785</v>
      </c>
      <c r="W103" s="1137">
        <f t="shared" si="21"/>
        <v>7.6038076096054411E-2</v>
      </c>
      <c r="X103" s="1137">
        <f t="shared" si="22"/>
        <v>0.39825339474570776</v>
      </c>
    </row>
    <row r="104" spans="1:24">
      <c r="A104" s="189" t="s">
        <v>53</v>
      </c>
      <c r="B104" s="190" t="s">
        <v>54</v>
      </c>
      <c r="C104" s="191" t="s">
        <v>273</v>
      </c>
      <c r="D104" s="1134">
        <f>'Eligibililty Staff LASER-2011'!C102+'Services Staff LASER 2011'!C102+'Other Exp. LASER 2011'!C102</f>
        <v>3230663.41</v>
      </c>
      <c r="E104" s="1134">
        <f>'Eligibililty Staff LASER-2011'!D102+'Services Staff LASER 2011'!D102+'Other Exp. LASER 2011'!D102</f>
        <v>1147607.73</v>
      </c>
      <c r="F104" s="1134">
        <f>'Eligibililty Staff LASER-2011'!E102+'Services Staff LASER 2011'!E102+'Other Exp. LASER 2011'!E102</f>
        <v>2682529.8200000003</v>
      </c>
      <c r="G104" s="1134">
        <f>SUM('Benefits Spending Summary'!D104:F104)</f>
        <v>7060800.9600000009</v>
      </c>
      <c r="H104" s="1134">
        <f>'Services for Clients LASER 2011'!C103</f>
        <v>1079068</v>
      </c>
      <c r="I104" s="1134">
        <f>'Services for Clients LASER 2011'!D103</f>
        <v>492617.08999999997</v>
      </c>
      <c r="J104" s="1134">
        <f>'Services for Clients LASER 2011'!E103</f>
        <v>91760.849999999991</v>
      </c>
      <c r="K104" s="1134">
        <f t="shared" si="23"/>
        <v>1663445.94</v>
      </c>
      <c r="L104" s="1134">
        <f>'Medicaid &amp; FAMIS - LASER 2011'!D102+'SNAP - LASER 2011'!D102+'SNAP - LASER 2011'!E102+'FC &amp; Adoptions LASER 2011'!C102+'LIHEAP LASER 2011'!D102+'TANF LASER 2011'!C102+'Other Benefits LASER 2011'!C102</f>
        <v>39987166.767170005</v>
      </c>
      <c r="M104" s="1134">
        <f>'Medicaid &amp; FAMIS - LASER 2011'!E102+'SNAP - LASER 2011'!F102+'FC &amp; Adoptions LASER 2011'!D102+'TANF LASER 2011'!D102+'Other Benefits LASER 2011'!D102</f>
        <v>28152329.112830002</v>
      </c>
      <c r="N104" s="1134">
        <f>'FC &amp; Adoptions LASER 2011'!E102+'TANF LASER 2011'!E102</f>
        <v>2516230.2999999998</v>
      </c>
      <c r="O104" s="1134">
        <f t="shared" si="24"/>
        <v>70655726.180000007</v>
      </c>
      <c r="Q104" s="1137">
        <f t="shared" si="25"/>
        <v>0.45754914043066297</v>
      </c>
      <c r="R104" s="1137">
        <f t="shared" si="26"/>
        <v>0.16253223062104272</v>
      </c>
      <c r="S104" s="1137">
        <f t="shared" si="27"/>
        <v>0.37991862894829426</v>
      </c>
      <c r="T104" s="1137">
        <f t="shared" si="19"/>
        <v>0.62008137105170569</v>
      </c>
      <c r="V104" s="1137">
        <f t="shared" si="20"/>
        <v>0.50704454914957076</v>
      </c>
      <c r="W104" s="1137">
        <f t="shared" si="21"/>
        <v>1.734438829754794E-2</v>
      </c>
      <c r="X104" s="1137">
        <f t="shared" si="22"/>
        <v>0.47561106255288116</v>
      </c>
    </row>
    <row r="105" spans="1:24">
      <c r="A105" s="189" t="s">
        <v>55</v>
      </c>
      <c r="B105" s="190" t="s">
        <v>56</v>
      </c>
      <c r="C105" s="191" t="s">
        <v>272</v>
      </c>
      <c r="D105" s="1134">
        <f>'Eligibililty Staff LASER-2011'!C103+'Services Staff LASER 2011'!C103+'Other Exp. LASER 2011'!C103</f>
        <v>6525608.0199999996</v>
      </c>
      <c r="E105" s="1134">
        <f>'Eligibililty Staff LASER-2011'!D103+'Services Staff LASER 2011'!D103+'Other Exp. LASER 2011'!D103</f>
        <v>2523797.6500000004</v>
      </c>
      <c r="F105" s="1134">
        <f>'Eligibililty Staff LASER-2011'!E103+'Services Staff LASER 2011'!E103+'Other Exp. LASER 2011'!E103</f>
        <v>5062435.1099999994</v>
      </c>
      <c r="G105" s="1134">
        <f>SUM('Benefits Spending Summary'!D105:F105)</f>
        <v>14111840.779999999</v>
      </c>
      <c r="H105" s="1134">
        <f>'Services for Clients LASER 2011'!C104</f>
        <v>2944558.8500000006</v>
      </c>
      <c r="I105" s="1134">
        <f>'Services for Clients LASER 2011'!D104</f>
        <v>1077556.73</v>
      </c>
      <c r="J105" s="1134">
        <f>'Services for Clients LASER 2011'!E104</f>
        <v>271034.56999999995</v>
      </c>
      <c r="K105" s="1134">
        <f t="shared" si="23"/>
        <v>4293150.1500000004</v>
      </c>
      <c r="L105" s="1134">
        <f>'Medicaid &amp; FAMIS - LASER 2011'!D103+'SNAP - LASER 2011'!D103+'SNAP - LASER 2011'!E103+'FC &amp; Adoptions LASER 2011'!C103+'LIHEAP LASER 2011'!D103+'TANF LASER 2011'!C103+'Other Benefits LASER 2011'!C103</f>
        <v>122008386.51600797</v>
      </c>
      <c r="M105" s="1134">
        <f>'Medicaid &amp; FAMIS - LASER 2011'!E103+'SNAP - LASER 2011'!F103+'FC &amp; Adoptions LASER 2011'!D103+'TANF LASER 2011'!D103+'Other Benefits LASER 2011'!D103</f>
        <v>62450771.783991992</v>
      </c>
      <c r="N105" s="1134">
        <f>'FC &amp; Adoptions LASER 2011'!E103+'TANF LASER 2011'!E103</f>
        <v>1420493.3399999999</v>
      </c>
      <c r="O105" s="1134">
        <f t="shared" si="24"/>
        <v>185879651.63999996</v>
      </c>
      <c r="Q105" s="1137">
        <f t="shared" si="25"/>
        <v>0.46242075160374646</v>
      </c>
      <c r="R105" s="1137">
        <f t="shared" si="26"/>
        <v>0.17884255423125603</v>
      </c>
      <c r="S105" s="1137">
        <f t="shared" si="27"/>
        <v>0.35873669416499748</v>
      </c>
      <c r="T105" s="1137">
        <f t="shared" si="19"/>
        <v>0.64126330583500246</v>
      </c>
      <c r="V105" s="1137">
        <f t="shared" si="20"/>
        <v>0.74955031512742865</v>
      </c>
      <c r="W105" s="1137">
        <f t="shared" si="21"/>
        <v>4.0129708912738461E-2</v>
      </c>
      <c r="X105" s="1137">
        <f t="shared" si="22"/>
        <v>0.21031997595983284</v>
      </c>
    </row>
    <row r="106" spans="1:24">
      <c r="A106" s="189" t="s">
        <v>67</v>
      </c>
      <c r="B106" s="190" t="s">
        <v>68</v>
      </c>
      <c r="C106" s="191" t="s">
        <v>273</v>
      </c>
      <c r="D106" s="1134">
        <f>'Eligibililty Staff LASER-2011'!C104+'Services Staff LASER 2011'!C104+'Other Exp. LASER 2011'!C104</f>
        <v>2630476.29</v>
      </c>
      <c r="E106" s="1134">
        <f>'Eligibililty Staff LASER-2011'!D104+'Services Staff LASER 2011'!D104+'Other Exp. LASER 2011'!D104</f>
        <v>1266697.25</v>
      </c>
      <c r="F106" s="1134">
        <f>'Eligibililty Staff LASER-2011'!E104+'Services Staff LASER 2011'!E104+'Other Exp. LASER 2011'!E104</f>
        <v>918937.81</v>
      </c>
      <c r="G106" s="1134">
        <f>SUM('Benefits Spending Summary'!D106:F106)</f>
        <v>4816111.3499999996</v>
      </c>
      <c r="H106" s="1134">
        <f>'Services for Clients LASER 2011'!C105</f>
        <v>1040164.03</v>
      </c>
      <c r="I106" s="1134">
        <f>'Services for Clients LASER 2011'!D105</f>
        <v>291061.28000000003</v>
      </c>
      <c r="J106" s="1134">
        <f>'Services for Clients LASER 2011'!E105</f>
        <v>85570.250000000015</v>
      </c>
      <c r="K106" s="1134">
        <f t="shared" si="23"/>
        <v>1416795.56</v>
      </c>
      <c r="L106" s="1134">
        <f>'Medicaid &amp; FAMIS - LASER 2011'!D104+'SNAP - LASER 2011'!D104+'SNAP - LASER 2011'!E104+'FC &amp; Adoptions LASER 2011'!C104+'LIHEAP LASER 2011'!D104+'TANF LASER 2011'!C104+'Other Benefits LASER 2011'!C104</f>
        <v>73904353.053933993</v>
      </c>
      <c r="M106" s="1134">
        <f>'Medicaid &amp; FAMIS - LASER 2011'!E104+'SNAP - LASER 2011'!F104+'FC &amp; Adoptions LASER 2011'!D104+'TANF LASER 2011'!D104+'Other Benefits LASER 2011'!D104</f>
        <v>38056371.936066002</v>
      </c>
      <c r="N106" s="1134">
        <f>'FC &amp; Adoptions LASER 2011'!E104+'TANF LASER 2011'!E104</f>
        <v>710238.29</v>
      </c>
      <c r="O106" s="1134">
        <f t="shared" si="24"/>
        <v>112670963.28</v>
      </c>
      <c r="Q106" s="1137">
        <f t="shared" si="25"/>
        <v>0.54618261473543384</v>
      </c>
      <c r="R106" s="1137">
        <f t="shared" si="26"/>
        <v>0.2630124509060614</v>
      </c>
      <c r="S106" s="1137">
        <f t="shared" si="27"/>
        <v>0.19080493435850485</v>
      </c>
      <c r="T106" s="1137">
        <f t="shared" si="19"/>
        <v>0.80919506564149524</v>
      </c>
      <c r="V106" s="1137">
        <f t="shared" si="20"/>
        <v>0.53590305644913605</v>
      </c>
      <c r="W106" s="1137">
        <f t="shared" si="21"/>
        <v>4.9902570138143178E-2</v>
      </c>
      <c r="X106" s="1137">
        <f t="shared" si="22"/>
        <v>0.41419437341272075</v>
      </c>
    </row>
    <row r="107" spans="1:24">
      <c r="A107" s="189" t="s">
        <v>83</v>
      </c>
      <c r="B107" s="190" t="s">
        <v>390</v>
      </c>
      <c r="C107" s="191" t="s">
        <v>272</v>
      </c>
      <c r="D107" s="1134">
        <f>'Eligibililty Staff LASER-2011'!C105+'Services Staff LASER 2011'!C105+'Other Exp. LASER 2011'!C105</f>
        <v>607638.43999999994</v>
      </c>
      <c r="E107" s="1134">
        <f>'Eligibililty Staff LASER-2011'!D105+'Services Staff LASER 2011'!D105+'Other Exp. LASER 2011'!D105</f>
        <v>285242.05</v>
      </c>
      <c r="F107" s="1134">
        <f>'Eligibililty Staff LASER-2011'!E105+'Services Staff LASER 2011'!E105+'Other Exp. LASER 2011'!E105</f>
        <v>381973.48</v>
      </c>
      <c r="G107" s="1134">
        <f>SUM('Benefits Spending Summary'!D107:F107)</f>
        <v>1274853.97</v>
      </c>
      <c r="H107" s="1134">
        <f>'Services for Clients LASER 2011'!C106</f>
        <v>173156.18000000002</v>
      </c>
      <c r="I107" s="1134">
        <f>'Services for Clients LASER 2011'!D106</f>
        <v>30426.199999999997</v>
      </c>
      <c r="J107" s="1134">
        <f>'Services for Clients LASER 2011'!E106</f>
        <v>15975.16</v>
      </c>
      <c r="K107" s="1134">
        <f t="shared" si="23"/>
        <v>219557.54</v>
      </c>
      <c r="L107" s="1134">
        <f>'Medicaid &amp; FAMIS - LASER 2011'!D105+'SNAP - LASER 2011'!D105+'SNAP - LASER 2011'!E105+'FC &amp; Adoptions LASER 2011'!C105+'LIHEAP LASER 2011'!D105+'TANF LASER 2011'!C105+'Other Benefits LASER 2011'!C105</f>
        <v>15658086.006820999</v>
      </c>
      <c r="M107" s="1134">
        <f>'Medicaid &amp; FAMIS - LASER 2011'!E105+'SNAP - LASER 2011'!F105+'FC &amp; Adoptions LASER 2011'!D105+'TANF LASER 2011'!D105+'Other Benefits LASER 2011'!D105</f>
        <v>8019442.6931790011</v>
      </c>
      <c r="N107" s="1134">
        <f>'FC &amp; Adoptions LASER 2011'!E105+'TANF LASER 2011'!E105</f>
        <v>124993.47</v>
      </c>
      <c r="O107" s="1134">
        <f t="shared" si="24"/>
        <v>23802522.169999998</v>
      </c>
      <c r="Q107" s="1137">
        <f t="shared" si="25"/>
        <v>0.47663375908065764</v>
      </c>
      <c r="R107" s="1137">
        <f t="shared" si="26"/>
        <v>0.22374488114901506</v>
      </c>
      <c r="S107" s="1137">
        <f t="shared" si="27"/>
        <v>0.29962135977032728</v>
      </c>
      <c r="T107" s="1137">
        <f t="shared" si="19"/>
        <v>0.70037864022967278</v>
      </c>
      <c r="V107" s="1137">
        <f t="shared" si="20"/>
        <v>0.73043167244649698</v>
      </c>
      <c r="W107" s="1137">
        <f t="shared" si="21"/>
        <v>3.0548620381709173E-2</v>
      </c>
      <c r="X107" s="1137">
        <f t="shared" si="22"/>
        <v>0.23901970717179385</v>
      </c>
    </row>
    <row r="108" spans="1:24">
      <c r="A108" s="189" t="s">
        <v>89</v>
      </c>
      <c r="B108" s="190" t="s">
        <v>90</v>
      </c>
      <c r="C108" s="191" t="s">
        <v>276</v>
      </c>
      <c r="D108" s="1134">
        <f>'Eligibililty Staff LASER-2011'!C106+'Services Staff LASER 2011'!C106+'Other Exp. LASER 2011'!C106</f>
        <v>1188343.53</v>
      </c>
      <c r="E108" s="1134">
        <f>'Eligibililty Staff LASER-2011'!D106+'Services Staff LASER 2011'!D106+'Other Exp. LASER 2011'!D106</f>
        <v>489878.4</v>
      </c>
      <c r="F108" s="1134">
        <f>'Eligibililty Staff LASER-2011'!E106+'Services Staff LASER 2011'!E106+'Other Exp. LASER 2011'!E106</f>
        <v>858761.37</v>
      </c>
      <c r="G108" s="1134">
        <f>SUM('Benefits Spending Summary'!D108:F108)</f>
        <v>2536983.3000000003</v>
      </c>
      <c r="H108" s="1134">
        <f>'Services for Clients LASER 2011'!C107</f>
        <v>775312.83</v>
      </c>
      <c r="I108" s="1134">
        <f>'Services for Clients LASER 2011'!D107</f>
        <v>293132.17000000004</v>
      </c>
      <c r="J108" s="1134">
        <f>'Services for Clients LASER 2011'!E107</f>
        <v>58841.93</v>
      </c>
      <c r="K108" s="1134">
        <f t="shared" si="23"/>
        <v>1127286.93</v>
      </c>
      <c r="L108" s="1134">
        <f>'Medicaid &amp; FAMIS - LASER 2011'!D106+'SNAP - LASER 2011'!D106+'SNAP - LASER 2011'!E106+'FC &amp; Adoptions LASER 2011'!C106+'LIHEAP LASER 2011'!D106+'TANF LASER 2011'!C106+'Other Benefits LASER 2011'!C106</f>
        <v>22927138.971673999</v>
      </c>
      <c r="M108" s="1134">
        <f>'Medicaid &amp; FAMIS - LASER 2011'!E106+'SNAP - LASER 2011'!F106+'FC &amp; Adoptions LASER 2011'!D106+'TANF LASER 2011'!D106+'Other Benefits LASER 2011'!D106</f>
        <v>12322763.558326</v>
      </c>
      <c r="N108" s="1134">
        <f>'FC &amp; Adoptions LASER 2011'!E106+'TANF LASER 2011'!E106</f>
        <v>488841.63</v>
      </c>
      <c r="O108" s="1134">
        <f t="shared" si="24"/>
        <v>35738744.160000004</v>
      </c>
      <c r="Q108" s="1137">
        <f t="shared" si="25"/>
        <v>0.46840810107027503</v>
      </c>
      <c r="R108" s="1137">
        <f t="shared" si="26"/>
        <v>0.19309484615054423</v>
      </c>
      <c r="S108" s="1137">
        <f t="shared" si="27"/>
        <v>0.33849705277918063</v>
      </c>
      <c r="T108" s="1137">
        <f t="shared" si="19"/>
        <v>0.66150294722081926</v>
      </c>
      <c r="V108" s="1137">
        <f t="shared" si="20"/>
        <v>0.61059011389802509</v>
      </c>
      <c r="W108" s="1137">
        <f t="shared" si="21"/>
        <v>4.183735085880682E-2</v>
      </c>
      <c r="X108" s="1137">
        <f t="shared" si="22"/>
        <v>0.347572535243168</v>
      </c>
    </row>
    <row r="109" spans="1:24">
      <c r="A109" s="189" t="s">
        <v>91</v>
      </c>
      <c r="B109" s="190" t="s">
        <v>92</v>
      </c>
      <c r="C109" s="191" t="s">
        <v>278</v>
      </c>
      <c r="D109" s="1134">
        <f>'Eligibililty Staff LASER-2011'!C107+'Services Staff LASER 2011'!C107+'Other Exp. LASER 2011'!C107</f>
        <v>461721.04</v>
      </c>
      <c r="E109" s="1134">
        <f>'Eligibililty Staff LASER-2011'!D107+'Services Staff LASER 2011'!D107+'Other Exp. LASER 2011'!D107</f>
        <v>221394.65</v>
      </c>
      <c r="F109" s="1134">
        <f>'Eligibililty Staff LASER-2011'!E107+'Services Staff LASER 2011'!E107+'Other Exp. LASER 2011'!E107</f>
        <v>195430.77999999997</v>
      </c>
      <c r="G109" s="1134">
        <f>SUM('Benefits Spending Summary'!D109:F109)</f>
        <v>878546.47</v>
      </c>
      <c r="H109" s="1134">
        <f>'Services for Clients LASER 2011'!C108</f>
        <v>166525.24</v>
      </c>
      <c r="I109" s="1134">
        <f>'Services for Clients LASER 2011'!D108</f>
        <v>46411.46</v>
      </c>
      <c r="J109" s="1134">
        <f>'Services for Clients LASER 2011'!E108</f>
        <v>16150.98</v>
      </c>
      <c r="K109" s="1134">
        <f t="shared" si="23"/>
        <v>229087.68</v>
      </c>
      <c r="L109" s="1134">
        <f>'Medicaid &amp; FAMIS - LASER 2011'!D107+'SNAP - LASER 2011'!D107+'SNAP - LASER 2011'!E107+'FC &amp; Adoptions LASER 2011'!C107+'LIHEAP LASER 2011'!D107+'TANF LASER 2011'!C107+'Other Benefits LASER 2011'!C107</f>
        <v>10529799.525015</v>
      </c>
      <c r="M109" s="1134">
        <f>'Medicaid &amp; FAMIS - LASER 2011'!E107+'SNAP - LASER 2011'!F107+'FC &amp; Adoptions LASER 2011'!D107+'TANF LASER 2011'!D107+'Other Benefits LASER 2011'!D107</f>
        <v>5329275.9349849988</v>
      </c>
      <c r="N109" s="1134">
        <f>'FC &amp; Adoptions LASER 2011'!E107+'TANF LASER 2011'!E107</f>
        <v>28547.079999999998</v>
      </c>
      <c r="O109" s="1134">
        <f t="shared" si="24"/>
        <v>15887622.539999999</v>
      </c>
      <c r="Q109" s="1137">
        <f t="shared" si="25"/>
        <v>0.52555107301267745</v>
      </c>
      <c r="R109" s="1137">
        <f t="shared" si="26"/>
        <v>0.25200106944826722</v>
      </c>
      <c r="S109" s="1137">
        <f t="shared" si="27"/>
        <v>0.22244785753905535</v>
      </c>
      <c r="T109" s="1137">
        <f t="shared" si="19"/>
        <v>0.77755214246094462</v>
      </c>
      <c r="V109" s="1137">
        <f t="shared" si="20"/>
        <v>0.81385801055799878</v>
      </c>
      <c r="W109" s="1137">
        <f t="shared" si="21"/>
        <v>6.725964278176666E-2</v>
      </c>
      <c r="X109" s="1137">
        <f t="shared" si="22"/>
        <v>0.11888234666023458</v>
      </c>
    </row>
    <row r="110" spans="1:24">
      <c r="A110" s="189" t="s">
        <v>107</v>
      </c>
      <c r="B110" s="190" t="s">
        <v>108</v>
      </c>
      <c r="C110" s="191" t="s">
        <v>272</v>
      </c>
      <c r="D110" s="1134">
        <f>'Eligibililty Staff LASER-2011'!C108+'Services Staff LASER 2011'!C108+'Other Exp. LASER 2011'!C108</f>
        <v>5891713.3799999999</v>
      </c>
      <c r="E110" s="1134">
        <f>'Eligibililty Staff LASER-2011'!D108+'Services Staff LASER 2011'!D108+'Other Exp. LASER 2011'!D108</f>
        <v>2735167.2699999996</v>
      </c>
      <c r="F110" s="1134">
        <f>'Eligibililty Staff LASER-2011'!E108+'Services Staff LASER 2011'!E108+'Other Exp. LASER 2011'!E108</f>
        <v>2310817.7600000002</v>
      </c>
      <c r="G110" s="1134">
        <f>SUM('Benefits Spending Summary'!D110:F110)</f>
        <v>10937698.409999998</v>
      </c>
      <c r="H110" s="1134">
        <f>'Services for Clients LASER 2011'!C109</f>
        <v>2835048.46</v>
      </c>
      <c r="I110" s="1134">
        <f>'Services for Clients LASER 2011'!D109</f>
        <v>1028747.8699999999</v>
      </c>
      <c r="J110" s="1134">
        <f>'Services for Clients LASER 2011'!E109</f>
        <v>336196.36</v>
      </c>
      <c r="K110" s="1134">
        <f t="shared" si="23"/>
        <v>4199992.6900000004</v>
      </c>
      <c r="L110" s="1134">
        <f>'Medicaid &amp; FAMIS - LASER 2011'!D108+'SNAP - LASER 2011'!D108+'SNAP - LASER 2011'!E108+'FC &amp; Adoptions LASER 2011'!C108+'LIHEAP LASER 2011'!D108+'TANF LASER 2011'!C108+'Other Benefits LASER 2011'!C108</f>
        <v>117793868.65465201</v>
      </c>
      <c r="M110" s="1134">
        <f>'Medicaid &amp; FAMIS - LASER 2011'!E108+'SNAP - LASER 2011'!F108+'FC &amp; Adoptions LASER 2011'!D108+'TANF LASER 2011'!D108+'Other Benefits LASER 2011'!D108</f>
        <v>65952423.775348008</v>
      </c>
      <c r="N110" s="1134">
        <f>'FC &amp; Adoptions LASER 2011'!E108+'TANF LASER 2011'!E108</f>
        <v>1481761.6</v>
      </c>
      <c r="O110" s="1134">
        <f t="shared" si="24"/>
        <v>185228054.03</v>
      </c>
      <c r="Q110" s="1137">
        <f t="shared" si="25"/>
        <v>0.53866116610176318</v>
      </c>
      <c r="R110" s="1137">
        <f t="shared" si="26"/>
        <v>0.25006789979684585</v>
      </c>
      <c r="S110" s="1137">
        <f t="shared" si="27"/>
        <v>0.21127093410139114</v>
      </c>
      <c r="T110" s="1137">
        <f t="shared" si="19"/>
        <v>0.78872906589860892</v>
      </c>
      <c r="V110" s="1137">
        <f t="shared" si="20"/>
        <v>0.5596859497129576</v>
      </c>
      <c r="W110" s="1137">
        <f t="shared" si="21"/>
        <v>8.1427615060669839E-2</v>
      </c>
      <c r="X110" s="1137">
        <f t="shared" si="22"/>
        <v>0.35888643522637265</v>
      </c>
    </row>
    <row r="111" spans="1:24">
      <c r="A111" s="189" t="s">
        <v>117</v>
      </c>
      <c r="B111" s="190" t="s">
        <v>118</v>
      </c>
      <c r="C111" s="191" t="s">
        <v>275</v>
      </c>
      <c r="D111" s="1134">
        <f>'Eligibililty Staff LASER-2011'!C109+'Services Staff LASER 2011'!C109+'Other Exp. LASER 2011'!C109</f>
        <v>1342684.0299999998</v>
      </c>
      <c r="E111" s="1134">
        <f>'Eligibililty Staff LASER-2011'!D109+'Services Staff LASER 2011'!D109+'Other Exp. LASER 2011'!D109</f>
        <v>749134.7</v>
      </c>
      <c r="F111" s="1134">
        <f>'Eligibililty Staff LASER-2011'!E109+'Services Staff LASER 2011'!E109+'Other Exp. LASER 2011'!E109</f>
        <v>477337.85000000003</v>
      </c>
      <c r="G111" s="1134">
        <f>SUM('Benefits Spending Summary'!D111:F111)</f>
        <v>2569156.5799999996</v>
      </c>
      <c r="H111" s="1134">
        <f>'Services for Clients LASER 2011'!C110</f>
        <v>693568.38</v>
      </c>
      <c r="I111" s="1134">
        <f>'Services for Clients LASER 2011'!D110</f>
        <v>220906.40000000005</v>
      </c>
      <c r="J111" s="1134">
        <f>'Services for Clients LASER 2011'!E110</f>
        <v>59056.420000000006</v>
      </c>
      <c r="K111" s="1134">
        <f t="shared" si="23"/>
        <v>973531.20000000007</v>
      </c>
      <c r="L111" s="1134">
        <f>'Medicaid &amp; FAMIS - LASER 2011'!D109+'SNAP - LASER 2011'!D109+'SNAP - LASER 2011'!E109+'FC &amp; Adoptions LASER 2011'!C109+'LIHEAP LASER 2011'!D109+'TANF LASER 2011'!C109+'Other Benefits LASER 2011'!C109</f>
        <v>33605956.683314003</v>
      </c>
      <c r="M111" s="1134">
        <f>'Medicaid &amp; FAMIS - LASER 2011'!E109+'SNAP - LASER 2011'!F109+'FC &amp; Adoptions LASER 2011'!D109+'TANF LASER 2011'!D109+'Other Benefits LASER 2011'!D109</f>
        <v>17854413.476685997</v>
      </c>
      <c r="N111" s="1134">
        <f>'FC &amp; Adoptions LASER 2011'!E109+'TANF LASER 2011'!E109</f>
        <v>752969.31</v>
      </c>
      <c r="O111" s="1134">
        <f t="shared" si="24"/>
        <v>52213339.469999999</v>
      </c>
      <c r="Q111" s="1137">
        <f t="shared" si="25"/>
        <v>0.52261665966657433</v>
      </c>
      <c r="R111" s="1137">
        <f t="shared" si="26"/>
        <v>0.29158779415460934</v>
      </c>
      <c r="S111" s="1137">
        <f t="shared" si="27"/>
        <v>0.18579554617881644</v>
      </c>
      <c r="T111" s="1137">
        <f t="shared" si="19"/>
        <v>0.81420445382118367</v>
      </c>
      <c r="V111" s="1137">
        <f t="shared" si="20"/>
        <v>0.37021198473746247</v>
      </c>
      <c r="W111" s="1137">
        <f t="shared" si="21"/>
        <v>4.5802767284616491E-2</v>
      </c>
      <c r="X111" s="1137">
        <f t="shared" si="22"/>
        <v>0.58398524797792106</v>
      </c>
    </row>
    <row r="112" spans="1:24">
      <c r="A112" s="189" t="s">
        <v>139</v>
      </c>
      <c r="B112" s="190" t="s">
        <v>140</v>
      </c>
      <c r="C112" s="191" t="s">
        <v>273</v>
      </c>
      <c r="D112" s="1134">
        <f>'Eligibililty Staff LASER-2011'!C110+'Services Staff LASER 2011'!C110+'Other Exp. LASER 2011'!C110</f>
        <v>3929006.8</v>
      </c>
      <c r="E112" s="1134">
        <f>'Eligibililty Staff LASER-2011'!D110+'Services Staff LASER 2011'!D110+'Other Exp. LASER 2011'!D110</f>
        <v>1657254.62</v>
      </c>
      <c r="F112" s="1134">
        <f>'Eligibililty Staff LASER-2011'!E110+'Services Staff LASER 2011'!E110+'Other Exp. LASER 2011'!E110</f>
        <v>1883225.04</v>
      </c>
      <c r="G112" s="1134">
        <f>SUM('Benefits Spending Summary'!D112:F112)</f>
        <v>7469486.46</v>
      </c>
      <c r="H112" s="1134">
        <f>'Services for Clients LASER 2011'!C111</f>
        <v>1022010.79</v>
      </c>
      <c r="I112" s="1134">
        <f>'Services for Clients LASER 2011'!D111</f>
        <v>401643.74</v>
      </c>
      <c r="J112" s="1134">
        <f>'Services for Clients LASER 2011'!E111</f>
        <v>92130.51</v>
      </c>
      <c r="K112" s="1134">
        <f t="shared" si="23"/>
        <v>1515785.04</v>
      </c>
      <c r="L112" s="1134">
        <f>'Medicaid &amp; FAMIS - LASER 2011'!D110+'SNAP - LASER 2011'!D110+'SNAP - LASER 2011'!E110+'FC &amp; Adoptions LASER 2011'!C110+'LIHEAP LASER 2011'!D110+'TANF LASER 2011'!C110+'Other Benefits LASER 2011'!C110</f>
        <v>81451765.040533006</v>
      </c>
      <c r="M112" s="1134">
        <f>'Medicaid &amp; FAMIS - LASER 2011'!E110+'SNAP - LASER 2011'!F110+'FC &amp; Adoptions LASER 2011'!D110+'TANF LASER 2011'!D110+'Other Benefits LASER 2011'!D110</f>
        <v>46511838.819467001</v>
      </c>
      <c r="N112" s="1134">
        <f>'FC &amp; Adoptions LASER 2011'!E110+'TANF LASER 2011'!E110</f>
        <v>985396.1</v>
      </c>
      <c r="O112" s="1134">
        <f t="shared" si="24"/>
        <v>128948999.96000001</v>
      </c>
      <c r="Q112" s="1137">
        <f t="shared" si="25"/>
        <v>0.52600762060956996</v>
      </c>
      <c r="R112" s="1137">
        <f t="shared" si="26"/>
        <v>0.22186995436363641</v>
      </c>
      <c r="S112" s="1137">
        <f t="shared" si="27"/>
        <v>0.25212242502679361</v>
      </c>
      <c r="T112" s="1137">
        <f t="shared" si="19"/>
        <v>0.74787757497320639</v>
      </c>
      <c r="V112" s="1137">
        <f t="shared" si="20"/>
        <v>0.6360631564623126</v>
      </c>
      <c r="W112" s="1137">
        <f t="shared" si="21"/>
        <v>3.1117270507980632E-2</v>
      </c>
      <c r="X112" s="1137">
        <f t="shared" si="22"/>
        <v>0.33281957302970683</v>
      </c>
    </row>
    <row r="113" spans="1:24">
      <c r="A113" s="189" t="s">
        <v>143</v>
      </c>
      <c r="B113" s="190" t="s">
        <v>144</v>
      </c>
      <c r="C113" s="191" t="s">
        <v>276</v>
      </c>
      <c r="D113" s="1134">
        <f>'Eligibililty Staff LASER-2011'!C111+'Services Staff LASER 2011'!C111+'Other Exp. LASER 2011'!C111</f>
        <v>1060571.5</v>
      </c>
      <c r="E113" s="1134">
        <f>'Eligibililty Staff LASER-2011'!D111+'Services Staff LASER 2011'!D111+'Other Exp. LASER 2011'!D111</f>
        <v>367391.25</v>
      </c>
      <c r="F113" s="1134">
        <f>'Eligibililty Staff LASER-2011'!E111+'Services Staff LASER 2011'!E111+'Other Exp. LASER 2011'!E111</f>
        <v>1037978.2500000001</v>
      </c>
      <c r="G113" s="1134">
        <f>SUM('Benefits Spending Summary'!D113:F113)</f>
        <v>2465941</v>
      </c>
      <c r="H113" s="1134">
        <f>'Services for Clients LASER 2011'!C112</f>
        <v>621628.92000000004</v>
      </c>
      <c r="I113" s="1134">
        <f>'Services for Clients LASER 2011'!D112</f>
        <v>279295.96000000002</v>
      </c>
      <c r="J113" s="1134">
        <f>'Services for Clients LASER 2011'!E112</f>
        <v>44030.03</v>
      </c>
      <c r="K113" s="1134">
        <f t="shared" si="23"/>
        <v>944954.91000000015</v>
      </c>
      <c r="L113" s="1134">
        <f>'Medicaid &amp; FAMIS - LASER 2011'!D111+'SNAP - LASER 2011'!D111+'SNAP - LASER 2011'!E111+'FC &amp; Adoptions LASER 2011'!C111+'LIHEAP LASER 2011'!D111+'TANF LASER 2011'!C111+'Other Benefits LASER 2011'!C111</f>
        <v>22274635.168903001</v>
      </c>
      <c r="M113" s="1134">
        <f>'Medicaid &amp; FAMIS - LASER 2011'!E111+'SNAP - LASER 2011'!F111+'FC &amp; Adoptions LASER 2011'!D111+'TANF LASER 2011'!D111+'Other Benefits LASER 2011'!D111</f>
        <v>11085485.071096998</v>
      </c>
      <c r="N113" s="1134">
        <f>'FC &amp; Adoptions LASER 2011'!E111+'TANF LASER 2011'!E111</f>
        <v>362324.83999999997</v>
      </c>
      <c r="O113" s="1134">
        <f t="shared" si="24"/>
        <v>33722445.079999998</v>
      </c>
      <c r="Q113" s="1137">
        <f t="shared" si="25"/>
        <v>0.43008794614307477</v>
      </c>
      <c r="R113" s="1137">
        <f t="shared" si="26"/>
        <v>0.1489862287864957</v>
      </c>
      <c r="S113" s="1137">
        <f t="shared" si="27"/>
        <v>0.42092582507042953</v>
      </c>
      <c r="T113" s="1137">
        <f t="shared" si="19"/>
        <v>0.57907417492957047</v>
      </c>
      <c r="V113" s="1137">
        <f t="shared" si="20"/>
        <v>0.71865571427178798</v>
      </c>
      <c r="W113" s="1137">
        <f t="shared" si="21"/>
        <v>3.0484677939116977E-2</v>
      </c>
      <c r="X113" s="1137">
        <f t="shared" si="22"/>
        <v>0.25085960778909505</v>
      </c>
    </row>
    <row r="114" spans="1:24">
      <c r="A114" s="189" t="s">
        <v>145</v>
      </c>
      <c r="B114" s="190" t="s">
        <v>146</v>
      </c>
      <c r="C114" s="191" t="s">
        <v>276</v>
      </c>
      <c r="D114" s="1134">
        <f>'Eligibililty Staff LASER-2011'!C112+'Services Staff LASER 2011'!C112+'Other Exp. LASER 2011'!C112</f>
        <v>441912.4</v>
      </c>
      <c r="E114" s="1134">
        <f>'Eligibililty Staff LASER-2011'!D112+'Services Staff LASER 2011'!D112+'Other Exp. LASER 2011'!D112</f>
        <v>168416.21000000002</v>
      </c>
      <c r="F114" s="1134">
        <f>'Eligibililty Staff LASER-2011'!E112+'Services Staff LASER 2011'!E112+'Other Exp. LASER 2011'!E112</f>
        <v>461718.5</v>
      </c>
      <c r="G114" s="1134">
        <f>SUM('Benefits Spending Summary'!D114:F114)</f>
        <v>1072047.1100000001</v>
      </c>
      <c r="H114" s="1134">
        <f>'Services for Clients LASER 2011'!C113</f>
        <v>231393.36</v>
      </c>
      <c r="I114" s="1134">
        <f>'Services for Clients LASER 2011'!D113</f>
        <v>78325.06</v>
      </c>
      <c r="J114" s="1134">
        <f>'Services for Clients LASER 2011'!E113</f>
        <v>23789.89</v>
      </c>
      <c r="K114" s="1134">
        <f t="shared" si="23"/>
        <v>333508.31</v>
      </c>
      <c r="L114" s="1134">
        <f>'Medicaid &amp; FAMIS - LASER 2011'!D112+'SNAP - LASER 2011'!D112+'SNAP - LASER 2011'!E112+'FC &amp; Adoptions LASER 2011'!C112+'LIHEAP LASER 2011'!D112+'TANF LASER 2011'!C112+'Other Benefits LASER 2011'!C112</f>
        <v>6916003.743445999</v>
      </c>
      <c r="M114" s="1134">
        <f>'Medicaid &amp; FAMIS - LASER 2011'!E112+'SNAP - LASER 2011'!F112+'FC &amp; Adoptions LASER 2011'!D112+'TANF LASER 2011'!D112+'Other Benefits LASER 2011'!D112</f>
        <v>3803045.1665539993</v>
      </c>
      <c r="N114" s="1134">
        <f>'FC &amp; Adoptions LASER 2011'!E112+'TANF LASER 2011'!E112</f>
        <v>278583.32</v>
      </c>
      <c r="O114" s="1134">
        <f t="shared" si="24"/>
        <v>10997632.229999999</v>
      </c>
      <c r="Q114" s="1137">
        <f t="shared" si="25"/>
        <v>0.41221360132205381</v>
      </c>
      <c r="R114" s="1137">
        <f t="shared" si="26"/>
        <v>0.15709776970528841</v>
      </c>
      <c r="S114" s="1137">
        <f t="shared" si="27"/>
        <v>0.43068862897265769</v>
      </c>
      <c r="T114" s="1137">
        <f t="shared" si="19"/>
        <v>0.56931137102734231</v>
      </c>
      <c r="V114" s="1137">
        <f t="shared" si="20"/>
        <v>0.6042710501334978</v>
      </c>
      <c r="W114" s="1137">
        <f t="shared" si="21"/>
        <v>3.1134862070418223E-2</v>
      </c>
      <c r="X114" s="1137">
        <f t="shared" si="22"/>
        <v>0.3645940877960841</v>
      </c>
    </row>
    <row r="115" spans="1:24">
      <c r="A115" s="189" t="s">
        <v>159</v>
      </c>
      <c r="B115" s="190" t="s">
        <v>160</v>
      </c>
      <c r="C115" s="191" t="s">
        <v>272</v>
      </c>
      <c r="D115" s="1134">
        <f>'Eligibililty Staff LASER-2011'!C113+'Services Staff LASER 2011'!C113+'Other Exp. LASER 2011'!C113</f>
        <v>10435409.25</v>
      </c>
      <c r="E115" s="1134">
        <f>'Eligibililty Staff LASER-2011'!D113+'Services Staff LASER 2011'!D113+'Other Exp. LASER 2011'!D113</f>
        <v>4543772.37</v>
      </c>
      <c r="F115" s="1134">
        <f>'Eligibililty Staff LASER-2011'!E113+'Services Staff LASER 2011'!E113+'Other Exp. LASER 2011'!E113</f>
        <v>7598338.7000000002</v>
      </c>
      <c r="G115" s="1134">
        <f>SUM('Benefits Spending Summary'!D115:F115)</f>
        <v>22577520.32</v>
      </c>
      <c r="H115" s="1134">
        <f>'Services for Clients LASER 2011'!C114</f>
        <v>5058676.8400000008</v>
      </c>
      <c r="I115" s="1134">
        <f>'Services for Clients LASER 2011'!D114</f>
        <v>2051184.4599999997</v>
      </c>
      <c r="J115" s="1134">
        <f>'Services for Clients LASER 2011'!E114</f>
        <v>415129.01</v>
      </c>
      <c r="K115" s="1134">
        <f t="shared" si="23"/>
        <v>7524990.3100000005</v>
      </c>
      <c r="L115" s="1134">
        <f>'Medicaid &amp; FAMIS - LASER 2011'!D113+'SNAP - LASER 2011'!D113+'SNAP - LASER 2011'!E113+'FC &amp; Adoptions LASER 2011'!C113+'LIHEAP LASER 2011'!D113+'TANF LASER 2011'!C113+'Other Benefits LASER 2011'!C113</f>
        <v>175370618.51004401</v>
      </c>
      <c r="M115" s="1134">
        <f>'Medicaid &amp; FAMIS - LASER 2011'!E113+'SNAP - LASER 2011'!F113+'FC &amp; Adoptions LASER 2011'!D113+'TANF LASER 2011'!D113+'Other Benefits LASER 2011'!D113</f>
        <v>88313603.649956003</v>
      </c>
      <c r="N115" s="1134">
        <f>'FC &amp; Adoptions LASER 2011'!E113+'TANF LASER 2011'!E113</f>
        <v>1871975.55</v>
      </c>
      <c r="O115" s="1134">
        <f t="shared" si="24"/>
        <v>265556197.71000004</v>
      </c>
      <c r="Q115" s="1137">
        <f t="shared" si="25"/>
        <v>0.46220351491638034</v>
      </c>
      <c r="R115" s="1137">
        <f t="shared" si="26"/>
        <v>0.20125205538957966</v>
      </c>
      <c r="S115" s="1137">
        <f t="shared" si="27"/>
        <v>0.33654442969404003</v>
      </c>
      <c r="T115" s="1137">
        <f t="shared" si="19"/>
        <v>0.66345557030596003</v>
      </c>
      <c r="V115" s="1137">
        <f t="shared" si="20"/>
        <v>0.76863914952054468</v>
      </c>
      <c r="W115" s="1137">
        <f t="shared" si="21"/>
        <v>4.1993970232954432E-2</v>
      </c>
      <c r="X115" s="1137">
        <f t="shared" si="22"/>
        <v>0.18936688024650097</v>
      </c>
    </row>
    <row r="116" spans="1:24">
      <c r="A116" s="189" t="s">
        <v>161</v>
      </c>
      <c r="B116" s="190" t="s">
        <v>162</v>
      </c>
      <c r="C116" s="191" t="s">
        <v>272</v>
      </c>
      <c r="D116" s="1134">
        <f>'Eligibililty Staff LASER-2011'!C114+'Services Staff LASER 2011'!C114+'Other Exp. LASER 2011'!C114</f>
        <v>15297488.41</v>
      </c>
      <c r="E116" s="1134">
        <f>'Eligibililty Staff LASER-2011'!D114+'Services Staff LASER 2011'!D114+'Other Exp. LASER 2011'!D114</f>
        <v>7049852.9000000004</v>
      </c>
      <c r="F116" s="1134">
        <f>'Eligibililty Staff LASER-2011'!E114+'Services Staff LASER 2011'!E114+'Other Exp. LASER 2011'!E114</f>
        <v>6836833.3600000013</v>
      </c>
      <c r="G116" s="1134">
        <f>SUM('Benefits Spending Summary'!D116:F116)</f>
        <v>29184174.670000002</v>
      </c>
      <c r="H116" s="1134">
        <f>'Services for Clients LASER 2011'!C115</f>
        <v>6052899.1899999995</v>
      </c>
      <c r="I116" s="1134">
        <f>'Services for Clients LASER 2011'!D115</f>
        <v>1792242.0999999999</v>
      </c>
      <c r="J116" s="1134">
        <f>'Services for Clients LASER 2011'!E115</f>
        <v>435865.22000000003</v>
      </c>
      <c r="K116" s="1134">
        <f t="shared" si="23"/>
        <v>8281006.5099999988</v>
      </c>
      <c r="L116" s="1134">
        <f>'Medicaid &amp; FAMIS - LASER 2011'!D114+'SNAP - LASER 2011'!D114+'SNAP - LASER 2011'!E114+'FC &amp; Adoptions LASER 2011'!C114+'LIHEAP LASER 2011'!D114+'TANF LASER 2011'!C114+'Other Benefits LASER 2011'!C114</f>
        <v>250800898.02738896</v>
      </c>
      <c r="M116" s="1134">
        <f>'Medicaid &amp; FAMIS - LASER 2011'!E114+'SNAP - LASER 2011'!F114+'FC &amp; Adoptions LASER 2011'!D114+'TANF LASER 2011'!D114+'Other Benefits LASER 2011'!D114</f>
        <v>127293420.73261097</v>
      </c>
      <c r="N116" s="1134">
        <f>'FC &amp; Adoptions LASER 2011'!E114+'TANF LASER 2011'!E114</f>
        <v>2524362.8199999998</v>
      </c>
      <c r="O116" s="1134">
        <f t="shared" si="24"/>
        <v>380618681.57999992</v>
      </c>
      <c r="Q116" s="1137">
        <f t="shared" si="25"/>
        <v>0.524170670679446</v>
      </c>
      <c r="R116" s="1137">
        <f t="shared" si="26"/>
        <v>0.24156423745801273</v>
      </c>
      <c r="S116" s="1137">
        <f t="shared" si="27"/>
        <v>0.2342650918625413</v>
      </c>
      <c r="T116" s="1137">
        <f t="shared" si="19"/>
        <v>0.76573490813745881</v>
      </c>
      <c r="V116" s="1137">
        <f t="shared" si="20"/>
        <v>0.69784531104398317</v>
      </c>
      <c r="W116" s="1137">
        <f t="shared" si="21"/>
        <v>4.4489383316511623E-2</v>
      </c>
      <c r="X116" s="1137">
        <f t="shared" si="22"/>
        <v>0.25766530563950529</v>
      </c>
    </row>
    <row r="117" spans="1:24">
      <c r="A117" s="189" t="s">
        <v>167</v>
      </c>
      <c r="B117" s="190" t="s">
        <v>168</v>
      </c>
      <c r="C117" s="191" t="s">
        <v>278</v>
      </c>
      <c r="D117" s="1134">
        <f>'Eligibililty Staff LASER-2011'!C115+'Services Staff LASER 2011'!C115+'Other Exp. LASER 2011'!C115</f>
        <v>393491.06</v>
      </c>
      <c r="E117" s="1134">
        <f>'Eligibililty Staff LASER-2011'!D115+'Services Staff LASER 2011'!D115+'Other Exp. LASER 2011'!D115</f>
        <v>175062.9</v>
      </c>
      <c r="F117" s="1134">
        <f>'Eligibililty Staff LASER-2011'!E115+'Services Staff LASER 2011'!E115+'Other Exp. LASER 2011'!E115</f>
        <v>242767.97999999998</v>
      </c>
      <c r="G117" s="1134">
        <f>SUM('Benefits Spending Summary'!D117:F117)</f>
        <v>811321.94</v>
      </c>
      <c r="H117" s="1134">
        <f>'Services for Clients LASER 2011'!C116</f>
        <v>57014.149999999987</v>
      </c>
      <c r="I117" s="1134">
        <f>'Services for Clients LASER 2011'!D116</f>
        <v>16680.240000000002</v>
      </c>
      <c r="J117" s="1134">
        <f>'Services for Clients LASER 2011'!E116</f>
        <v>8924.36</v>
      </c>
      <c r="K117" s="1134">
        <f t="shared" si="23"/>
        <v>82618.749999999985</v>
      </c>
      <c r="L117" s="1134">
        <f>'Medicaid &amp; FAMIS - LASER 2011'!D115+'SNAP - LASER 2011'!D115+'SNAP - LASER 2011'!E115+'FC &amp; Adoptions LASER 2011'!C115+'LIHEAP LASER 2011'!D115+'TANF LASER 2011'!C115+'Other Benefits LASER 2011'!C115</f>
        <v>5881035.4359529996</v>
      </c>
      <c r="M117" s="1134">
        <f>'Medicaid &amp; FAMIS - LASER 2011'!E115+'SNAP - LASER 2011'!F115+'FC &amp; Adoptions LASER 2011'!D115+'TANF LASER 2011'!D115+'Other Benefits LASER 2011'!D115</f>
        <v>2985629.4840469994</v>
      </c>
      <c r="N117" s="1134">
        <f>'FC &amp; Adoptions LASER 2011'!E115+'TANF LASER 2011'!E115</f>
        <v>41178.85</v>
      </c>
      <c r="O117" s="1134">
        <f t="shared" si="24"/>
        <v>8907843.7699999977</v>
      </c>
      <c r="Q117" s="1137">
        <f t="shared" si="25"/>
        <v>0.48499990028619222</v>
      </c>
      <c r="R117" s="1137">
        <f t="shared" si="26"/>
        <v>0.21577488709352541</v>
      </c>
      <c r="S117" s="1137">
        <f t="shared" si="27"/>
        <v>0.2992252126202824</v>
      </c>
      <c r="T117" s="1137">
        <f t="shared" si="19"/>
        <v>0.70077478737971766</v>
      </c>
      <c r="V117" s="1137">
        <f t="shared" si="20"/>
        <v>0.8289240740955095</v>
      </c>
      <c r="W117" s="1137">
        <f t="shared" si="21"/>
        <v>3.0471962776536684E-2</v>
      </c>
      <c r="X117" s="1137">
        <f t="shared" si="22"/>
        <v>0.14060396312795398</v>
      </c>
    </row>
    <row r="118" spans="1:24">
      <c r="A118" s="189" t="s">
        <v>177</v>
      </c>
      <c r="B118" s="190" t="s">
        <v>178</v>
      </c>
      <c r="C118" s="191" t="s">
        <v>275</v>
      </c>
      <c r="D118" s="1134">
        <f>'Eligibililty Staff LASER-2011'!C116+'Services Staff LASER 2011'!C116+'Other Exp. LASER 2011'!C116</f>
        <v>2914971.79</v>
      </c>
      <c r="E118" s="1134">
        <f>'Eligibililty Staff LASER-2011'!D116+'Services Staff LASER 2011'!D116+'Other Exp. LASER 2011'!D116</f>
        <v>1423837.04</v>
      </c>
      <c r="F118" s="1134">
        <f>'Eligibililty Staff LASER-2011'!E116+'Services Staff LASER 2011'!E116+'Other Exp. LASER 2011'!E116</f>
        <v>979398.64</v>
      </c>
      <c r="G118" s="1134">
        <f>SUM('Benefits Spending Summary'!D118:F118)</f>
        <v>5318207.47</v>
      </c>
      <c r="H118" s="1134">
        <f>'Services for Clients LASER 2011'!C117</f>
        <v>938050.07000000007</v>
      </c>
      <c r="I118" s="1134">
        <f>'Services for Clients LASER 2011'!D117</f>
        <v>369000.9</v>
      </c>
      <c r="J118" s="1134">
        <f>'Services for Clients LASER 2011'!E117</f>
        <v>108089.17000000001</v>
      </c>
      <c r="K118" s="1134">
        <f t="shared" si="23"/>
        <v>1415140.1400000001</v>
      </c>
      <c r="L118" s="1134">
        <f>'Medicaid &amp; FAMIS - LASER 2011'!D116+'SNAP - LASER 2011'!D116+'SNAP - LASER 2011'!E116+'FC &amp; Adoptions LASER 2011'!C116+'LIHEAP LASER 2011'!D116+'TANF LASER 2011'!C116+'Other Benefits LASER 2011'!C116</f>
        <v>68224176.751578987</v>
      </c>
      <c r="M118" s="1134">
        <f>'Medicaid &amp; FAMIS - LASER 2011'!E116+'SNAP - LASER 2011'!F116+'FC &amp; Adoptions LASER 2011'!D116+'TANF LASER 2011'!D116+'Other Benefits LASER 2011'!D116</f>
        <v>37277719.648420997</v>
      </c>
      <c r="N118" s="1134">
        <f>'FC &amp; Adoptions LASER 2011'!E116+'TANF LASER 2011'!E116</f>
        <v>1343453.3499999999</v>
      </c>
      <c r="O118" s="1134">
        <f t="shared" si="24"/>
        <v>106845349.74999997</v>
      </c>
      <c r="Q118" s="1137">
        <f t="shared" si="25"/>
        <v>0.54811170990288582</v>
      </c>
      <c r="R118" s="1137">
        <f t="shared" si="26"/>
        <v>0.26772875034151311</v>
      </c>
      <c r="S118" s="1137">
        <f t="shared" si="27"/>
        <v>0.18415953975560115</v>
      </c>
      <c r="T118" s="1137">
        <f t="shared" si="19"/>
        <v>0.81584046024439894</v>
      </c>
      <c r="V118" s="1137">
        <f t="shared" si="20"/>
        <v>0.40288866555700592</v>
      </c>
      <c r="W118" s="1137">
        <f t="shared" si="21"/>
        <v>4.4463918657743247E-2</v>
      </c>
      <c r="X118" s="1137">
        <f t="shared" si="22"/>
        <v>0.55264741578525078</v>
      </c>
    </row>
    <row r="119" spans="1:24">
      <c r="A119" s="189" t="s">
        <v>181</v>
      </c>
      <c r="B119" s="190" t="s">
        <v>182</v>
      </c>
      <c r="C119" s="191" t="s">
        <v>272</v>
      </c>
      <c r="D119" s="1134">
        <f>'Eligibililty Staff LASER-2011'!C117+'Services Staff LASER 2011'!C117+'Other Exp. LASER 2011'!C117</f>
        <v>7072420.2000000002</v>
      </c>
      <c r="E119" s="1134">
        <f>'Eligibililty Staff LASER-2011'!D117+'Services Staff LASER 2011'!D117+'Other Exp. LASER 2011'!D117</f>
        <v>3305118</v>
      </c>
      <c r="F119" s="1134">
        <f>'Eligibililty Staff LASER-2011'!E117+'Services Staff LASER 2011'!E117+'Other Exp. LASER 2011'!E117</f>
        <v>4093676.1099999994</v>
      </c>
      <c r="G119" s="1134">
        <f>SUM('Benefits Spending Summary'!D119:F119)</f>
        <v>14471214.309999999</v>
      </c>
      <c r="H119" s="1134">
        <f>'Services for Clients LASER 2011'!C118</f>
        <v>2033436.0000000002</v>
      </c>
      <c r="I119" s="1134">
        <f>'Services for Clients LASER 2011'!D118</f>
        <v>804382.53</v>
      </c>
      <c r="J119" s="1134">
        <f>'Services for Clients LASER 2011'!E118</f>
        <v>200323.81000000003</v>
      </c>
      <c r="K119" s="1134">
        <f t="shared" si="23"/>
        <v>3038142.3400000003</v>
      </c>
      <c r="L119" s="1134">
        <f>'Medicaid &amp; FAMIS - LASER 2011'!D117+'SNAP - LASER 2011'!D117+'SNAP - LASER 2011'!E117+'FC &amp; Adoptions LASER 2011'!C117+'LIHEAP LASER 2011'!D117+'TANF LASER 2011'!C117+'Other Benefits LASER 2011'!C117</f>
        <v>125184451.57574698</v>
      </c>
      <c r="M119" s="1134">
        <f>'Medicaid &amp; FAMIS - LASER 2011'!E117+'SNAP - LASER 2011'!F117+'FC &amp; Adoptions LASER 2011'!D117+'TANF LASER 2011'!D117+'Other Benefits LASER 2011'!D117</f>
        <v>65555522.114252992</v>
      </c>
      <c r="N119" s="1134">
        <f>'FC &amp; Adoptions LASER 2011'!E117+'TANF LASER 2011'!E117</f>
        <v>1307954.5</v>
      </c>
      <c r="O119" s="1134">
        <f t="shared" si="24"/>
        <v>192047928.18999997</v>
      </c>
      <c r="Q119" s="1137">
        <f t="shared" si="25"/>
        <v>0.48872334059158862</v>
      </c>
      <c r="R119" s="1137">
        <f t="shared" si="26"/>
        <v>0.22839258193530274</v>
      </c>
      <c r="S119" s="1137">
        <f t="shared" si="27"/>
        <v>0.28288407747310873</v>
      </c>
      <c r="T119" s="1137">
        <f t="shared" si="19"/>
        <v>0.71711592252689127</v>
      </c>
      <c r="V119" s="1137">
        <f t="shared" si="20"/>
        <v>0.73075855372632614</v>
      </c>
      <c r="W119" s="1137">
        <f t="shared" si="21"/>
        <v>3.5759628690445515E-2</v>
      </c>
      <c r="X119" s="1137">
        <f t="shared" si="22"/>
        <v>0.23348181758322845</v>
      </c>
    </row>
    <row r="120" spans="1:24">
      <c r="A120" s="189" t="s">
        <v>193</v>
      </c>
      <c r="B120" s="190" t="s">
        <v>194</v>
      </c>
      <c r="C120" s="191" t="s">
        <v>278</v>
      </c>
      <c r="D120" s="1134">
        <f>'Eligibililty Staff LASER-2011'!C118+'Services Staff LASER 2011'!C118+'Other Exp. LASER 2011'!C118</f>
        <v>418461.97</v>
      </c>
      <c r="E120" s="1134">
        <f>'Eligibililty Staff LASER-2011'!D118+'Services Staff LASER 2011'!D118+'Other Exp. LASER 2011'!D118</f>
        <v>188310.64</v>
      </c>
      <c r="F120" s="1134">
        <f>'Eligibililty Staff LASER-2011'!E118+'Services Staff LASER 2011'!E118+'Other Exp. LASER 2011'!E118</f>
        <v>189232.58</v>
      </c>
      <c r="G120" s="1134">
        <f>SUM('Benefits Spending Summary'!D120:F120)</f>
        <v>796005.19</v>
      </c>
      <c r="H120" s="1134">
        <f>'Services for Clients LASER 2011'!C119</f>
        <v>129125.98999999999</v>
      </c>
      <c r="I120" s="1134">
        <f>'Services for Clients LASER 2011'!D119</f>
        <v>39623.35</v>
      </c>
      <c r="J120" s="1134">
        <f>'Services for Clients LASER 2011'!E119</f>
        <v>22357.45</v>
      </c>
      <c r="K120" s="1134">
        <f t="shared" si="23"/>
        <v>191106.79</v>
      </c>
      <c r="L120" s="1134">
        <f>'Medicaid &amp; FAMIS - LASER 2011'!D118+'SNAP - LASER 2011'!D118+'SNAP - LASER 2011'!E118+'FC &amp; Adoptions LASER 2011'!C118+'LIHEAP LASER 2011'!D118+'TANF LASER 2011'!C118+'Other Benefits LASER 2011'!C118</f>
        <v>10338256.959860001</v>
      </c>
      <c r="M120" s="1134">
        <f>'Medicaid &amp; FAMIS - LASER 2011'!E118+'SNAP - LASER 2011'!F118+'FC &amp; Adoptions LASER 2011'!D118+'TANF LASER 2011'!D118+'Other Benefits LASER 2011'!D118</f>
        <v>5654472.5201400006</v>
      </c>
      <c r="N120" s="1134">
        <f>'FC &amp; Adoptions LASER 2011'!E118+'TANF LASER 2011'!E118</f>
        <v>114670.2</v>
      </c>
      <c r="O120" s="1134">
        <f t="shared" si="24"/>
        <v>16107399.68</v>
      </c>
      <c r="Q120" s="1137">
        <f t="shared" si="25"/>
        <v>0.52570256482875444</v>
      </c>
      <c r="R120" s="1137">
        <f t="shared" si="26"/>
        <v>0.23656961332123982</v>
      </c>
      <c r="S120" s="1137">
        <f t="shared" si="27"/>
        <v>0.23772782185000577</v>
      </c>
      <c r="T120" s="1137">
        <f t="shared" si="19"/>
        <v>0.76227217814999426</v>
      </c>
      <c r="V120" s="1137">
        <f t="shared" si="20"/>
        <v>0.58000504689155652</v>
      </c>
      <c r="W120" s="1137">
        <f t="shared" si="21"/>
        <v>6.8526433638571277E-2</v>
      </c>
      <c r="X120" s="1137">
        <f t="shared" si="22"/>
        <v>0.35146851946987229</v>
      </c>
    </row>
    <row r="121" spans="1:24">
      <c r="A121" s="189" t="s">
        <v>197</v>
      </c>
      <c r="B121" s="190" t="s">
        <v>391</v>
      </c>
      <c r="C121" s="191" t="s">
        <v>275</v>
      </c>
      <c r="D121" s="1134">
        <f>'Eligibililty Staff LASER-2011'!C119+'Services Staff LASER 2011'!C119+'Other Exp. LASER 2011'!C119</f>
        <v>16469512.290000001</v>
      </c>
      <c r="E121" s="1134">
        <f>'Eligibililty Staff LASER-2011'!D119+'Services Staff LASER 2011'!D119+'Other Exp. LASER 2011'!D119</f>
        <v>7643847.2400000002</v>
      </c>
      <c r="F121" s="1134">
        <f>'Eligibililty Staff LASER-2011'!E119+'Services Staff LASER 2011'!E119+'Other Exp. LASER 2011'!E119</f>
        <v>7908989.080000001</v>
      </c>
      <c r="G121" s="1134">
        <f>SUM('Benefits Spending Summary'!D121:F121)</f>
        <v>32022348.610000003</v>
      </c>
      <c r="H121" s="1134">
        <f>'Services for Clients LASER 2011'!C120</f>
        <v>6779288.7199999997</v>
      </c>
      <c r="I121" s="1134">
        <f>'Services for Clients LASER 2011'!D120</f>
        <v>2406649.44</v>
      </c>
      <c r="J121" s="1134">
        <f>'Services for Clients LASER 2011'!E120</f>
        <v>455592.29</v>
      </c>
      <c r="K121" s="1134">
        <f t="shared" si="23"/>
        <v>9641530.4499999993</v>
      </c>
      <c r="L121" s="1134">
        <f>'Medicaid &amp; FAMIS - LASER 2011'!D119+'SNAP - LASER 2011'!D119+'SNAP - LASER 2011'!E119+'FC &amp; Adoptions LASER 2011'!C119+'LIHEAP LASER 2011'!D119+'TANF LASER 2011'!C119+'Other Benefits LASER 2011'!C119</f>
        <v>323708584.10137701</v>
      </c>
      <c r="M121" s="1134">
        <f>'Medicaid &amp; FAMIS - LASER 2011'!E119+'SNAP - LASER 2011'!F119+'FC &amp; Adoptions LASER 2011'!D119+'TANF LASER 2011'!D119+'Other Benefits LASER 2011'!D119</f>
        <v>178229628.858623</v>
      </c>
      <c r="N121" s="1134">
        <f>'FC &amp; Adoptions LASER 2011'!E119+'TANF LASER 2011'!E119</f>
        <v>5585614.459999999</v>
      </c>
      <c r="O121" s="1134">
        <f t="shared" si="24"/>
        <v>507523827.42000002</v>
      </c>
      <c r="Q121" s="1137">
        <f t="shared" si="25"/>
        <v>0.51431306587102943</v>
      </c>
      <c r="R121" s="1137">
        <f t="shared" si="26"/>
        <v>0.23870351713093788</v>
      </c>
      <c r="S121" s="1137">
        <f t="shared" si="27"/>
        <v>0.24698341699803261</v>
      </c>
      <c r="T121" s="1137">
        <f t="shared" si="19"/>
        <v>0.75301658300196739</v>
      </c>
      <c r="V121" s="1137">
        <f t="shared" si="20"/>
        <v>0.56694466345710082</v>
      </c>
      <c r="W121" s="1137">
        <f t="shared" si="21"/>
        <v>3.2658487060106024E-2</v>
      </c>
      <c r="X121" s="1137">
        <f t="shared" si="22"/>
        <v>0.40039684948279319</v>
      </c>
    </row>
    <row r="122" spans="1:24">
      <c r="A122" s="189" t="s">
        <v>201</v>
      </c>
      <c r="B122" s="190" t="s">
        <v>392</v>
      </c>
      <c r="C122" s="191" t="s">
        <v>273</v>
      </c>
      <c r="D122" s="1134">
        <f>'Eligibililty Staff LASER-2011'!C120+'Services Staff LASER 2011'!C120+'Other Exp. LASER 2011'!C120</f>
        <v>6426293.8099999996</v>
      </c>
      <c r="E122" s="1134">
        <f>'Eligibililty Staff LASER-2011'!D120+'Services Staff LASER 2011'!D120+'Other Exp. LASER 2011'!D120</f>
        <v>2843605.08</v>
      </c>
      <c r="F122" s="1134">
        <f>'Eligibililty Staff LASER-2011'!E120+'Services Staff LASER 2011'!E120+'Other Exp. LASER 2011'!E120</f>
        <v>2747962.55</v>
      </c>
      <c r="G122" s="1134">
        <f>SUM('Benefits Spending Summary'!D122:F122)</f>
        <v>12017861.440000001</v>
      </c>
      <c r="H122" s="1134">
        <f>'Services for Clients LASER 2011'!C121</f>
        <v>2706449.8499999996</v>
      </c>
      <c r="I122" s="1134">
        <f>'Services for Clients LASER 2011'!D121</f>
        <v>1179489.4300000002</v>
      </c>
      <c r="J122" s="1134">
        <f>'Services for Clients LASER 2011'!E121</f>
        <v>250836.74000000002</v>
      </c>
      <c r="K122" s="1134">
        <f t="shared" si="23"/>
        <v>4136776.02</v>
      </c>
      <c r="L122" s="1134">
        <f>'Medicaid &amp; FAMIS - LASER 2011'!D120+'SNAP - LASER 2011'!D120+'SNAP - LASER 2011'!E120+'FC &amp; Adoptions LASER 2011'!C120+'LIHEAP LASER 2011'!D120+'TANF LASER 2011'!C120+'Other Benefits LASER 2011'!C120</f>
        <v>141147354.850135</v>
      </c>
      <c r="M122" s="1134">
        <f>'Medicaid &amp; FAMIS - LASER 2011'!E120+'SNAP - LASER 2011'!F120+'FC &amp; Adoptions LASER 2011'!D120+'TANF LASER 2011'!D120+'Other Benefits LASER 2011'!D120</f>
        <v>82221046.919864997</v>
      </c>
      <c r="N122" s="1134">
        <f>'FC &amp; Adoptions LASER 2011'!E120+'TANF LASER 2011'!E120</f>
        <v>3021797.24</v>
      </c>
      <c r="O122" s="1134">
        <f t="shared" si="24"/>
        <v>226390199.00999999</v>
      </c>
      <c r="Q122" s="1137">
        <f t="shared" si="25"/>
        <v>0.53472856565069526</v>
      </c>
      <c r="R122" s="1137">
        <f t="shared" si="26"/>
        <v>0.23661489976373032</v>
      </c>
      <c r="S122" s="1137">
        <f t="shared" si="27"/>
        <v>0.22865653458557428</v>
      </c>
      <c r="T122" s="1137">
        <f t="shared" si="19"/>
        <v>0.77134346541442567</v>
      </c>
      <c r="V122" s="1137">
        <f t="shared" si="20"/>
        <v>0.45642695641655956</v>
      </c>
      <c r="W122" s="1137">
        <f t="shared" si="21"/>
        <v>4.1663104104403423E-2</v>
      </c>
      <c r="X122" s="1137">
        <f t="shared" si="22"/>
        <v>0.50190993947903695</v>
      </c>
    </row>
    <row r="123" spans="1:24">
      <c r="A123" s="189" t="s">
        <v>223</v>
      </c>
      <c r="B123" s="190" t="s">
        <v>224</v>
      </c>
      <c r="C123" s="191" t="s">
        <v>272</v>
      </c>
      <c r="D123" s="1134">
        <f>'Eligibililty Staff LASER-2011'!C121+'Services Staff LASER 2011'!C121+'Other Exp. LASER 2011'!C121</f>
        <v>3890680.77</v>
      </c>
      <c r="E123" s="1134">
        <f>'Eligibililty Staff LASER-2011'!D121+'Services Staff LASER 2011'!D121+'Other Exp. LASER 2011'!D121</f>
        <v>1622593.58</v>
      </c>
      <c r="F123" s="1134">
        <f>'Eligibililty Staff LASER-2011'!E121+'Services Staff LASER 2011'!E121+'Other Exp. LASER 2011'!E121</f>
        <v>2541554.85</v>
      </c>
      <c r="G123" s="1134">
        <f>SUM('Benefits Spending Summary'!D123:F123)</f>
        <v>8054829.1999999993</v>
      </c>
      <c r="H123" s="1134">
        <f>'Services for Clients LASER 2011'!C122</f>
        <v>761891.74</v>
      </c>
      <c r="I123" s="1134">
        <f>'Services for Clients LASER 2011'!D122</f>
        <v>174445.59999999998</v>
      </c>
      <c r="J123" s="1134">
        <f>'Services for Clients LASER 2011'!E122</f>
        <v>94920.739999999991</v>
      </c>
      <c r="K123" s="1134">
        <f t="shared" si="23"/>
        <v>1031258.08</v>
      </c>
      <c r="L123" s="1134">
        <f>'Medicaid &amp; FAMIS - LASER 2011'!D121+'SNAP - LASER 2011'!D121+'SNAP - LASER 2011'!E121+'FC &amp; Adoptions LASER 2011'!C121+'LIHEAP LASER 2011'!D121+'TANF LASER 2011'!C121+'Other Benefits LASER 2011'!C121</f>
        <v>74767863.746284992</v>
      </c>
      <c r="M123" s="1134">
        <f>'Medicaid &amp; FAMIS - LASER 2011'!E121+'SNAP - LASER 2011'!F121+'FC &amp; Adoptions LASER 2011'!D121+'TANF LASER 2011'!D121+'Other Benefits LASER 2011'!D121</f>
        <v>38647626.543715</v>
      </c>
      <c r="N123" s="1134">
        <f>'FC &amp; Adoptions LASER 2011'!E121+'TANF LASER 2011'!E121</f>
        <v>302883</v>
      </c>
      <c r="O123" s="1134">
        <f t="shared" si="24"/>
        <v>113718373.28999999</v>
      </c>
      <c r="Q123" s="1137">
        <f t="shared" si="25"/>
        <v>0.48302461460014579</v>
      </c>
      <c r="R123" s="1137">
        <f t="shared" si="26"/>
        <v>0.20144357375076311</v>
      </c>
      <c r="S123" s="1137">
        <f t="shared" si="27"/>
        <v>0.31553181164909122</v>
      </c>
      <c r="T123" s="1137">
        <f t="shared" si="19"/>
        <v>0.68446818835090883</v>
      </c>
      <c r="V123" s="1137">
        <f t="shared" si="20"/>
        <v>0.86466307943734089</v>
      </c>
      <c r="W123" s="1137">
        <f t="shared" si="21"/>
        <v>3.2293011245014512E-2</v>
      </c>
      <c r="X123" s="1137">
        <f t="shared" si="22"/>
        <v>0.10304390931764471</v>
      </c>
    </row>
    <row r="124" spans="1:24">
      <c r="A124" s="189" t="s">
        <v>231</v>
      </c>
      <c r="B124" s="190" t="s">
        <v>232</v>
      </c>
      <c r="C124" s="191" t="s">
        <v>272</v>
      </c>
      <c r="D124" s="1134">
        <f>'Eligibililty Staff LASER-2011'!C122+'Services Staff LASER 2011'!C122+'Other Exp. LASER 2011'!C122</f>
        <v>10463074.469999999</v>
      </c>
      <c r="E124" s="1134">
        <f>'Eligibililty Staff LASER-2011'!D122+'Services Staff LASER 2011'!D122+'Other Exp. LASER 2011'!D122</f>
        <v>4350091.63</v>
      </c>
      <c r="F124" s="1134">
        <f>'Eligibililty Staff LASER-2011'!E122+'Services Staff LASER 2011'!E122+'Other Exp. LASER 2011'!E122</f>
        <v>9104734.5800000001</v>
      </c>
      <c r="G124" s="1134">
        <f>SUM('Benefits Spending Summary'!D124:F124)</f>
        <v>23917900.68</v>
      </c>
      <c r="H124" s="1134">
        <f>'Services for Clients LASER 2011'!C123</f>
        <v>6215469.3000000007</v>
      </c>
      <c r="I124" s="1134">
        <f>'Services for Clients LASER 2011'!D123</f>
        <v>1281319.6000000001</v>
      </c>
      <c r="J124" s="1134">
        <f>'Services for Clients LASER 2011'!E123</f>
        <v>505018.83</v>
      </c>
      <c r="K124" s="1134">
        <f t="shared" si="23"/>
        <v>8001807.7300000004</v>
      </c>
      <c r="L124" s="1134">
        <f>'Medicaid &amp; FAMIS - LASER 2011'!D122+'SNAP - LASER 2011'!D122+'SNAP - LASER 2011'!E122+'FC &amp; Adoptions LASER 2011'!C122+'LIHEAP LASER 2011'!D122+'TANF LASER 2011'!C122+'Other Benefits LASER 2011'!C122</f>
        <v>195597419.309733</v>
      </c>
      <c r="M124" s="1134">
        <f>'Medicaid &amp; FAMIS - LASER 2011'!E122+'SNAP - LASER 2011'!F122+'FC &amp; Adoptions LASER 2011'!D122+'TANF LASER 2011'!D122+'Other Benefits LASER 2011'!D122</f>
        <v>108505270.920267</v>
      </c>
      <c r="N124" s="1134">
        <f>'FC &amp; Adoptions LASER 2011'!E122+'TANF LASER 2011'!E122</f>
        <v>4566253.2200000007</v>
      </c>
      <c r="O124" s="1134">
        <f t="shared" si="24"/>
        <v>308668943.45000005</v>
      </c>
      <c r="Q124" s="1137">
        <f t="shared" si="25"/>
        <v>0.43745789440246136</v>
      </c>
      <c r="R124" s="1137">
        <f t="shared" si="26"/>
        <v>0.18187598017904302</v>
      </c>
      <c r="S124" s="1137">
        <f t="shared" si="27"/>
        <v>0.38066612541849554</v>
      </c>
      <c r="T124" s="1137">
        <f t="shared" si="19"/>
        <v>0.61933387458150435</v>
      </c>
      <c r="V124" s="1137">
        <f t="shared" si="20"/>
        <v>0.64226370780132735</v>
      </c>
      <c r="W124" s="1137">
        <f t="shared" si="21"/>
        <v>3.5624900804663351E-2</v>
      </c>
      <c r="X124" s="1137">
        <f t="shared" si="22"/>
        <v>0.32211139139400929</v>
      </c>
    </row>
    <row r="125" spans="1:24">
      <c r="A125" s="189" t="s">
        <v>239</v>
      </c>
      <c r="B125" s="190" t="s">
        <v>240</v>
      </c>
      <c r="C125" s="191" t="s">
        <v>272</v>
      </c>
      <c r="D125" s="1134">
        <f>'Eligibililty Staff LASER-2011'!C123+'Services Staff LASER 2011'!C123+'Other Exp. LASER 2011'!C123</f>
        <v>413362.04000000004</v>
      </c>
      <c r="E125" s="1134">
        <f>'Eligibililty Staff LASER-2011'!D123+'Services Staff LASER 2011'!D123+'Other Exp. LASER 2011'!D123</f>
        <v>149514.35999999999</v>
      </c>
      <c r="F125" s="1134">
        <f>'Eligibililty Staff LASER-2011'!E123+'Services Staff LASER 2011'!E123+'Other Exp. LASER 2011'!E123</f>
        <v>335061.41000000003</v>
      </c>
      <c r="G125" s="1134">
        <f>SUM('Benefits Spending Summary'!D125:F125)</f>
        <v>897937.81</v>
      </c>
      <c r="H125" s="1134">
        <f>'Services for Clients LASER 2011'!C124</f>
        <v>142977.13999999996</v>
      </c>
      <c r="I125" s="1134">
        <f>'Services for Clients LASER 2011'!D124</f>
        <v>36842.110000000008</v>
      </c>
      <c r="J125" s="1134">
        <f>'Services for Clients LASER 2011'!E124</f>
        <v>11895.109999999999</v>
      </c>
      <c r="K125" s="1134">
        <f t="shared" si="23"/>
        <v>191714.35999999996</v>
      </c>
      <c r="L125" s="1134">
        <f>'Medicaid &amp; FAMIS - LASER 2011'!D123+'SNAP - LASER 2011'!D123+'SNAP - LASER 2011'!E123+'FC &amp; Adoptions LASER 2011'!C123+'LIHEAP LASER 2011'!D123+'TANF LASER 2011'!C123+'Other Benefits LASER 2011'!C123</f>
        <v>5456477.2929349989</v>
      </c>
      <c r="M125" s="1134">
        <f>'Medicaid &amp; FAMIS - LASER 2011'!E123+'SNAP - LASER 2011'!F123+'FC &amp; Adoptions LASER 2011'!D123+'TANF LASER 2011'!D123+'Other Benefits LASER 2011'!D123</f>
        <v>2789512.8970649997</v>
      </c>
      <c r="N125" s="1134">
        <f>'FC &amp; Adoptions LASER 2011'!E123+'TANF LASER 2011'!E123</f>
        <v>104403.70999999999</v>
      </c>
      <c r="O125" s="1134">
        <f t="shared" si="24"/>
        <v>8350393.8999999985</v>
      </c>
      <c r="Q125" s="1137">
        <f t="shared" si="25"/>
        <v>0.46034595647553811</v>
      </c>
      <c r="R125" s="1137">
        <f t="shared" si="26"/>
        <v>0.16650859150256739</v>
      </c>
      <c r="S125" s="1137">
        <f t="shared" si="27"/>
        <v>0.37314545202189447</v>
      </c>
      <c r="T125" s="1137">
        <f t="shared" si="19"/>
        <v>0.62685454797810547</v>
      </c>
      <c r="V125" s="1137">
        <f t="shared" si="20"/>
        <v>0.74233702424336334</v>
      </c>
      <c r="W125" s="1137">
        <f t="shared" si="21"/>
        <v>2.635391691465595E-2</v>
      </c>
      <c r="X125" s="1137">
        <f t="shared" si="22"/>
        <v>0.23130905884198083</v>
      </c>
    </row>
    <row r="126" spans="1:24">
      <c r="A126" s="405" t="s">
        <v>241</v>
      </c>
      <c r="B126" s="406" t="s">
        <v>242</v>
      </c>
      <c r="C126" s="199" t="s">
        <v>276</v>
      </c>
      <c r="D126" s="1134">
        <f>'Eligibililty Staff LASER-2011'!C124+'Services Staff LASER 2011'!C124+'Other Exp. LASER 2011'!C124</f>
        <v>1267146.2</v>
      </c>
      <c r="E126" s="1134">
        <f>'Eligibililty Staff LASER-2011'!D124+'Services Staff LASER 2011'!D124+'Other Exp. LASER 2011'!D124</f>
        <v>511931.17000000004</v>
      </c>
      <c r="F126" s="1134">
        <f>'Eligibililty Staff LASER-2011'!E124+'Services Staff LASER 2011'!E124+'Other Exp. LASER 2011'!E124</f>
        <v>1000728.3099999999</v>
      </c>
      <c r="G126" s="1134">
        <f>SUM('Benefits Spending Summary'!D126:F126)</f>
        <v>2779805.68</v>
      </c>
      <c r="H126" s="1134">
        <f>'Services for Clients LASER 2011'!C125</f>
        <v>416893.97000000003</v>
      </c>
      <c r="I126" s="1134">
        <f>'Services for Clients LASER 2011'!D125</f>
        <v>172895.30000000002</v>
      </c>
      <c r="J126" s="1134">
        <f>'Services for Clients LASER 2011'!E125</f>
        <v>70385.899999999994</v>
      </c>
      <c r="K126" s="1134">
        <f t="shared" si="23"/>
        <v>660175.17000000004</v>
      </c>
      <c r="L126" s="1134">
        <f>'Medicaid &amp; FAMIS - LASER 2011'!D124+'SNAP - LASER 2011'!D124+'SNAP - LASER 2011'!E124+'FC &amp; Adoptions LASER 2011'!C124+'LIHEAP LASER 2011'!D124+'TANF LASER 2011'!C124+'Other Benefits LASER 2011'!C124</f>
        <v>24571906.412985001</v>
      </c>
      <c r="M126" s="1134">
        <f>'Medicaid &amp; FAMIS - LASER 2011'!E124+'SNAP - LASER 2011'!F124+'FC &amp; Adoptions LASER 2011'!D124+'TANF LASER 2011'!D124+'Other Benefits LASER 2011'!D124</f>
        <v>13285210.837015001</v>
      </c>
      <c r="N126" s="1134">
        <f>'FC &amp; Adoptions LASER 2011'!E124+'TANF LASER 2011'!E124</f>
        <v>722180.08</v>
      </c>
      <c r="O126" s="1134">
        <f t="shared" si="24"/>
        <v>38579297.329999998</v>
      </c>
      <c r="Q126" s="1137">
        <f t="shared" si="25"/>
        <v>0.45583984848897779</v>
      </c>
      <c r="R126" s="1137">
        <f t="shared" si="26"/>
        <v>0.18416077558342137</v>
      </c>
      <c r="S126" s="1137">
        <f t="shared" si="27"/>
        <v>0.35999937592760078</v>
      </c>
      <c r="T126" s="1137">
        <f t="shared" si="19"/>
        <v>0.64000062407239922</v>
      </c>
      <c r="V126" s="1137">
        <f t="shared" si="20"/>
        <v>0.5580390879402175</v>
      </c>
      <c r="W126" s="1137">
        <f t="shared" si="21"/>
        <v>3.9249497638226459E-2</v>
      </c>
      <c r="X126" s="1137">
        <f t="shared" si="22"/>
        <v>0.40271141442155595</v>
      </c>
    </row>
    <row r="127" spans="1:24">
      <c r="A127" s="1133"/>
      <c r="B127" s="1133"/>
      <c r="C127" s="1133"/>
    </row>
    <row r="128" spans="1:24">
      <c r="A128" s="538" t="s">
        <v>1026</v>
      </c>
      <c r="B128" s="1133"/>
      <c r="C128" s="1133"/>
      <c r="O128" s="1135" t="s">
        <v>1139</v>
      </c>
      <c r="P128" s="1135"/>
      <c r="Q128" s="1139">
        <f>MIN(Q7:Q126)</f>
        <v>0.20786197221758526</v>
      </c>
      <c r="R128" s="1139">
        <f>MIN(R7:R126)</f>
        <v>6.4272912447503786E-2</v>
      </c>
      <c r="S128" s="1139">
        <f>MIN(S7:S126)</f>
        <v>0.17234515798232969</v>
      </c>
      <c r="T128" s="1139">
        <f>MIN(T7:T126)</f>
        <v>0.27213488466508906</v>
      </c>
      <c r="V128" s="1139">
        <f>MIN(V7:V126)</f>
        <v>0.31132242895304962</v>
      </c>
      <c r="X128" s="1139">
        <f>MIN(X7:X126)</f>
        <v>0</v>
      </c>
    </row>
    <row r="129" spans="1:24">
      <c r="A129"/>
      <c r="B129"/>
      <c r="C129"/>
      <c r="O129" s="1135" t="s">
        <v>1140</v>
      </c>
      <c r="P129" s="1135"/>
      <c r="Q129" s="1139">
        <f>MAX(Q7:Q126)</f>
        <v>0.54811170990288582</v>
      </c>
      <c r="R129" s="1139">
        <f>MAX(R7:R126)</f>
        <v>0.29158779415460934</v>
      </c>
      <c r="S129" s="1139">
        <f>MAX(S7:S126)</f>
        <v>0.72786511533491094</v>
      </c>
      <c r="T129" s="1139">
        <f>MAX(T7:T126)</f>
        <v>0.82765484201767026</v>
      </c>
      <c r="V129" s="1139">
        <f>MAX(V7:V126)</f>
        <v>0.8958493535768286</v>
      </c>
      <c r="X129" s="1139">
        <f>MAX(X7:X126)</f>
        <v>0.67127447138575203</v>
      </c>
    </row>
    <row r="130" spans="1:24">
      <c r="A130" s="184" t="s">
        <v>250</v>
      </c>
      <c r="B130" s="209"/>
      <c r="C130" s="209"/>
    </row>
    <row r="131" spans="1:24">
      <c r="A131" s="184" t="s">
        <v>251</v>
      </c>
      <c r="B131" s="407" t="s">
        <v>252</v>
      </c>
      <c r="C131" s="211"/>
    </row>
  </sheetData>
  <mergeCells count="5">
    <mergeCell ref="D4:G4"/>
    <mergeCell ref="H4:K4"/>
    <mergeCell ref="L4:O4"/>
    <mergeCell ref="Q4:S4"/>
    <mergeCell ref="V4:X4"/>
  </mergeCells>
  <hyperlinks>
    <hyperlink ref="B131" r:id="rId1"/>
  </hyperlinks>
  <pageMargins left="0.7" right="0.7" top="0.75" bottom="0.75" header="0.3" footer="0.3"/>
  <pageSetup orientation="portrait" r:id="rId2"/>
</worksheet>
</file>

<file path=xl/worksheets/sheet34.xml><?xml version="1.0" encoding="utf-8"?>
<worksheet xmlns="http://schemas.openxmlformats.org/spreadsheetml/2006/main" xmlns:r="http://schemas.openxmlformats.org/officeDocument/2006/relationships">
  <dimension ref="A1:AJ132"/>
  <sheetViews>
    <sheetView topLeftCell="A61" workbookViewId="0">
      <selection activeCell="AF20" sqref="AF20"/>
    </sheetView>
  </sheetViews>
  <sheetFormatPr defaultRowHeight="12.75"/>
  <cols>
    <col min="1" max="1" width="6.125" style="184" bestFit="1" customWidth="1"/>
    <col min="2" max="2" width="26.375" style="185" customWidth="1"/>
    <col min="3" max="3" width="9.25" style="185" customWidth="1"/>
    <col min="4" max="4" width="0.75" style="149" customWidth="1"/>
    <col min="5" max="25" width="9" style="149"/>
    <col min="26" max="27" width="9.875" style="149" customWidth="1"/>
    <col min="28" max="28" width="2.375" style="149" customWidth="1"/>
    <col min="29" max="29" width="2.5" style="149" customWidth="1"/>
    <col min="30" max="16384" width="9" style="149"/>
  </cols>
  <sheetData>
    <row r="1" spans="1:36">
      <c r="A1" s="499" t="s">
        <v>1151</v>
      </c>
      <c r="B1" s="149"/>
      <c r="C1" s="149"/>
    </row>
    <row r="3" spans="1:36">
      <c r="A3" s="149"/>
      <c r="B3" s="149"/>
      <c r="C3" s="149"/>
    </row>
    <row r="4" spans="1:36" ht="15.75" customHeight="1">
      <c r="E4" s="1356" t="s">
        <v>946</v>
      </c>
      <c r="F4" s="1358"/>
      <c r="G4" s="1358"/>
      <c r="H4" s="1358"/>
      <c r="I4" s="1358"/>
      <c r="J4" s="1358"/>
      <c r="K4" s="1359"/>
      <c r="L4" s="1356" t="s">
        <v>982</v>
      </c>
      <c r="M4" s="1358"/>
      <c r="N4" s="1358"/>
      <c r="O4" s="1358"/>
      <c r="P4" s="1358"/>
      <c r="Q4" s="1358"/>
      <c r="R4" s="1359"/>
      <c r="S4" s="1356" t="s">
        <v>983</v>
      </c>
      <c r="T4" s="1358"/>
      <c r="U4" s="1358"/>
      <c r="V4" s="1358"/>
      <c r="W4" s="1358"/>
      <c r="X4" s="1358"/>
      <c r="Y4" s="1359"/>
      <c r="Z4" s="1360" t="s">
        <v>1146</v>
      </c>
      <c r="AA4" s="1362" t="s">
        <v>1154</v>
      </c>
      <c r="AD4" s="1356" t="s">
        <v>984</v>
      </c>
      <c r="AE4" s="1357"/>
      <c r="AF4" s="1358"/>
      <c r="AG4" s="1358"/>
      <c r="AH4" s="1358"/>
      <c r="AI4" s="1358"/>
      <c r="AJ4" s="1359"/>
    </row>
    <row r="5" spans="1:36" ht="51">
      <c r="A5" s="1147" t="s">
        <v>4</v>
      </c>
      <c r="B5" s="1148" t="s">
        <v>964</v>
      </c>
      <c r="C5" s="1148" t="s">
        <v>253</v>
      </c>
      <c r="E5" s="1149" t="s">
        <v>1109</v>
      </c>
      <c r="F5" s="1150" t="s">
        <v>1110</v>
      </c>
      <c r="G5" s="1150" t="s">
        <v>1158</v>
      </c>
      <c r="H5" s="1150" t="s">
        <v>1111</v>
      </c>
      <c r="I5" s="1150" t="s">
        <v>1112</v>
      </c>
      <c r="J5" s="1150" t="s">
        <v>1113</v>
      </c>
      <c r="K5" s="1151" t="s">
        <v>940</v>
      </c>
      <c r="L5" s="1149" t="s">
        <v>1109</v>
      </c>
      <c r="M5" s="1150" t="s">
        <v>1110</v>
      </c>
      <c r="N5" s="1150" t="s">
        <v>1158</v>
      </c>
      <c r="O5" s="1150" t="s">
        <v>1111</v>
      </c>
      <c r="P5" s="1150" t="s">
        <v>1112</v>
      </c>
      <c r="Q5" s="1150" t="s">
        <v>1113</v>
      </c>
      <c r="R5" s="1152" t="s">
        <v>940</v>
      </c>
      <c r="S5" s="1149" t="s">
        <v>1109</v>
      </c>
      <c r="T5" s="1150" t="s">
        <v>1110</v>
      </c>
      <c r="U5" s="1150" t="s">
        <v>1158</v>
      </c>
      <c r="V5" s="1150" t="s">
        <v>1111</v>
      </c>
      <c r="W5" s="1150" t="s">
        <v>1112</v>
      </c>
      <c r="X5" s="1150" t="s">
        <v>1113</v>
      </c>
      <c r="Y5" s="1152" t="s">
        <v>940</v>
      </c>
      <c r="Z5" s="1361"/>
      <c r="AA5" s="1362"/>
      <c r="AD5" s="1185" t="s">
        <v>1155</v>
      </c>
      <c r="AE5" s="1186" t="s">
        <v>1156</v>
      </c>
      <c r="AF5" s="1187" t="s">
        <v>1149</v>
      </c>
      <c r="AG5" s="1187" t="s">
        <v>1150</v>
      </c>
      <c r="AH5" s="1187" t="s">
        <v>1158</v>
      </c>
      <c r="AI5" s="1187" t="s">
        <v>371</v>
      </c>
      <c r="AJ5" s="1169" t="s">
        <v>328</v>
      </c>
    </row>
    <row r="6" spans="1:36">
      <c r="A6" s="1153" t="s">
        <v>8</v>
      </c>
      <c r="B6" s="1154" t="s">
        <v>9</v>
      </c>
      <c r="C6" s="1154"/>
      <c r="E6" s="1155">
        <f>SUM(E7:E126)</f>
        <v>2714</v>
      </c>
      <c r="F6" s="1156">
        <f t="shared" ref="F6:Q6" si="0">SUM(F7:F126)</f>
        <v>454</v>
      </c>
      <c r="G6" s="1156">
        <f t="shared" si="0"/>
        <v>1612</v>
      </c>
      <c r="H6" s="1156">
        <f t="shared" si="0"/>
        <v>256</v>
      </c>
      <c r="I6" s="1156">
        <f t="shared" si="0"/>
        <v>2662</v>
      </c>
      <c r="J6" s="1156">
        <f t="shared" si="0"/>
        <v>548</v>
      </c>
      <c r="K6" s="1157">
        <f>SUM(E6:J6)</f>
        <v>8246</v>
      </c>
      <c r="L6" s="1156">
        <f t="shared" si="0"/>
        <v>522</v>
      </c>
      <c r="M6" s="1156">
        <f t="shared" si="0"/>
        <v>71</v>
      </c>
      <c r="N6" s="1156">
        <f t="shared" si="0"/>
        <v>453</v>
      </c>
      <c r="O6" s="1156">
        <f t="shared" si="0"/>
        <v>71</v>
      </c>
      <c r="P6" s="1156">
        <f t="shared" si="0"/>
        <v>639</v>
      </c>
      <c r="Q6" s="1156">
        <f t="shared" si="0"/>
        <v>63</v>
      </c>
      <c r="R6" s="1157">
        <f>SUM(L6:Q6)</f>
        <v>1819</v>
      </c>
      <c r="S6" s="1155">
        <f t="shared" ref="S6:X6" si="1">SUM(S7:S126)</f>
        <v>13</v>
      </c>
      <c r="T6" s="1156">
        <f t="shared" si="1"/>
        <v>0</v>
      </c>
      <c r="U6" s="1156">
        <f t="shared" si="1"/>
        <v>14</v>
      </c>
      <c r="V6" s="1156">
        <f t="shared" si="1"/>
        <v>2</v>
      </c>
      <c r="W6" s="1156">
        <f t="shared" si="1"/>
        <v>6</v>
      </c>
      <c r="X6" s="1156">
        <f t="shared" si="1"/>
        <v>2</v>
      </c>
      <c r="Y6" s="1157">
        <f>SUM(S6:X6)</f>
        <v>37</v>
      </c>
      <c r="Z6" s="1182">
        <f>K6+R6+Y6</f>
        <v>10102</v>
      </c>
      <c r="AA6" s="1182">
        <f>K6+R6</f>
        <v>10065</v>
      </c>
      <c r="AD6" s="1158">
        <f>IF((E6+L6)=0,"NA",(L6/(E6+L6)))</f>
        <v>0.16131025957972805</v>
      </c>
      <c r="AE6" s="1158">
        <f>IF((F6+M6)=0,"NA",(M6/(F6+M6)))</f>
        <v>0.13523809523809524</v>
      </c>
      <c r="AF6" s="1158">
        <f>IF((I6+P6)=0,"NA",(P6/(I6+P6)))</f>
        <v>0.19357770372614358</v>
      </c>
      <c r="AG6" s="1158">
        <f>IF((J6+Q6)=0,"NA",(Q6/(J6+Q6)))</f>
        <v>0.10310965630114566</v>
      </c>
      <c r="AH6" s="1158">
        <f>IF((G6+N6)=0,"NA",(N6/(G6+N6)))</f>
        <v>0.21937046004842614</v>
      </c>
      <c r="AI6" s="1158">
        <f>IF((H6+O6)=0,"NA",(O6/(H6+O6)))</f>
        <v>0.21712538226299694</v>
      </c>
      <c r="AJ6" s="1159">
        <f>IF((K6+R6)=0,"NA",(R6/(K6+R6)))</f>
        <v>0.18072528564331844</v>
      </c>
    </row>
    <row r="7" spans="1:36">
      <c r="A7" s="189" t="s">
        <v>10</v>
      </c>
      <c r="B7" s="190" t="s">
        <v>11</v>
      </c>
      <c r="C7" s="191" t="s">
        <v>272</v>
      </c>
      <c r="E7" s="1160">
        <v>20</v>
      </c>
      <c r="F7" s="1161">
        <v>2</v>
      </c>
      <c r="G7" s="1161">
        <v>10</v>
      </c>
      <c r="H7" s="1161"/>
      <c r="I7" s="1161">
        <v>14</v>
      </c>
      <c r="J7" s="1161">
        <v>4</v>
      </c>
      <c r="K7" s="1162">
        <f t="shared" ref="K7:K70" si="2">SUM(E7:J7)</f>
        <v>50</v>
      </c>
      <c r="L7" s="1160">
        <v>13</v>
      </c>
      <c r="M7" s="1161">
        <v>1</v>
      </c>
      <c r="N7" s="1161">
        <v>7</v>
      </c>
      <c r="O7" s="1161"/>
      <c r="P7" s="1161">
        <v>3</v>
      </c>
      <c r="Q7" s="1161"/>
      <c r="R7" s="1162">
        <f t="shared" ref="R7:R70" si="3">SUM(L7:Q7)</f>
        <v>24</v>
      </c>
      <c r="S7" s="1160"/>
      <c r="T7" s="1161"/>
      <c r="U7" s="1161"/>
      <c r="V7" s="1161"/>
      <c r="W7" s="1161"/>
      <c r="X7" s="1161"/>
      <c r="Y7" s="1162">
        <f t="shared" ref="Y7:Y70" si="4">SUM(S7:X7)</f>
        <v>0</v>
      </c>
      <c r="Z7" s="1181">
        <f t="shared" ref="Z7:Z70" si="5">K7+R7+Y7</f>
        <v>74</v>
      </c>
      <c r="AA7" s="1181">
        <f t="shared" ref="AA7:AA70" si="6">K7+R7</f>
        <v>74</v>
      </c>
      <c r="AD7" s="1163">
        <f t="shared" ref="AD7:AD70" si="7">IF((E7+L7)=0,"NA",(L7/(E7+L7)))</f>
        <v>0.39393939393939392</v>
      </c>
      <c r="AE7" s="1184">
        <f t="shared" ref="AE7:AE70" si="8">IF((F7+M7)=0,"NA",(M7/(F7+M7)))</f>
        <v>0.33333333333333331</v>
      </c>
      <c r="AF7" s="1164">
        <f t="shared" ref="AF7:AF70" si="9">IF((I7+P7)=0,"NA",(P7/(I7+P7)))</f>
        <v>0.17647058823529413</v>
      </c>
      <c r="AG7" s="1164">
        <f t="shared" ref="AG7:AG70" si="10">IF((J7+Q7)=0,"NA",(Q7/(J7+Q7)))</f>
        <v>0</v>
      </c>
      <c r="AH7" s="1164">
        <f t="shared" ref="AH7:AH70" si="11">IF((G7+N7)=0,"NA",(N7/(G7+N7)))</f>
        <v>0.41176470588235292</v>
      </c>
      <c r="AI7" s="1164" t="str">
        <f t="shared" ref="AI7:AI70" si="12">IF((H7+O7)=0,"NA",(O7/(H7+O7)))</f>
        <v>NA</v>
      </c>
      <c r="AJ7" s="1165">
        <f t="shared" ref="AJ7:AJ70" si="13">IF((K7+R7)=0,"NA",(R7/(K7+R7)))</f>
        <v>0.32432432432432434</v>
      </c>
    </row>
    <row r="8" spans="1:36">
      <c r="A8" s="189" t="s">
        <v>12</v>
      </c>
      <c r="B8" s="190" t="s">
        <v>13</v>
      </c>
      <c r="C8" s="191" t="s">
        <v>273</v>
      </c>
      <c r="E8" s="1160">
        <v>25</v>
      </c>
      <c r="F8" s="1161">
        <v>5</v>
      </c>
      <c r="G8" s="1161">
        <v>23</v>
      </c>
      <c r="H8" s="1161"/>
      <c r="I8" s="1161">
        <v>47</v>
      </c>
      <c r="J8" s="1161">
        <v>7</v>
      </c>
      <c r="K8" s="1162">
        <f t="shared" si="2"/>
        <v>107</v>
      </c>
      <c r="L8" s="1160">
        <v>5</v>
      </c>
      <c r="M8" s="1161"/>
      <c r="N8" s="1161">
        <v>1</v>
      </c>
      <c r="O8" s="1161"/>
      <c r="P8" s="1161">
        <v>1</v>
      </c>
      <c r="Q8" s="1161"/>
      <c r="R8" s="1162">
        <f t="shared" si="3"/>
        <v>7</v>
      </c>
      <c r="S8" s="1160"/>
      <c r="T8" s="1161"/>
      <c r="U8" s="1161"/>
      <c r="V8" s="1161"/>
      <c r="W8" s="1161"/>
      <c r="X8" s="1161"/>
      <c r="Y8" s="1162">
        <f t="shared" si="4"/>
        <v>0</v>
      </c>
      <c r="Z8" s="1181">
        <f t="shared" si="5"/>
        <v>114</v>
      </c>
      <c r="AA8" s="1181">
        <f t="shared" si="6"/>
        <v>114</v>
      </c>
      <c r="AD8" s="1163">
        <f t="shared" si="7"/>
        <v>0.16666666666666666</v>
      </c>
      <c r="AE8" s="1184">
        <f t="shared" si="8"/>
        <v>0</v>
      </c>
      <c r="AF8" s="1164">
        <f t="shared" si="9"/>
        <v>2.0833333333333332E-2</v>
      </c>
      <c r="AG8" s="1164">
        <f t="shared" si="10"/>
        <v>0</v>
      </c>
      <c r="AH8" s="1164">
        <f t="shared" si="11"/>
        <v>4.1666666666666664E-2</v>
      </c>
      <c r="AI8" s="1164" t="str">
        <f t="shared" si="12"/>
        <v>NA</v>
      </c>
      <c r="AJ8" s="1165">
        <f t="shared" si="13"/>
        <v>6.1403508771929821E-2</v>
      </c>
    </row>
    <row r="9" spans="1:36">
      <c r="A9" s="189" t="s">
        <v>16</v>
      </c>
      <c r="B9" s="190" t="s">
        <v>364</v>
      </c>
      <c r="C9" s="191" t="s">
        <v>273</v>
      </c>
      <c r="E9" s="1160">
        <v>13</v>
      </c>
      <c r="F9" s="1161">
        <v>2</v>
      </c>
      <c r="G9" s="1161">
        <v>8</v>
      </c>
      <c r="H9" s="1161"/>
      <c r="I9" s="1161">
        <v>10</v>
      </c>
      <c r="J9" s="1161">
        <v>2</v>
      </c>
      <c r="K9" s="1162">
        <f t="shared" si="2"/>
        <v>35</v>
      </c>
      <c r="L9" s="1160">
        <v>3</v>
      </c>
      <c r="M9" s="1161">
        <v>1</v>
      </c>
      <c r="N9" s="1161">
        <v>4</v>
      </c>
      <c r="O9" s="1161"/>
      <c r="P9" s="1161">
        <v>6</v>
      </c>
      <c r="Q9" s="1161"/>
      <c r="R9" s="1162">
        <f t="shared" si="3"/>
        <v>14</v>
      </c>
      <c r="S9" s="1160">
        <v>1</v>
      </c>
      <c r="T9" s="1161"/>
      <c r="U9" s="1161"/>
      <c r="V9" s="1161"/>
      <c r="W9" s="1161"/>
      <c r="X9" s="1161"/>
      <c r="Y9" s="1162">
        <f t="shared" si="4"/>
        <v>1</v>
      </c>
      <c r="Z9" s="1181">
        <f t="shared" si="5"/>
        <v>50</v>
      </c>
      <c r="AA9" s="1181">
        <f t="shared" si="6"/>
        <v>49</v>
      </c>
      <c r="AD9" s="1163">
        <f t="shared" si="7"/>
        <v>0.1875</v>
      </c>
      <c r="AE9" s="1184">
        <f t="shared" si="8"/>
        <v>0.33333333333333331</v>
      </c>
      <c r="AF9" s="1164">
        <f t="shared" si="9"/>
        <v>0.375</v>
      </c>
      <c r="AG9" s="1164">
        <f t="shared" si="10"/>
        <v>0</v>
      </c>
      <c r="AH9" s="1164">
        <f t="shared" si="11"/>
        <v>0.33333333333333331</v>
      </c>
      <c r="AI9" s="1164" t="str">
        <f t="shared" si="12"/>
        <v>NA</v>
      </c>
      <c r="AJ9" s="1165">
        <f t="shared" si="13"/>
        <v>0.2857142857142857</v>
      </c>
    </row>
    <row r="10" spans="1:36">
      <c r="A10" s="189" t="s">
        <v>18</v>
      </c>
      <c r="B10" s="190" t="s">
        <v>19</v>
      </c>
      <c r="C10" s="191" t="s">
        <v>275</v>
      </c>
      <c r="E10" s="1160">
        <v>6</v>
      </c>
      <c r="F10" s="1161">
        <v>1</v>
      </c>
      <c r="G10" s="1161">
        <v>4</v>
      </c>
      <c r="H10" s="1161"/>
      <c r="I10" s="1161">
        <v>3</v>
      </c>
      <c r="J10" s="1161">
        <v>1</v>
      </c>
      <c r="K10" s="1162">
        <f t="shared" si="2"/>
        <v>15</v>
      </c>
      <c r="L10" s="1160"/>
      <c r="M10" s="1161"/>
      <c r="N10" s="1161"/>
      <c r="O10" s="1161"/>
      <c r="P10" s="1161">
        <v>1</v>
      </c>
      <c r="Q10" s="1161"/>
      <c r="R10" s="1162">
        <f t="shared" si="3"/>
        <v>1</v>
      </c>
      <c r="S10" s="1160"/>
      <c r="T10" s="1161"/>
      <c r="U10" s="1161"/>
      <c r="V10" s="1161"/>
      <c r="W10" s="1161"/>
      <c r="X10" s="1161"/>
      <c r="Y10" s="1162">
        <f t="shared" si="4"/>
        <v>0</v>
      </c>
      <c r="Z10" s="1181">
        <f t="shared" si="5"/>
        <v>16</v>
      </c>
      <c r="AA10" s="1181">
        <f t="shared" si="6"/>
        <v>16</v>
      </c>
      <c r="AD10" s="1163">
        <f t="shared" si="7"/>
        <v>0</v>
      </c>
      <c r="AE10" s="1184">
        <f t="shared" si="8"/>
        <v>0</v>
      </c>
      <c r="AF10" s="1164">
        <f t="shared" si="9"/>
        <v>0.25</v>
      </c>
      <c r="AG10" s="1164">
        <f t="shared" si="10"/>
        <v>0</v>
      </c>
      <c r="AH10" s="1164">
        <f t="shared" si="11"/>
        <v>0</v>
      </c>
      <c r="AI10" s="1164" t="str">
        <f t="shared" si="12"/>
        <v>NA</v>
      </c>
      <c r="AJ10" s="1165">
        <f t="shared" si="13"/>
        <v>6.25E-2</v>
      </c>
    </row>
    <row r="11" spans="1:36">
      <c r="A11" s="189" t="s">
        <v>20</v>
      </c>
      <c r="B11" s="190" t="s">
        <v>21</v>
      </c>
      <c r="C11" s="191" t="s">
        <v>273</v>
      </c>
      <c r="E11" s="1160">
        <v>14</v>
      </c>
      <c r="F11" s="1161">
        <v>1</v>
      </c>
      <c r="G11" s="1161">
        <v>7</v>
      </c>
      <c r="H11" s="1161"/>
      <c r="I11" s="1161">
        <v>11</v>
      </c>
      <c r="J11" s="1161">
        <v>1</v>
      </c>
      <c r="K11" s="1162">
        <f t="shared" si="2"/>
        <v>34</v>
      </c>
      <c r="L11" s="1160">
        <v>1</v>
      </c>
      <c r="M11" s="1161"/>
      <c r="N11" s="1161">
        <v>1</v>
      </c>
      <c r="O11" s="1161"/>
      <c r="P11" s="1161">
        <v>1</v>
      </c>
      <c r="Q11" s="1161"/>
      <c r="R11" s="1162">
        <f t="shared" si="3"/>
        <v>3</v>
      </c>
      <c r="S11" s="1160"/>
      <c r="T11" s="1161"/>
      <c r="U11" s="1161"/>
      <c r="V11" s="1161"/>
      <c r="W11" s="1161"/>
      <c r="X11" s="1161"/>
      <c r="Y11" s="1162">
        <f t="shared" si="4"/>
        <v>0</v>
      </c>
      <c r="Z11" s="1181">
        <f t="shared" si="5"/>
        <v>37</v>
      </c>
      <c r="AA11" s="1181">
        <f t="shared" si="6"/>
        <v>37</v>
      </c>
      <c r="AD11" s="1163">
        <f t="shared" si="7"/>
        <v>6.6666666666666666E-2</v>
      </c>
      <c r="AE11" s="1184">
        <f t="shared" si="8"/>
        <v>0</v>
      </c>
      <c r="AF11" s="1164">
        <f t="shared" si="9"/>
        <v>8.3333333333333329E-2</v>
      </c>
      <c r="AG11" s="1164">
        <f t="shared" si="10"/>
        <v>0</v>
      </c>
      <c r="AH11" s="1164">
        <f t="shared" si="11"/>
        <v>0.125</v>
      </c>
      <c r="AI11" s="1164" t="str">
        <f t="shared" si="12"/>
        <v>NA</v>
      </c>
      <c r="AJ11" s="1165">
        <f t="shared" si="13"/>
        <v>8.1081081081081086E-2</v>
      </c>
    </row>
    <row r="12" spans="1:36">
      <c r="A12" s="189" t="s">
        <v>22</v>
      </c>
      <c r="B12" s="190" t="s">
        <v>23</v>
      </c>
      <c r="C12" s="191" t="s">
        <v>273</v>
      </c>
      <c r="E12" s="1160">
        <v>6</v>
      </c>
      <c r="F12" s="1161">
        <v>1</v>
      </c>
      <c r="G12" s="1161">
        <v>4</v>
      </c>
      <c r="H12" s="1161"/>
      <c r="I12" s="1161">
        <v>4</v>
      </c>
      <c r="J12" s="1161">
        <v>1</v>
      </c>
      <c r="K12" s="1162">
        <f t="shared" si="2"/>
        <v>16</v>
      </c>
      <c r="L12" s="1160"/>
      <c r="M12" s="1161"/>
      <c r="N12" s="1161">
        <v>2</v>
      </c>
      <c r="O12" s="1161"/>
      <c r="P12" s="1161">
        <v>1</v>
      </c>
      <c r="Q12" s="1161"/>
      <c r="R12" s="1162">
        <f t="shared" si="3"/>
        <v>3</v>
      </c>
      <c r="S12" s="1160"/>
      <c r="T12" s="1161"/>
      <c r="U12" s="1161"/>
      <c r="V12" s="1161"/>
      <c r="W12" s="1161"/>
      <c r="X12" s="1161"/>
      <c r="Y12" s="1162">
        <f t="shared" si="4"/>
        <v>0</v>
      </c>
      <c r="Z12" s="1181">
        <f t="shared" si="5"/>
        <v>19</v>
      </c>
      <c r="AA12" s="1181">
        <f t="shared" si="6"/>
        <v>19</v>
      </c>
      <c r="AD12" s="1163">
        <f t="shared" si="7"/>
        <v>0</v>
      </c>
      <c r="AE12" s="1184">
        <f t="shared" si="8"/>
        <v>0</v>
      </c>
      <c r="AF12" s="1164">
        <f t="shared" si="9"/>
        <v>0.2</v>
      </c>
      <c r="AG12" s="1164">
        <f t="shared" si="10"/>
        <v>0</v>
      </c>
      <c r="AH12" s="1164">
        <f t="shared" si="11"/>
        <v>0.33333333333333331</v>
      </c>
      <c r="AI12" s="1164" t="str">
        <f t="shared" si="12"/>
        <v>NA</v>
      </c>
      <c r="AJ12" s="1165">
        <f t="shared" si="13"/>
        <v>0.15789473684210525</v>
      </c>
    </row>
    <row r="13" spans="1:36">
      <c r="A13" s="189" t="s">
        <v>24</v>
      </c>
      <c r="B13" s="190" t="s">
        <v>25</v>
      </c>
      <c r="C13" s="191" t="s">
        <v>276</v>
      </c>
      <c r="E13" s="1160">
        <v>48</v>
      </c>
      <c r="F13" s="1161">
        <v>4</v>
      </c>
      <c r="G13" s="1161">
        <v>36</v>
      </c>
      <c r="H13" s="1161">
        <v>3</v>
      </c>
      <c r="I13" s="1161">
        <v>59</v>
      </c>
      <c r="J13" s="1161">
        <v>11</v>
      </c>
      <c r="K13" s="1162">
        <f t="shared" si="2"/>
        <v>161</v>
      </c>
      <c r="L13" s="1160">
        <v>1</v>
      </c>
      <c r="M13" s="1161">
        <v>1</v>
      </c>
      <c r="N13" s="1161">
        <v>8</v>
      </c>
      <c r="O13" s="1161"/>
      <c r="P13" s="1161">
        <v>5</v>
      </c>
      <c r="Q13" s="1161">
        <v>1</v>
      </c>
      <c r="R13" s="1162">
        <f t="shared" si="3"/>
        <v>16</v>
      </c>
      <c r="S13" s="1160"/>
      <c r="T13" s="1161"/>
      <c r="U13" s="1161"/>
      <c r="V13" s="1161"/>
      <c r="W13" s="1161"/>
      <c r="X13" s="1161"/>
      <c r="Y13" s="1162">
        <f t="shared" si="4"/>
        <v>0</v>
      </c>
      <c r="Z13" s="1181">
        <f t="shared" si="5"/>
        <v>177</v>
      </c>
      <c r="AA13" s="1181">
        <f t="shared" si="6"/>
        <v>177</v>
      </c>
      <c r="AD13" s="1163">
        <f t="shared" si="7"/>
        <v>2.0408163265306121E-2</v>
      </c>
      <c r="AE13" s="1184">
        <f t="shared" si="8"/>
        <v>0.2</v>
      </c>
      <c r="AF13" s="1164">
        <f t="shared" si="9"/>
        <v>7.8125E-2</v>
      </c>
      <c r="AG13" s="1164">
        <f t="shared" si="10"/>
        <v>8.3333333333333329E-2</v>
      </c>
      <c r="AH13" s="1164">
        <f t="shared" si="11"/>
        <v>0.18181818181818182</v>
      </c>
      <c r="AI13" s="1164">
        <f t="shared" si="12"/>
        <v>0</v>
      </c>
      <c r="AJ13" s="1165">
        <f t="shared" si="13"/>
        <v>9.03954802259887E-2</v>
      </c>
    </row>
    <row r="14" spans="1:36">
      <c r="A14" s="189" t="s">
        <v>26</v>
      </c>
      <c r="B14" s="190" t="s">
        <v>365</v>
      </c>
      <c r="C14" s="191" t="s">
        <v>273</v>
      </c>
      <c r="E14" s="1160">
        <v>51</v>
      </c>
      <c r="F14" s="1161">
        <v>4</v>
      </c>
      <c r="G14" s="1161">
        <v>30</v>
      </c>
      <c r="H14" s="1161">
        <v>6</v>
      </c>
      <c r="I14" s="1161">
        <v>43</v>
      </c>
      <c r="J14" s="1161">
        <v>6</v>
      </c>
      <c r="K14" s="1162">
        <f t="shared" si="2"/>
        <v>140</v>
      </c>
      <c r="L14" s="1160">
        <v>6</v>
      </c>
      <c r="M14" s="1161"/>
      <c r="N14" s="1161">
        <v>4</v>
      </c>
      <c r="O14" s="1161"/>
      <c r="P14" s="1161">
        <v>8</v>
      </c>
      <c r="Q14" s="1161">
        <v>1</v>
      </c>
      <c r="R14" s="1162">
        <f t="shared" si="3"/>
        <v>19</v>
      </c>
      <c r="S14" s="1160"/>
      <c r="T14" s="1161"/>
      <c r="U14" s="1161"/>
      <c r="V14" s="1161"/>
      <c r="W14" s="1161"/>
      <c r="X14" s="1161"/>
      <c r="Y14" s="1162">
        <f t="shared" si="4"/>
        <v>0</v>
      </c>
      <c r="Z14" s="1181">
        <f t="shared" si="5"/>
        <v>159</v>
      </c>
      <c r="AA14" s="1181">
        <f t="shared" si="6"/>
        <v>159</v>
      </c>
      <c r="AD14" s="1163">
        <f t="shared" si="7"/>
        <v>0.10526315789473684</v>
      </c>
      <c r="AE14" s="1184">
        <f t="shared" si="8"/>
        <v>0</v>
      </c>
      <c r="AF14" s="1164">
        <f t="shared" si="9"/>
        <v>0.15686274509803921</v>
      </c>
      <c r="AG14" s="1164">
        <f t="shared" si="10"/>
        <v>0.14285714285714285</v>
      </c>
      <c r="AH14" s="1164">
        <f t="shared" si="11"/>
        <v>0.11764705882352941</v>
      </c>
      <c r="AI14" s="1164">
        <f t="shared" si="12"/>
        <v>0</v>
      </c>
      <c r="AJ14" s="1165">
        <f t="shared" si="13"/>
        <v>0.11949685534591195</v>
      </c>
    </row>
    <row r="15" spans="1:36">
      <c r="A15" s="189" t="s">
        <v>27</v>
      </c>
      <c r="B15" s="190" t="s">
        <v>28</v>
      </c>
      <c r="C15" s="191" t="s">
        <v>273</v>
      </c>
      <c r="E15" s="1160">
        <v>2</v>
      </c>
      <c r="F15" s="1161"/>
      <c r="G15" s="1161">
        <v>3</v>
      </c>
      <c r="H15" s="1161"/>
      <c r="I15" s="1161">
        <v>2</v>
      </c>
      <c r="J15" s="1161"/>
      <c r="K15" s="1162">
        <f t="shared" si="2"/>
        <v>7</v>
      </c>
      <c r="L15" s="1160"/>
      <c r="M15" s="1161"/>
      <c r="N15" s="1161"/>
      <c r="O15" s="1161"/>
      <c r="P15" s="1161"/>
      <c r="Q15" s="1161"/>
      <c r="R15" s="1162">
        <f t="shared" si="3"/>
        <v>0</v>
      </c>
      <c r="S15" s="1160"/>
      <c r="T15" s="1161"/>
      <c r="U15" s="1161"/>
      <c r="V15" s="1161"/>
      <c r="W15" s="1161"/>
      <c r="X15" s="1161"/>
      <c r="Y15" s="1162">
        <f t="shared" si="4"/>
        <v>0</v>
      </c>
      <c r="Z15" s="1181">
        <f t="shared" si="5"/>
        <v>7</v>
      </c>
      <c r="AA15" s="1181">
        <f t="shared" si="6"/>
        <v>7</v>
      </c>
      <c r="AD15" s="1163">
        <f t="shared" si="7"/>
        <v>0</v>
      </c>
      <c r="AE15" s="1184" t="str">
        <f t="shared" si="8"/>
        <v>NA</v>
      </c>
      <c r="AF15" s="1164">
        <f t="shared" si="9"/>
        <v>0</v>
      </c>
      <c r="AG15" s="1164" t="str">
        <f t="shared" si="10"/>
        <v>NA</v>
      </c>
      <c r="AH15" s="1164">
        <f t="shared" si="11"/>
        <v>0</v>
      </c>
      <c r="AI15" s="1164" t="str">
        <f t="shared" si="12"/>
        <v>NA</v>
      </c>
      <c r="AJ15" s="1165">
        <f t="shared" si="13"/>
        <v>0</v>
      </c>
    </row>
    <row r="16" spans="1:36">
      <c r="A16" s="189" t="s">
        <v>29</v>
      </c>
      <c r="B16" s="190" t="s">
        <v>886</v>
      </c>
      <c r="C16" s="191" t="s">
        <v>273</v>
      </c>
      <c r="E16" s="1160">
        <v>25</v>
      </c>
      <c r="F16" s="1161">
        <v>3</v>
      </c>
      <c r="G16" s="1161">
        <v>11</v>
      </c>
      <c r="H16" s="1161"/>
      <c r="I16" s="1161">
        <v>27</v>
      </c>
      <c r="J16" s="1161">
        <v>4</v>
      </c>
      <c r="K16" s="1162">
        <f t="shared" si="2"/>
        <v>70</v>
      </c>
      <c r="L16" s="1160"/>
      <c r="M16" s="1161"/>
      <c r="N16" s="1161">
        <v>2</v>
      </c>
      <c r="O16" s="1161"/>
      <c r="P16" s="1161">
        <v>5</v>
      </c>
      <c r="Q16" s="1161"/>
      <c r="R16" s="1162">
        <f t="shared" si="3"/>
        <v>7</v>
      </c>
      <c r="S16" s="1160"/>
      <c r="T16" s="1161"/>
      <c r="U16" s="1161"/>
      <c r="V16" s="1161"/>
      <c r="W16" s="1161"/>
      <c r="X16" s="1161"/>
      <c r="Y16" s="1162">
        <f t="shared" si="4"/>
        <v>0</v>
      </c>
      <c r="Z16" s="1181">
        <f t="shared" si="5"/>
        <v>77</v>
      </c>
      <c r="AA16" s="1181">
        <f t="shared" si="6"/>
        <v>77</v>
      </c>
      <c r="AD16" s="1163">
        <f t="shared" si="7"/>
        <v>0</v>
      </c>
      <c r="AE16" s="1184">
        <f t="shared" si="8"/>
        <v>0</v>
      </c>
      <c r="AF16" s="1164">
        <f t="shared" si="9"/>
        <v>0.15625</v>
      </c>
      <c r="AG16" s="1164">
        <f t="shared" si="10"/>
        <v>0</v>
      </c>
      <c r="AH16" s="1164">
        <f t="shared" si="11"/>
        <v>0.15384615384615385</v>
      </c>
      <c r="AI16" s="1164" t="str">
        <f t="shared" si="12"/>
        <v>NA</v>
      </c>
      <c r="AJ16" s="1165">
        <f t="shared" si="13"/>
        <v>9.0909090909090912E-2</v>
      </c>
    </row>
    <row r="17" spans="1:36">
      <c r="A17" s="189" t="s">
        <v>31</v>
      </c>
      <c r="B17" s="190" t="s">
        <v>32</v>
      </c>
      <c r="C17" s="191" t="s">
        <v>278</v>
      </c>
      <c r="E17" s="1160">
        <v>5</v>
      </c>
      <c r="F17" s="1161"/>
      <c r="G17" s="1161">
        <v>4</v>
      </c>
      <c r="H17" s="1161"/>
      <c r="I17" s="1161">
        <v>3</v>
      </c>
      <c r="J17" s="1161"/>
      <c r="K17" s="1162">
        <f t="shared" si="2"/>
        <v>12</v>
      </c>
      <c r="L17" s="1160">
        <v>1</v>
      </c>
      <c r="M17" s="1161"/>
      <c r="N17" s="1161"/>
      <c r="O17" s="1161"/>
      <c r="P17" s="1161">
        <v>1</v>
      </c>
      <c r="Q17" s="1161"/>
      <c r="R17" s="1162">
        <f t="shared" si="3"/>
        <v>2</v>
      </c>
      <c r="S17" s="1160"/>
      <c r="T17" s="1161"/>
      <c r="U17" s="1161"/>
      <c r="V17" s="1161"/>
      <c r="W17" s="1161"/>
      <c r="X17" s="1161">
        <v>1</v>
      </c>
      <c r="Y17" s="1162">
        <f t="shared" si="4"/>
        <v>1</v>
      </c>
      <c r="Z17" s="1181">
        <f t="shared" si="5"/>
        <v>15</v>
      </c>
      <c r="AA17" s="1181">
        <f t="shared" si="6"/>
        <v>14</v>
      </c>
      <c r="AD17" s="1163">
        <f t="shared" si="7"/>
        <v>0.16666666666666666</v>
      </c>
      <c r="AE17" s="1184" t="str">
        <f t="shared" si="8"/>
        <v>NA</v>
      </c>
      <c r="AF17" s="1164">
        <f t="shared" si="9"/>
        <v>0.25</v>
      </c>
      <c r="AG17" s="1164" t="str">
        <f t="shared" si="10"/>
        <v>NA</v>
      </c>
      <c r="AH17" s="1164">
        <f t="shared" si="11"/>
        <v>0</v>
      </c>
      <c r="AI17" s="1164" t="str">
        <f t="shared" si="12"/>
        <v>NA</v>
      </c>
      <c r="AJ17" s="1165">
        <f t="shared" si="13"/>
        <v>0.14285714285714285</v>
      </c>
    </row>
    <row r="18" spans="1:36">
      <c r="A18" s="189" t="s">
        <v>33</v>
      </c>
      <c r="B18" s="190" t="s">
        <v>34</v>
      </c>
      <c r="C18" s="191" t="s">
        <v>273</v>
      </c>
      <c r="E18" s="1160">
        <v>6</v>
      </c>
      <c r="F18" s="1161">
        <v>1</v>
      </c>
      <c r="G18" s="1161">
        <v>5</v>
      </c>
      <c r="H18" s="1161"/>
      <c r="I18" s="1161">
        <v>6</v>
      </c>
      <c r="J18" s="1161">
        <v>1</v>
      </c>
      <c r="K18" s="1162">
        <f t="shared" si="2"/>
        <v>19</v>
      </c>
      <c r="L18" s="1160">
        <v>3</v>
      </c>
      <c r="M18" s="1161"/>
      <c r="N18" s="1161">
        <v>1</v>
      </c>
      <c r="O18" s="1161"/>
      <c r="P18" s="1161">
        <v>1</v>
      </c>
      <c r="Q18" s="1161"/>
      <c r="R18" s="1162">
        <f t="shared" si="3"/>
        <v>5</v>
      </c>
      <c r="S18" s="1160"/>
      <c r="T18" s="1161"/>
      <c r="U18" s="1161"/>
      <c r="V18" s="1161"/>
      <c r="W18" s="1161"/>
      <c r="X18" s="1161"/>
      <c r="Y18" s="1162">
        <f t="shared" si="4"/>
        <v>0</v>
      </c>
      <c r="Z18" s="1181">
        <f t="shared" si="5"/>
        <v>24</v>
      </c>
      <c r="AA18" s="1181">
        <f t="shared" si="6"/>
        <v>24</v>
      </c>
      <c r="AD18" s="1163">
        <f t="shared" si="7"/>
        <v>0.33333333333333331</v>
      </c>
      <c r="AE18" s="1184">
        <f t="shared" si="8"/>
        <v>0</v>
      </c>
      <c r="AF18" s="1164">
        <f t="shared" si="9"/>
        <v>0.14285714285714285</v>
      </c>
      <c r="AG18" s="1164">
        <f t="shared" si="10"/>
        <v>0</v>
      </c>
      <c r="AH18" s="1164">
        <f t="shared" si="11"/>
        <v>0.16666666666666666</v>
      </c>
      <c r="AI18" s="1164" t="str">
        <f t="shared" si="12"/>
        <v>NA</v>
      </c>
      <c r="AJ18" s="1165">
        <f t="shared" si="13"/>
        <v>0.20833333333333334</v>
      </c>
    </row>
    <row r="19" spans="1:36">
      <c r="A19" s="189" t="s">
        <v>37</v>
      </c>
      <c r="B19" s="190" t="s">
        <v>38</v>
      </c>
      <c r="C19" s="191" t="s">
        <v>272</v>
      </c>
      <c r="E19" s="1160">
        <v>11</v>
      </c>
      <c r="F19" s="1161">
        <v>2</v>
      </c>
      <c r="G19" s="1161">
        <v>8</v>
      </c>
      <c r="H19" s="1161"/>
      <c r="I19" s="1161">
        <v>7</v>
      </c>
      <c r="J19" s="1161">
        <v>1</v>
      </c>
      <c r="K19" s="1162">
        <f t="shared" si="2"/>
        <v>29</v>
      </c>
      <c r="L19" s="1160">
        <v>3</v>
      </c>
      <c r="M19" s="1161"/>
      <c r="N19" s="1161"/>
      <c r="O19" s="1161"/>
      <c r="P19" s="1161"/>
      <c r="Q19" s="1161"/>
      <c r="R19" s="1162">
        <f t="shared" si="3"/>
        <v>3</v>
      </c>
      <c r="S19" s="1160"/>
      <c r="T19" s="1161"/>
      <c r="U19" s="1161"/>
      <c r="V19" s="1161"/>
      <c r="W19" s="1161"/>
      <c r="X19" s="1161"/>
      <c r="Y19" s="1162">
        <f t="shared" si="4"/>
        <v>0</v>
      </c>
      <c r="Z19" s="1181">
        <f t="shared" si="5"/>
        <v>32</v>
      </c>
      <c r="AA19" s="1181">
        <f t="shared" si="6"/>
        <v>32</v>
      </c>
      <c r="AD19" s="1163">
        <f t="shared" si="7"/>
        <v>0.21428571428571427</v>
      </c>
      <c r="AE19" s="1184">
        <f t="shared" si="8"/>
        <v>0</v>
      </c>
      <c r="AF19" s="1164">
        <f t="shared" si="9"/>
        <v>0</v>
      </c>
      <c r="AG19" s="1164">
        <f t="shared" si="10"/>
        <v>0</v>
      </c>
      <c r="AH19" s="1164">
        <f t="shared" si="11"/>
        <v>0</v>
      </c>
      <c r="AI19" s="1164" t="str">
        <f t="shared" si="12"/>
        <v>NA</v>
      </c>
      <c r="AJ19" s="1165">
        <f t="shared" si="13"/>
        <v>9.375E-2</v>
      </c>
    </row>
    <row r="20" spans="1:36">
      <c r="A20" s="189" t="s">
        <v>39</v>
      </c>
      <c r="B20" s="190" t="s">
        <v>40</v>
      </c>
      <c r="C20" s="191" t="s">
        <v>278</v>
      </c>
      <c r="E20" s="1160">
        <v>20</v>
      </c>
      <c r="F20" s="1161">
        <v>2</v>
      </c>
      <c r="G20" s="1161">
        <v>11</v>
      </c>
      <c r="H20" s="1161">
        <v>3</v>
      </c>
      <c r="I20" s="1161">
        <v>17</v>
      </c>
      <c r="J20" s="1161">
        <v>2</v>
      </c>
      <c r="K20" s="1162">
        <f t="shared" si="2"/>
        <v>55</v>
      </c>
      <c r="L20" s="1160">
        <v>6</v>
      </c>
      <c r="M20" s="1161">
        <v>2</v>
      </c>
      <c r="N20" s="1161">
        <v>3</v>
      </c>
      <c r="O20" s="1161"/>
      <c r="P20" s="1161">
        <v>4</v>
      </c>
      <c r="Q20" s="1161"/>
      <c r="R20" s="1162">
        <f t="shared" si="3"/>
        <v>15</v>
      </c>
      <c r="S20" s="1160"/>
      <c r="T20" s="1161"/>
      <c r="U20" s="1161"/>
      <c r="V20" s="1161"/>
      <c r="W20" s="1161"/>
      <c r="X20" s="1161"/>
      <c r="Y20" s="1162">
        <f t="shared" si="4"/>
        <v>0</v>
      </c>
      <c r="Z20" s="1181">
        <f t="shared" si="5"/>
        <v>70</v>
      </c>
      <c r="AA20" s="1181">
        <f t="shared" si="6"/>
        <v>70</v>
      </c>
      <c r="AD20" s="1163">
        <f t="shared" si="7"/>
        <v>0.23076923076923078</v>
      </c>
      <c r="AE20" s="1184">
        <f t="shared" si="8"/>
        <v>0.5</v>
      </c>
      <c r="AF20" s="1164">
        <f t="shared" si="9"/>
        <v>0.19047619047619047</v>
      </c>
      <c r="AG20" s="1164">
        <f t="shared" si="10"/>
        <v>0</v>
      </c>
      <c r="AH20" s="1164">
        <f t="shared" si="11"/>
        <v>0.21428571428571427</v>
      </c>
      <c r="AI20" s="1164">
        <f t="shared" si="12"/>
        <v>0</v>
      </c>
      <c r="AJ20" s="1165">
        <f t="shared" si="13"/>
        <v>0.21428571428571427</v>
      </c>
    </row>
    <row r="21" spans="1:36">
      <c r="A21" s="189" t="s">
        <v>41</v>
      </c>
      <c r="B21" s="190" t="s">
        <v>42</v>
      </c>
      <c r="C21" s="191" t="s">
        <v>275</v>
      </c>
      <c r="E21" s="1160">
        <v>8</v>
      </c>
      <c r="F21" s="1161">
        <v>1</v>
      </c>
      <c r="G21" s="1161">
        <v>5</v>
      </c>
      <c r="H21" s="1161"/>
      <c r="I21" s="1161">
        <v>6</v>
      </c>
      <c r="J21" s="1161">
        <v>1</v>
      </c>
      <c r="K21" s="1162">
        <f t="shared" si="2"/>
        <v>21</v>
      </c>
      <c r="L21" s="1160">
        <v>4</v>
      </c>
      <c r="M21" s="1161"/>
      <c r="N21" s="1161">
        <v>2</v>
      </c>
      <c r="O21" s="1161"/>
      <c r="P21" s="1161">
        <v>4</v>
      </c>
      <c r="Q21" s="1161"/>
      <c r="R21" s="1162">
        <f t="shared" si="3"/>
        <v>10</v>
      </c>
      <c r="S21" s="1160"/>
      <c r="T21" s="1161"/>
      <c r="U21" s="1161"/>
      <c r="V21" s="1161"/>
      <c r="W21" s="1161"/>
      <c r="X21" s="1161"/>
      <c r="Y21" s="1162">
        <f t="shared" si="4"/>
        <v>0</v>
      </c>
      <c r="Z21" s="1181">
        <f t="shared" si="5"/>
        <v>31</v>
      </c>
      <c r="AA21" s="1181">
        <f t="shared" si="6"/>
        <v>31</v>
      </c>
      <c r="AD21" s="1163">
        <f t="shared" si="7"/>
        <v>0.33333333333333331</v>
      </c>
      <c r="AE21" s="1184">
        <f t="shared" si="8"/>
        <v>0</v>
      </c>
      <c r="AF21" s="1164">
        <f t="shared" si="9"/>
        <v>0.4</v>
      </c>
      <c r="AG21" s="1164">
        <f t="shared" si="10"/>
        <v>0</v>
      </c>
      <c r="AH21" s="1164">
        <f t="shared" si="11"/>
        <v>0.2857142857142857</v>
      </c>
      <c r="AI21" s="1164" t="str">
        <f t="shared" si="12"/>
        <v>NA</v>
      </c>
      <c r="AJ21" s="1165">
        <f t="shared" si="13"/>
        <v>0.32258064516129031</v>
      </c>
    </row>
    <row r="22" spans="1:36">
      <c r="A22" s="189" t="s">
        <v>43</v>
      </c>
      <c r="B22" s="190" t="s">
        <v>44</v>
      </c>
      <c r="C22" s="191" t="s">
        <v>273</v>
      </c>
      <c r="E22" s="1160">
        <v>25</v>
      </c>
      <c r="F22" s="1161">
        <v>2</v>
      </c>
      <c r="G22" s="1161">
        <v>15</v>
      </c>
      <c r="H22" s="1161">
        <v>3</v>
      </c>
      <c r="I22" s="1161">
        <v>21</v>
      </c>
      <c r="J22" s="1161">
        <v>4</v>
      </c>
      <c r="K22" s="1162">
        <f t="shared" si="2"/>
        <v>70</v>
      </c>
      <c r="L22" s="1160">
        <v>4</v>
      </c>
      <c r="M22" s="1161">
        <v>1</v>
      </c>
      <c r="N22" s="1161">
        <v>1</v>
      </c>
      <c r="O22" s="1161"/>
      <c r="P22" s="1161">
        <v>7</v>
      </c>
      <c r="Q22" s="1161"/>
      <c r="R22" s="1162">
        <f t="shared" si="3"/>
        <v>13</v>
      </c>
      <c r="S22" s="1160"/>
      <c r="T22" s="1161"/>
      <c r="U22" s="1161"/>
      <c r="V22" s="1161"/>
      <c r="W22" s="1161"/>
      <c r="X22" s="1161"/>
      <c r="Y22" s="1162">
        <f t="shared" si="4"/>
        <v>0</v>
      </c>
      <c r="Z22" s="1181">
        <f t="shared" si="5"/>
        <v>83</v>
      </c>
      <c r="AA22" s="1181">
        <f t="shared" si="6"/>
        <v>83</v>
      </c>
      <c r="AD22" s="1163">
        <f t="shared" si="7"/>
        <v>0.13793103448275862</v>
      </c>
      <c r="AE22" s="1184">
        <f t="shared" si="8"/>
        <v>0.33333333333333331</v>
      </c>
      <c r="AF22" s="1164">
        <f t="shared" si="9"/>
        <v>0.25</v>
      </c>
      <c r="AG22" s="1164">
        <f t="shared" si="10"/>
        <v>0</v>
      </c>
      <c r="AH22" s="1164">
        <f t="shared" si="11"/>
        <v>6.25E-2</v>
      </c>
      <c r="AI22" s="1164">
        <f t="shared" si="12"/>
        <v>0</v>
      </c>
      <c r="AJ22" s="1165">
        <f t="shared" si="13"/>
        <v>0.15662650602409639</v>
      </c>
    </row>
    <row r="23" spans="1:36">
      <c r="A23" s="189" t="s">
        <v>45</v>
      </c>
      <c r="B23" s="190" t="s">
        <v>46</v>
      </c>
      <c r="C23" s="191" t="s">
        <v>275</v>
      </c>
      <c r="E23" s="1160">
        <v>11</v>
      </c>
      <c r="F23" s="1161">
        <v>2</v>
      </c>
      <c r="G23" s="1161">
        <v>5</v>
      </c>
      <c r="H23" s="1161"/>
      <c r="I23" s="1161">
        <v>7</v>
      </c>
      <c r="J23" s="1161">
        <v>1</v>
      </c>
      <c r="K23" s="1162">
        <f t="shared" si="2"/>
        <v>26</v>
      </c>
      <c r="L23" s="1160">
        <v>2</v>
      </c>
      <c r="M23" s="1161"/>
      <c r="N23" s="1161">
        <v>1</v>
      </c>
      <c r="O23" s="1161"/>
      <c r="P23" s="1161">
        <v>1</v>
      </c>
      <c r="Q23" s="1161"/>
      <c r="R23" s="1162">
        <f t="shared" si="3"/>
        <v>4</v>
      </c>
      <c r="S23" s="1160"/>
      <c r="T23" s="1161"/>
      <c r="U23" s="1161"/>
      <c r="V23" s="1161"/>
      <c r="W23" s="1161"/>
      <c r="X23" s="1161"/>
      <c r="Y23" s="1162">
        <f t="shared" si="4"/>
        <v>0</v>
      </c>
      <c r="Z23" s="1181">
        <f t="shared" si="5"/>
        <v>30</v>
      </c>
      <c r="AA23" s="1181">
        <f t="shared" si="6"/>
        <v>30</v>
      </c>
      <c r="AD23" s="1163">
        <f t="shared" si="7"/>
        <v>0.15384615384615385</v>
      </c>
      <c r="AE23" s="1184">
        <f t="shared" si="8"/>
        <v>0</v>
      </c>
      <c r="AF23" s="1164">
        <f t="shared" si="9"/>
        <v>0.125</v>
      </c>
      <c r="AG23" s="1164">
        <f t="shared" si="10"/>
        <v>0</v>
      </c>
      <c r="AH23" s="1164">
        <f t="shared" si="11"/>
        <v>0.16666666666666666</v>
      </c>
      <c r="AI23" s="1164" t="str">
        <f t="shared" si="12"/>
        <v>NA</v>
      </c>
      <c r="AJ23" s="1165">
        <f t="shared" si="13"/>
        <v>0.13333333333333333</v>
      </c>
    </row>
    <row r="24" spans="1:36">
      <c r="A24" s="189" t="s">
        <v>47</v>
      </c>
      <c r="B24" s="190" t="s">
        <v>48</v>
      </c>
      <c r="C24" s="191" t="s">
        <v>278</v>
      </c>
      <c r="E24" s="1160">
        <v>13</v>
      </c>
      <c r="F24" s="1161">
        <v>4</v>
      </c>
      <c r="G24" s="1161">
        <v>7</v>
      </c>
      <c r="H24" s="1161"/>
      <c r="I24" s="1161">
        <v>11</v>
      </c>
      <c r="J24" s="1161">
        <v>1</v>
      </c>
      <c r="K24" s="1162">
        <f t="shared" si="2"/>
        <v>36</v>
      </c>
      <c r="L24" s="1160">
        <v>3</v>
      </c>
      <c r="M24" s="1161"/>
      <c r="N24" s="1161">
        <v>1</v>
      </c>
      <c r="O24" s="1161">
        <v>1</v>
      </c>
      <c r="P24" s="1161"/>
      <c r="Q24" s="1161">
        <v>1</v>
      </c>
      <c r="R24" s="1162">
        <f t="shared" si="3"/>
        <v>6</v>
      </c>
      <c r="S24" s="1160"/>
      <c r="T24" s="1161"/>
      <c r="U24" s="1161"/>
      <c r="V24" s="1161"/>
      <c r="W24" s="1161"/>
      <c r="X24" s="1161"/>
      <c r="Y24" s="1162">
        <f t="shared" si="4"/>
        <v>0</v>
      </c>
      <c r="Z24" s="1181">
        <f t="shared" si="5"/>
        <v>42</v>
      </c>
      <c r="AA24" s="1181">
        <f t="shared" si="6"/>
        <v>42</v>
      </c>
      <c r="AD24" s="1163">
        <f t="shared" si="7"/>
        <v>0.1875</v>
      </c>
      <c r="AE24" s="1184">
        <f t="shared" si="8"/>
        <v>0</v>
      </c>
      <c r="AF24" s="1164">
        <f t="shared" si="9"/>
        <v>0</v>
      </c>
      <c r="AG24" s="1164">
        <f t="shared" si="10"/>
        <v>0.5</v>
      </c>
      <c r="AH24" s="1164">
        <f t="shared" si="11"/>
        <v>0.125</v>
      </c>
      <c r="AI24" s="1164">
        <f t="shared" si="12"/>
        <v>1</v>
      </c>
      <c r="AJ24" s="1165">
        <f t="shared" si="13"/>
        <v>0.14285714285714285</v>
      </c>
    </row>
    <row r="25" spans="1:36">
      <c r="A25" s="189" t="s">
        <v>49</v>
      </c>
      <c r="B25" s="190" t="s">
        <v>279</v>
      </c>
      <c r="C25" s="191" t="s">
        <v>275</v>
      </c>
      <c r="E25" s="1160">
        <v>3</v>
      </c>
      <c r="F25" s="1161">
        <v>1</v>
      </c>
      <c r="G25" s="1161">
        <v>5</v>
      </c>
      <c r="H25" s="1161"/>
      <c r="I25" s="1161">
        <v>2</v>
      </c>
      <c r="J25" s="1161">
        <v>1</v>
      </c>
      <c r="K25" s="1162">
        <f t="shared" si="2"/>
        <v>12</v>
      </c>
      <c r="L25" s="1160">
        <v>3</v>
      </c>
      <c r="M25" s="1161"/>
      <c r="N25" s="1161"/>
      <c r="O25" s="1161"/>
      <c r="P25" s="1161">
        <v>3</v>
      </c>
      <c r="Q25" s="1161"/>
      <c r="R25" s="1162">
        <f t="shared" si="3"/>
        <v>6</v>
      </c>
      <c r="S25" s="1160"/>
      <c r="T25" s="1161"/>
      <c r="U25" s="1161"/>
      <c r="V25" s="1161"/>
      <c r="W25" s="1161"/>
      <c r="X25" s="1161"/>
      <c r="Y25" s="1162">
        <f t="shared" si="4"/>
        <v>0</v>
      </c>
      <c r="Z25" s="1181">
        <f t="shared" si="5"/>
        <v>18</v>
      </c>
      <c r="AA25" s="1181">
        <f t="shared" si="6"/>
        <v>18</v>
      </c>
      <c r="AD25" s="1163">
        <f t="shared" si="7"/>
        <v>0.5</v>
      </c>
      <c r="AE25" s="1184">
        <f t="shared" si="8"/>
        <v>0</v>
      </c>
      <c r="AF25" s="1164">
        <f t="shared" si="9"/>
        <v>0.6</v>
      </c>
      <c r="AG25" s="1164">
        <f t="shared" si="10"/>
        <v>0</v>
      </c>
      <c r="AH25" s="1164">
        <f t="shared" si="11"/>
        <v>0</v>
      </c>
      <c r="AI25" s="1164" t="str">
        <f t="shared" si="12"/>
        <v>NA</v>
      </c>
      <c r="AJ25" s="1165">
        <f t="shared" si="13"/>
        <v>0.33333333333333331</v>
      </c>
    </row>
    <row r="26" spans="1:36">
      <c r="A26" s="189" t="s">
        <v>51</v>
      </c>
      <c r="B26" s="190" t="s">
        <v>52</v>
      </c>
      <c r="C26" s="191" t="s">
        <v>273</v>
      </c>
      <c r="E26" s="1160">
        <v>11</v>
      </c>
      <c r="F26" s="1161"/>
      <c r="G26" s="1161">
        <v>6</v>
      </c>
      <c r="H26" s="1161">
        <v>1</v>
      </c>
      <c r="I26" s="1161">
        <v>6</v>
      </c>
      <c r="J26" s="1161"/>
      <c r="K26" s="1162">
        <f t="shared" si="2"/>
        <v>24</v>
      </c>
      <c r="L26" s="1160">
        <v>2</v>
      </c>
      <c r="M26" s="1161"/>
      <c r="N26" s="1161">
        <v>2</v>
      </c>
      <c r="O26" s="1161"/>
      <c r="P26" s="1161">
        <v>3</v>
      </c>
      <c r="Q26" s="1161"/>
      <c r="R26" s="1162">
        <f t="shared" si="3"/>
        <v>7</v>
      </c>
      <c r="S26" s="1160"/>
      <c r="T26" s="1161"/>
      <c r="U26" s="1161"/>
      <c r="V26" s="1161"/>
      <c r="W26" s="1161"/>
      <c r="X26" s="1161"/>
      <c r="Y26" s="1162">
        <f t="shared" si="4"/>
        <v>0</v>
      </c>
      <c r="Z26" s="1181">
        <f t="shared" si="5"/>
        <v>31</v>
      </c>
      <c r="AA26" s="1181">
        <f t="shared" si="6"/>
        <v>31</v>
      </c>
      <c r="AD26" s="1163">
        <f t="shared" si="7"/>
        <v>0.15384615384615385</v>
      </c>
      <c r="AE26" s="1184" t="str">
        <f t="shared" si="8"/>
        <v>NA</v>
      </c>
      <c r="AF26" s="1164">
        <f t="shared" si="9"/>
        <v>0.33333333333333331</v>
      </c>
      <c r="AG26" s="1164" t="str">
        <f t="shared" si="10"/>
        <v>NA</v>
      </c>
      <c r="AH26" s="1164">
        <f t="shared" si="11"/>
        <v>0.25</v>
      </c>
      <c r="AI26" s="1164">
        <f t="shared" si="12"/>
        <v>0</v>
      </c>
      <c r="AJ26" s="1165">
        <f t="shared" si="13"/>
        <v>0.22580645161290322</v>
      </c>
    </row>
    <row r="27" spans="1:36">
      <c r="A27" s="189" t="s">
        <v>57</v>
      </c>
      <c r="B27" s="190" t="s">
        <v>362</v>
      </c>
      <c r="C27" s="191" t="s">
        <v>275</v>
      </c>
      <c r="E27" s="1160">
        <v>42</v>
      </c>
      <c r="F27" s="1161">
        <v>16</v>
      </c>
      <c r="G27" s="1161">
        <v>30</v>
      </c>
      <c r="H27" s="1161">
        <v>4</v>
      </c>
      <c r="I27" s="1161">
        <v>56</v>
      </c>
      <c r="J27" s="1161">
        <v>15</v>
      </c>
      <c r="K27" s="1162">
        <f t="shared" si="2"/>
        <v>163</v>
      </c>
      <c r="L27" s="1160">
        <v>20</v>
      </c>
      <c r="M27" s="1161">
        <v>2</v>
      </c>
      <c r="N27" s="1161">
        <v>5</v>
      </c>
      <c r="O27" s="1161">
        <v>3</v>
      </c>
      <c r="P27" s="1161">
        <v>7</v>
      </c>
      <c r="Q27" s="1161">
        <v>1</v>
      </c>
      <c r="R27" s="1162">
        <f t="shared" si="3"/>
        <v>38</v>
      </c>
      <c r="S27" s="1160"/>
      <c r="T27" s="1161"/>
      <c r="U27" s="1161"/>
      <c r="V27" s="1161"/>
      <c r="W27" s="1161"/>
      <c r="X27" s="1161"/>
      <c r="Y27" s="1162">
        <f t="shared" si="4"/>
        <v>0</v>
      </c>
      <c r="Z27" s="1181">
        <f t="shared" si="5"/>
        <v>201</v>
      </c>
      <c r="AA27" s="1181">
        <f t="shared" si="6"/>
        <v>201</v>
      </c>
      <c r="AD27" s="1163">
        <f t="shared" si="7"/>
        <v>0.32258064516129031</v>
      </c>
      <c r="AE27" s="1184">
        <f t="shared" si="8"/>
        <v>0.1111111111111111</v>
      </c>
      <c r="AF27" s="1164">
        <f t="shared" si="9"/>
        <v>0.1111111111111111</v>
      </c>
      <c r="AG27" s="1164">
        <f t="shared" si="10"/>
        <v>6.25E-2</v>
      </c>
      <c r="AH27" s="1164">
        <f t="shared" si="11"/>
        <v>0.14285714285714285</v>
      </c>
      <c r="AI27" s="1164">
        <f t="shared" si="12"/>
        <v>0.42857142857142855</v>
      </c>
      <c r="AJ27" s="1165">
        <f t="shared" si="13"/>
        <v>0.1890547263681592</v>
      </c>
    </row>
    <row r="28" spans="1:36">
      <c r="A28" s="189" t="s">
        <v>59</v>
      </c>
      <c r="B28" s="190" t="s">
        <v>60</v>
      </c>
      <c r="C28" s="191" t="s">
        <v>276</v>
      </c>
      <c r="E28" s="1160">
        <v>4</v>
      </c>
      <c r="F28" s="1161">
        <v>1</v>
      </c>
      <c r="G28" s="1161">
        <v>5</v>
      </c>
      <c r="H28" s="1161"/>
      <c r="I28" s="1161">
        <v>6</v>
      </c>
      <c r="J28" s="1161"/>
      <c r="K28" s="1162">
        <f t="shared" si="2"/>
        <v>16</v>
      </c>
      <c r="L28" s="1160">
        <v>1</v>
      </c>
      <c r="M28" s="1161"/>
      <c r="N28" s="1161"/>
      <c r="O28" s="1161"/>
      <c r="P28" s="1161">
        <v>1</v>
      </c>
      <c r="Q28" s="1161"/>
      <c r="R28" s="1162">
        <f t="shared" si="3"/>
        <v>2</v>
      </c>
      <c r="S28" s="1160"/>
      <c r="T28" s="1161"/>
      <c r="U28" s="1161"/>
      <c r="V28" s="1161"/>
      <c r="W28" s="1161"/>
      <c r="X28" s="1161"/>
      <c r="Y28" s="1162">
        <f t="shared" si="4"/>
        <v>0</v>
      </c>
      <c r="Z28" s="1181">
        <f t="shared" si="5"/>
        <v>18</v>
      </c>
      <c r="AA28" s="1181">
        <f t="shared" si="6"/>
        <v>18</v>
      </c>
      <c r="AD28" s="1163">
        <f t="shared" si="7"/>
        <v>0.2</v>
      </c>
      <c r="AE28" s="1184">
        <f t="shared" si="8"/>
        <v>0</v>
      </c>
      <c r="AF28" s="1164">
        <f t="shared" si="9"/>
        <v>0.14285714285714285</v>
      </c>
      <c r="AG28" s="1164" t="str">
        <f t="shared" si="10"/>
        <v>NA</v>
      </c>
      <c r="AH28" s="1164">
        <f t="shared" si="11"/>
        <v>0</v>
      </c>
      <c r="AI28" s="1164" t="str">
        <f t="shared" si="12"/>
        <v>NA</v>
      </c>
      <c r="AJ28" s="1165">
        <f t="shared" si="13"/>
        <v>0.1111111111111111</v>
      </c>
    </row>
    <row r="29" spans="1:36">
      <c r="A29" s="189" t="s">
        <v>61</v>
      </c>
      <c r="B29" s="190" t="s">
        <v>62</v>
      </c>
      <c r="C29" s="191" t="s">
        <v>273</v>
      </c>
      <c r="E29" s="1160">
        <v>1</v>
      </c>
      <c r="F29" s="1161">
        <v>1</v>
      </c>
      <c r="G29" s="1161">
        <v>2</v>
      </c>
      <c r="H29" s="1161">
        <v>16</v>
      </c>
      <c r="I29" s="1161">
        <v>3</v>
      </c>
      <c r="J29" s="1161">
        <v>1</v>
      </c>
      <c r="K29" s="1162">
        <f t="shared" si="2"/>
        <v>24</v>
      </c>
      <c r="L29" s="1160"/>
      <c r="M29" s="1161"/>
      <c r="N29" s="1161"/>
      <c r="O29" s="1161">
        <v>1</v>
      </c>
      <c r="P29" s="1161"/>
      <c r="Q29" s="1161"/>
      <c r="R29" s="1162">
        <f t="shared" si="3"/>
        <v>1</v>
      </c>
      <c r="S29" s="1160"/>
      <c r="T29" s="1161"/>
      <c r="U29" s="1161"/>
      <c r="V29" s="1161"/>
      <c r="W29" s="1161"/>
      <c r="X29" s="1161"/>
      <c r="Y29" s="1162">
        <f t="shared" si="4"/>
        <v>0</v>
      </c>
      <c r="Z29" s="1181">
        <f t="shared" si="5"/>
        <v>25</v>
      </c>
      <c r="AA29" s="1181">
        <f t="shared" si="6"/>
        <v>25</v>
      </c>
      <c r="AD29" s="1163">
        <f t="shared" si="7"/>
        <v>0</v>
      </c>
      <c r="AE29" s="1184">
        <f t="shared" si="8"/>
        <v>0</v>
      </c>
      <c r="AF29" s="1164">
        <f t="shared" si="9"/>
        <v>0</v>
      </c>
      <c r="AG29" s="1164">
        <f t="shared" si="10"/>
        <v>0</v>
      </c>
      <c r="AH29" s="1164">
        <f t="shared" si="11"/>
        <v>0</v>
      </c>
      <c r="AI29" s="1164">
        <f t="shared" si="12"/>
        <v>5.8823529411764705E-2</v>
      </c>
      <c r="AJ29" s="1165">
        <f t="shared" si="13"/>
        <v>0.04</v>
      </c>
    </row>
    <row r="30" spans="1:36">
      <c r="A30" s="189" t="s">
        <v>63</v>
      </c>
      <c r="B30" s="190" t="s">
        <v>64</v>
      </c>
      <c r="C30" s="191" t="s">
        <v>276</v>
      </c>
      <c r="E30" s="1160">
        <v>18</v>
      </c>
      <c r="F30" s="1161">
        <v>1</v>
      </c>
      <c r="G30" s="1161">
        <v>14</v>
      </c>
      <c r="H30" s="1161">
        <v>1</v>
      </c>
      <c r="I30" s="1161">
        <v>11</v>
      </c>
      <c r="J30" s="1161">
        <v>2</v>
      </c>
      <c r="K30" s="1162">
        <f t="shared" si="2"/>
        <v>47</v>
      </c>
      <c r="L30" s="1160">
        <v>1</v>
      </c>
      <c r="M30" s="1161"/>
      <c r="N30" s="1161">
        <v>1</v>
      </c>
      <c r="O30" s="1161"/>
      <c r="P30" s="1161">
        <v>1</v>
      </c>
      <c r="Q30" s="1161"/>
      <c r="R30" s="1162">
        <f t="shared" si="3"/>
        <v>3</v>
      </c>
      <c r="S30" s="1160"/>
      <c r="T30" s="1161"/>
      <c r="U30" s="1161"/>
      <c r="V30" s="1161"/>
      <c r="W30" s="1161"/>
      <c r="X30" s="1161"/>
      <c r="Y30" s="1162">
        <f t="shared" si="4"/>
        <v>0</v>
      </c>
      <c r="Z30" s="1181">
        <f t="shared" si="5"/>
        <v>50</v>
      </c>
      <c r="AA30" s="1181">
        <f t="shared" si="6"/>
        <v>50</v>
      </c>
      <c r="AD30" s="1163">
        <f t="shared" si="7"/>
        <v>5.2631578947368418E-2</v>
      </c>
      <c r="AE30" s="1184">
        <f t="shared" si="8"/>
        <v>0</v>
      </c>
      <c r="AF30" s="1164">
        <f t="shared" si="9"/>
        <v>8.3333333333333329E-2</v>
      </c>
      <c r="AG30" s="1164">
        <f t="shared" si="10"/>
        <v>0</v>
      </c>
      <c r="AH30" s="1164">
        <f t="shared" si="11"/>
        <v>6.6666666666666666E-2</v>
      </c>
      <c r="AI30" s="1164">
        <f t="shared" si="12"/>
        <v>0</v>
      </c>
      <c r="AJ30" s="1165">
        <f t="shared" si="13"/>
        <v>0.06</v>
      </c>
    </row>
    <row r="31" spans="1:36">
      <c r="A31" s="189" t="s">
        <v>65</v>
      </c>
      <c r="B31" s="190" t="s">
        <v>66</v>
      </c>
      <c r="C31" s="191" t="s">
        <v>275</v>
      </c>
      <c r="E31" s="1160">
        <v>5</v>
      </c>
      <c r="F31" s="1161">
        <v>2</v>
      </c>
      <c r="G31" s="1161">
        <v>4</v>
      </c>
      <c r="H31" s="1161"/>
      <c r="I31" s="1161">
        <v>5</v>
      </c>
      <c r="J31" s="1161">
        <v>1</v>
      </c>
      <c r="K31" s="1162">
        <f t="shared" si="2"/>
        <v>17</v>
      </c>
      <c r="L31" s="1160"/>
      <c r="M31" s="1161"/>
      <c r="N31" s="1161">
        <v>1</v>
      </c>
      <c r="O31" s="1161"/>
      <c r="P31" s="1161">
        <v>1</v>
      </c>
      <c r="Q31" s="1161"/>
      <c r="R31" s="1162">
        <f t="shared" si="3"/>
        <v>2</v>
      </c>
      <c r="S31" s="1160"/>
      <c r="T31" s="1161"/>
      <c r="U31" s="1161"/>
      <c r="V31" s="1161"/>
      <c r="W31" s="1161"/>
      <c r="X31" s="1161"/>
      <c r="Y31" s="1162">
        <f t="shared" si="4"/>
        <v>0</v>
      </c>
      <c r="Z31" s="1181">
        <f t="shared" si="5"/>
        <v>19</v>
      </c>
      <c r="AA31" s="1181">
        <f t="shared" si="6"/>
        <v>19</v>
      </c>
      <c r="AD31" s="1163">
        <f t="shared" si="7"/>
        <v>0</v>
      </c>
      <c r="AE31" s="1184">
        <f t="shared" si="8"/>
        <v>0</v>
      </c>
      <c r="AF31" s="1164">
        <f t="shared" si="9"/>
        <v>0.16666666666666666</v>
      </c>
      <c r="AG31" s="1164">
        <f t="shared" si="10"/>
        <v>0</v>
      </c>
      <c r="AH31" s="1164">
        <f t="shared" si="11"/>
        <v>0.2</v>
      </c>
      <c r="AI31" s="1164" t="str">
        <f t="shared" si="12"/>
        <v>NA</v>
      </c>
      <c r="AJ31" s="1165">
        <f t="shared" si="13"/>
        <v>0.10526315789473684</v>
      </c>
    </row>
    <row r="32" spans="1:36">
      <c r="A32" s="189" t="s">
        <v>69</v>
      </c>
      <c r="B32" s="190" t="s">
        <v>70</v>
      </c>
      <c r="C32" s="191" t="s">
        <v>278</v>
      </c>
      <c r="E32" s="1160">
        <v>14</v>
      </c>
      <c r="F32" s="1161">
        <v>4</v>
      </c>
      <c r="G32" s="1161">
        <v>6</v>
      </c>
      <c r="H32" s="1161">
        <v>1</v>
      </c>
      <c r="I32" s="1161">
        <v>12</v>
      </c>
      <c r="J32" s="1161">
        <v>2</v>
      </c>
      <c r="K32" s="1162">
        <f t="shared" si="2"/>
        <v>39</v>
      </c>
      <c r="L32" s="1160">
        <v>1</v>
      </c>
      <c r="M32" s="1161"/>
      <c r="N32" s="1161">
        <v>1</v>
      </c>
      <c r="O32" s="1161"/>
      <c r="P32" s="1161">
        <v>1</v>
      </c>
      <c r="Q32" s="1161"/>
      <c r="R32" s="1162">
        <f t="shared" si="3"/>
        <v>3</v>
      </c>
      <c r="S32" s="1160">
        <v>1</v>
      </c>
      <c r="T32" s="1161"/>
      <c r="U32" s="1161"/>
      <c r="V32" s="1161"/>
      <c r="W32" s="1161"/>
      <c r="X32" s="1161"/>
      <c r="Y32" s="1162">
        <f t="shared" si="4"/>
        <v>1</v>
      </c>
      <c r="Z32" s="1181">
        <f t="shared" si="5"/>
        <v>43</v>
      </c>
      <c r="AA32" s="1181">
        <f t="shared" si="6"/>
        <v>42</v>
      </c>
      <c r="AD32" s="1163">
        <f t="shared" si="7"/>
        <v>6.6666666666666666E-2</v>
      </c>
      <c r="AE32" s="1184">
        <f t="shared" si="8"/>
        <v>0</v>
      </c>
      <c r="AF32" s="1164">
        <f t="shared" si="9"/>
        <v>7.6923076923076927E-2</v>
      </c>
      <c r="AG32" s="1164">
        <f t="shared" si="10"/>
        <v>0</v>
      </c>
      <c r="AH32" s="1164">
        <f t="shared" si="11"/>
        <v>0.14285714285714285</v>
      </c>
      <c r="AI32" s="1164">
        <f t="shared" si="12"/>
        <v>0</v>
      </c>
      <c r="AJ32" s="1165">
        <f t="shared" si="13"/>
        <v>7.1428571428571425E-2</v>
      </c>
    </row>
    <row r="33" spans="1:36">
      <c r="A33" s="189" t="s">
        <v>71</v>
      </c>
      <c r="B33" s="190" t="s">
        <v>72</v>
      </c>
      <c r="C33" s="191" t="s">
        <v>272</v>
      </c>
      <c r="E33" s="1160">
        <v>11</v>
      </c>
      <c r="F33" s="1161">
        <v>2</v>
      </c>
      <c r="G33" s="1161">
        <v>6</v>
      </c>
      <c r="H33" s="1161"/>
      <c r="I33" s="1161">
        <v>7</v>
      </c>
      <c r="J33" s="1161">
        <v>1</v>
      </c>
      <c r="K33" s="1162">
        <f t="shared" si="2"/>
        <v>27</v>
      </c>
      <c r="L33" s="1160">
        <v>2</v>
      </c>
      <c r="M33" s="1161"/>
      <c r="N33" s="1161">
        <v>1</v>
      </c>
      <c r="O33" s="1161"/>
      <c r="P33" s="1161">
        <v>3</v>
      </c>
      <c r="Q33" s="1161"/>
      <c r="R33" s="1162">
        <f t="shared" si="3"/>
        <v>6</v>
      </c>
      <c r="S33" s="1160"/>
      <c r="T33" s="1161"/>
      <c r="U33" s="1161"/>
      <c r="V33" s="1161">
        <v>1</v>
      </c>
      <c r="W33" s="1161"/>
      <c r="X33" s="1161"/>
      <c r="Y33" s="1162">
        <f t="shared" si="4"/>
        <v>1</v>
      </c>
      <c r="Z33" s="1181">
        <f t="shared" si="5"/>
        <v>34</v>
      </c>
      <c r="AA33" s="1181">
        <f t="shared" si="6"/>
        <v>33</v>
      </c>
      <c r="AD33" s="1163">
        <f t="shared" si="7"/>
        <v>0.15384615384615385</v>
      </c>
      <c r="AE33" s="1184">
        <f t="shared" si="8"/>
        <v>0</v>
      </c>
      <c r="AF33" s="1164">
        <f t="shared" si="9"/>
        <v>0.3</v>
      </c>
      <c r="AG33" s="1164">
        <f t="shared" si="10"/>
        <v>0</v>
      </c>
      <c r="AH33" s="1164">
        <f t="shared" si="11"/>
        <v>0.14285714285714285</v>
      </c>
      <c r="AI33" s="1164" t="str">
        <f t="shared" si="12"/>
        <v>NA</v>
      </c>
      <c r="AJ33" s="1165">
        <f t="shared" si="13"/>
        <v>0.18181818181818182</v>
      </c>
    </row>
    <row r="34" spans="1:36">
      <c r="A34" s="189" t="s">
        <v>73</v>
      </c>
      <c r="B34" s="190" t="s">
        <v>74</v>
      </c>
      <c r="C34" s="191" t="s">
        <v>275</v>
      </c>
      <c r="E34" s="1160">
        <v>7</v>
      </c>
      <c r="F34" s="1161">
        <v>1</v>
      </c>
      <c r="G34" s="1161">
        <v>5</v>
      </c>
      <c r="H34" s="1161"/>
      <c r="I34" s="1161">
        <v>4</v>
      </c>
      <c r="J34" s="1161">
        <v>2</v>
      </c>
      <c r="K34" s="1162">
        <f t="shared" si="2"/>
        <v>19</v>
      </c>
      <c r="L34" s="1160"/>
      <c r="M34" s="1161"/>
      <c r="N34" s="1161"/>
      <c r="O34" s="1161"/>
      <c r="P34" s="1161">
        <v>4</v>
      </c>
      <c r="Q34" s="1161"/>
      <c r="R34" s="1162">
        <f t="shared" si="3"/>
        <v>4</v>
      </c>
      <c r="S34" s="1160"/>
      <c r="T34" s="1161"/>
      <c r="U34" s="1161"/>
      <c r="V34" s="1161"/>
      <c r="W34" s="1161"/>
      <c r="X34" s="1161"/>
      <c r="Y34" s="1162">
        <f t="shared" si="4"/>
        <v>0</v>
      </c>
      <c r="Z34" s="1181">
        <f t="shared" si="5"/>
        <v>23</v>
      </c>
      <c r="AA34" s="1181">
        <f t="shared" si="6"/>
        <v>23</v>
      </c>
      <c r="AD34" s="1163">
        <f t="shared" si="7"/>
        <v>0</v>
      </c>
      <c r="AE34" s="1184">
        <f t="shared" si="8"/>
        <v>0</v>
      </c>
      <c r="AF34" s="1164">
        <f t="shared" si="9"/>
        <v>0.5</v>
      </c>
      <c r="AG34" s="1164">
        <f t="shared" si="10"/>
        <v>0</v>
      </c>
      <c r="AH34" s="1164">
        <f t="shared" si="11"/>
        <v>0</v>
      </c>
      <c r="AI34" s="1164" t="str">
        <f t="shared" si="12"/>
        <v>NA</v>
      </c>
      <c r="AJ34" s="1165">
        <f t="shared" si="13"/>
        <v>0.17391304347826086</v>
      </c>
    </row>
    <row r="35" spans="1:36">
      <c r="A35" s="189" t="s">
        <v>75</v>
      </c>
      <c r="B35" s="190" t="s">
        <v>885</v>
      </c>
      <c r="C35" s="191" t="s">
        <v>276</v>
      </c>
      <c r="E35" s="1160">
        <v>202</v>
      </c>
      <c r="F35" s="1161">
        <v>66</v>
      </c>
      <c r="G35" s="1161">
        <v>147</v>
      </c>
      <c r="H35" s="1161">
        <v>115</v>
      </c>
      <c r="I35" s="1161">
        <v>245</v>
      </c>
      <c r="J35" s="1161">
        <v>72</v>
      </c>
      <c r="K35" s="1162">
        <f t="shared" si="2"/>
        <v>847</v>
      </c>
      <c r="L35" s="1160">
        <v>53</v>
      </c>
      <c r="M35" s="1161">
        <v>12</v>
      </c>
      <c r="N35" s="1161">
        <v>29</v>
      </c>
      <c r="O35" s="1161">
        <v>23</v>
      </c>
      <c r="P35" s="1161">
        <v>71</v>
      </c>
      <c r="Q35" s="1161">
        <v>19</v>
      </c>
      <c r="R35" s="1162">
        <f t="shared" si="3"/>
        <v>207</v>
      </c>
      <c r="S35" s="1160">
        <v>4</v>
      </c>
      <c r="T35" s="1161"/>
      <c r="U35" s="1161">
        <v>8</v>
      </c>
      <c r="V35" s="1161"/>
      <c r="W35" s="1161"/>
      <c r="X35" s="1161"/>
      <c r="Y35" s="1162">
        <f t="shared" si="4"/>
        <v>12</v>
      </c>
      <c r="Z35" s="1183">
        <f t="shared" si="5"/>
        <v>1066</v>
      </c>
      <c r="AA35" s="1183">
        <f t="shared" si="6"/>
        <v>1054</v>
      </c>
      <c r="AD35" s="1163">
        <f t="shared" si="7"/>
        <v>0.20784313725490197</v>
      </c>
      <c r="AE35" s="1184">
        <f t="shared" si="8"/>
        <v>0.15384615384615385</v>
      </c>
      <c r="AF35" s="1164">
        <f t="shared" si="9"/>
        <v>0.22468354430379747</v>
      </c>
      <c r="AG35" s="1164">
        <f t="shared" si="10"/>
        <v>0.2087912087912088</v>
      </c>
      <c r="AH35" s="1164">
        <f t="shared" si="11"/>
        <v>0.16477272727272727</v>
      </c>
      <c r="AI35" s="1164">
        <f t="shared" si="12"/>
        <v>0.16666666666666666</v>
      </c>
      <c r="AJ35" s="1165">
        <f t="shared" si="13"/>
        <v>0.19639468690702086</v>
      </c>
    </row>
    <row r="36" spans="1:36">
      <c r="A36" s="189" t="s">
        <v>77</v>
      </c>
      <c r="B36" s="190" t="s">
        <v>78</v>
      </c>
      <c r="C36" s="191" t="s">
        <v>276</v>
      </c>
      <c r="E36" s="1160">
        <v>16</v>
      </c>
      <c r="F36" s="1161"/>
      <c r="G36" s="1161">
        <v>12</v>
      </c>
      <c r="H36" s="1161">
        <v>3</v>
      </c>
      <c r="I36" s="1161">
        <v>17</v>
      </c>
      <c r="J36" s="1161">
        <v>1</v>
      </c>
      <c r="K36" s="1162">
        <f t="shared" si="2"/>
        <v>49</v>
      </c>
      <c r="L36" s="1160"/>
      <c r="M36" s="1161"/>
      <c r="N36" s="1161">
        <v>1</v>
      </c>
      <c r="O36" s="1161">
        <v>1</v>
      </c>
      <c r="P36" s="1161">
        <v>1</v>
      </c>
      <c r="Q36" s="1161"/>
      <c r="R36" s="1162">
        <f t="shared" si="3"/>
        <v>3</v>
      </c>
      <c r="S36" s="1160"/>
      <c r="T36" s="1161"/>
      <c r="U36" s="1161"/>
      <c r="V36" s="1161"/>
      <c r="W36" s="1161"/>
      <c r="X36" s="1161"/>
      <c r="Y36" s="1162">
        <f t="shared" si="4"/>
        <v>0</v>
      </c>
      <c r="Z36" s="1181">
        <f t="shared" si="5"/>
        <v>52</v>
      </c>
      <c r="AA36" s="1181">
        <f t="shared" si="6"/>
        <v>52</v>
      </c>
      <c r="AD36" s="1163">
        <f t="shared" si="7"/>
        <v>0</v>
      </c>
      <c r="AE36" s="1184" t="str">
        <f t="shared" si="8"/>
        <v>NA</v>
      </c>
      <c r="AF36" s="1164">
        <f t="shared" si="9"/>
        <v>5.5555555555555552E-2</v>
      </c>
      <c r="AG36" s="1164">
        <f t="shared" si="10"/>
        <v>0</v>
      </c>
      <c r="AH36" s="1164">
        <f t="shared" si="11"/>
        <v>7.6923076923076927E-2</v>
      </c>
      <c r="AI36" s="1164">
        <f t="shared" si="12"/>
        <v>0.25</v>
      </c>
      <c r="AJ36" s="1165">
        <f t="shared" si="13"/>
        <v>5.7692307692307696E-2</v>
      </c>
    </row>
    <row r="37" spans="1:36">
      <c r="A37" s="189" t="s">
        <v>79</v>
      </c>
      <c r="B37" s="190" t="s">
        <v>80</v>
      </c>
      <c r="C37" s="191" t="s">
        <v>278</v>
      </c>
      <c r="E37" s="1160">
        <v>6</v>
      </c>
      <c r="F37" s="1161"/>
      <c r="G37" s="1161">
        <v>3</v>
      </c>
      <c r="H37" s="1161"/>
      <c r="I37" s="1161">
        <v>5</v>
      </c>
      <c r="J37" s="1161"/>
      <c r="K37" s="1162">
        <f t="shared" si="2"/>
        <v>14</v>
      </c>
      <c r="L37" s="1160">
        <v>1</v>
      </c>
      <c r="M37" s="1161"/>
      <c r="N37" s="1161"/>
      <c r="O37" s="1161"/>
      <c r="P37" s="1161"/>
      <c r="Q37" s="1161"/>
      <c r="R37" s="1162">
        <f t="shared" si="3"/>
        <v>1</v>
      </c>
      <c r="S37" s="1160"/>
      <c r="T37" s="1161"/>
      <c r="U37" s="1161"/>
      <c r="V37" s="1161"/>
      <c r="W37" s="1161"/>
      <c r="X37" s="1161"/>
      <c r="Y37" s="1162">
        <f t="shared" si="4"/>
        <v>0</v>
      </c>
      <c r="Z37" s="1181">
        <f t="shared" si="5"/>
        <v>15</v>
      </c>
      <c r="AA37" s="1181">
        <f t="shared" si="6"/>
        <v>15</v>
      </c>
      <c r="AD37" s="1163">
        <f t="shared" si="7"/>
        <v>0.14285714285714285</v>
      </c>
      <c r="AE37" s="1184" t="str">
        <f t="shared" si="8"/>
        <v>NA</v>
      </c>
      <c r="AF37" s="1164">
        <f t="shared" si="9"/>
        <v>0</v>
      </c>
      <c r="AG37" s="1164" t="str">
        <f t="shared" si="10"/>
        <v>NA</v>
      </c>
      <c r="AH37" s="1164">
        <f t="shared" si="11"/>
        <v>0</v>
      </c>
      <c r="AI37" s="1164" t="str">
        <f t="shared" si="12"/>
        <v>NA</v>
      </c>
      <c r="AJ37" s="1165">
        <f t="shared" si="13"/>
        <v>6.6666666666666666E-2</v>
      </c>
    </row>
    <row r="38" spans="1:36">
      <c r="A38" s="189" t="s">
        <v>81</v>
      </c>
      <c r="B38" s="190" t="s">
        <v>82</v>
      </c>
      <c r="C38" s="191" t="s">
        <v>275</v>
      </c>
      <c r="E38" s="1160">
        <v>6</v>
      </c>
      <c r="F38" s="1161">
        <v>1</v>
      </c>
      <c r="G38" s="1161">
        <v>7</v>
      </c>
      <c r="H38" s="1161"/>
      <c r="I38" s="1161">
        <v>11</v>
      </c>
      <c r="J38" s="1161">
        <v>1</v>
      </c>
      <c r="K38" s="1162">
        <f t="shared" si="2"/>
        <v>26</v>
      </c>
      <c r="L38" s="1160">
        <v>1</v>
      </c>
      <c r="M38" s="1161"/>
      <c r="N38" s="1161">
        <v>2</v>
      </c>
      <c r="O38" s="1161"/>
      <c r="P38" s="1161"/>
      <c r="Q38" s="1161">
        <v>1</v>
      </c>
      <c r="R38" s="1162">
        <f t="shared" si="3"/>
        <v>4</v>
      </c>
      <c r="S38" s="1160"/>
      <c r="T38" s="1161"/>
      <c r="U38" s="1161"/>
      <c r="V38" s="1161"/>
      <c r="W38" s="1161"/>
      <c r="X38" s="1161"/>
      <c r="Y38" s="1162">
        <f t="shared" si="4"/>
        <v>0</v>
      </c>
      <c r="Z38" s="1181">
        <f t="shared" si="5"/>
        <v>30</v>
      </c>
      <c r="AA38" s="1181">
        <f t="shared" si="6"/>
        <v>30</v>
      </c>
      <c r="AD38" s="1163">
        <f t="shared" si="7"/>
        <v>0.14285714285714285</v>
      </c>
      <c r="AE38" s="1184">
        <f t="shared" si="8"/>
        <v>0</v>
      </c>
      <c r="AF38" s="1164">
        <f t="shared" si="9"/>
        <v>0</v>
      </c>
      <c r="AG38" s="1164">
        <f t="shared" si="10"/>
        <v>0.5</v>
      </c>
      <c r="AH38" s="1164">
        <f t="shared" si="11"/>
        <v>0.22222222222222221</v>
      </c>
      <c r="AI38" s="1164" t="str">
        <f t="shared" si="12"/>
        <v>NA</v>
      </c>
      <c r="AJ38" s="1165">
        <f t="shared" si="13"/>
        <v>0.13333333333333333</v>
      </c>
    </row>
    <row r="39" spans="1:36">
      <c r="A39" s="189" t="s">
        <v>85</v>
      </c>
      <c r="B39" s="190" t="s">
        <v>387</v>
      </c>
      <c r="C39" s="191" t="s">
        <v>273</v>
      </c>
      <c r="E39" s="1160">
        <v>22</v>
      </c>
      <c r="F39" s="1161">
        <v>2</v>
      </c>
      <c r="G39" s="1161">
        <v>13</v>
      </c>
      <c r="H39" s="1161"/>
      <c r="I39" s="1161">
        <v>23</v>
      </c>
      <c r="J39" s="1161">
        <v>4</v>
      </c>
      <c r="K39" s="1162">
        <f t="shared" si="2"/>
        <v>64</v>
      </c>
      <c r="L39" s="1160">
        <v>4</v>
      </c>
      <c r="M39" s="1161"/>
      <c r="N39" s="1161">
        <v>2</v>
      </c>
      <c r="O39" s="1161"/>
      <c r="P39" s="1161">
        <v>1</v>
      </c>
      <c r="Q39" s="1161"/>
      <c r="R39" s="1162">
        <f t="shared" si="3"/>
        <v>7</v>
      </c>
      <c r="S39" s="1160"/>
      <c r="T39" s="1161"/>
      <c r="U39" s="1161"/>
      <c r="V39" s="1161"/>
      <c r="W39" s="1161"/>
      <c r="X39" s="1161"/>
      <c r="Y39" s="1162">
        <f t="shared" si="4"/>
        <v>0</v>
      </c>
      <c r="Z39" s="1181">
        <f t="shared" si="5"/>
        <v>71</v>
      </c>
      <c r="AA39" s="1181">
        <f t="shared" si="6"/>
        <v>71</v>
      </c>
      <c r="AD39" s="1163">
        <f t="shared" si="7"/>
        <v>0.15384615384615385</v>
      </c>
      <c r="AE39" s="1184">
        <f t="shared" si="8"/>
        <v>0</v>
      </c>
      <c r="AF39" s="1164">
        <f t="shared" si="9"/>
        <v>4.1666666666666664E-2</v>
      </c>
      <c r="AG39" s="1164">
        <f t="shared" si="10"/>
        <v>0</v>
      </c>
      <c r="AH39" s="1164">
        <f t="shared" si="11"/>
        <v>0.13333333333333333</v>
      </c>
      <c r="AI39" s="1164" t="str">
        <f t="shared" si="12"/>
        <v>NA</v>
      </c>
      <c r="AJ39" s="1165">
        <f t="shared" si="13"/>
        <v>9.8591549295774641E-2</v>
      </c>
    </row>
    <row r="40" spans="1:36">
      <c r="A40" s="189" t="s">
        <v>87</v>
      </c>
      <c r="B40" s="190" t="s">
        <v>88</v>
      </c>
      <c r="C40" s="191" t="s">
        <v>276</v>
      </c>
      <c r="E40" s="1160">
        <v>23</v>
      </c>
      <c r="F40" s="1161">
        <v>2</v>
      </c>
      <c r="G40" s="1161">
        <v>10</v>
      </c>
      <c r="H40" s="1161"/>
      <c r="I40" s="1161">
        <v>21</v>
      </c>
      <c r="J40" s="1161">
        <v>2</v>
      </c>
      <c r="K40" s="1162">
        <f t="shared" si="2"/>
        <v>58</v>
      </c>
      <c r="L40" s="1160"/>
      <c r="M40" s="1161"/>
      <c r="N40" s="1161"/>
      <c r="O40" s="1161"/>
      <c r="P40" s="1161"/>
      <c r="Q40" s="1161"/>
      <c r="R40" s="1162">
        <f t="shared" si="3"/>
        <v>0</v>
      </c>
      <c r="S40" s="1160"/>
      <c r="T40" s="1161"/>
      <c r="U40" s="1161"/>
      <c r="V40" s="1161"/>
      <c r="W40" s="1161"/>
      <c r="X40" s="1161"/>
      <c r="Y40" s="1162">
        <f t="shared" si="4"/>
        <v>0</v>
      </c>
      <c r="Z40" s="1181">
        <f t="shared" si="5"/>
        <v>58</v>
      </c>
      <c r="AA40" s="1181">
        <f t="shared" si="6"/>
        <v>58</v>
      </c>
      <c r="AD40" s="1163">
        <f t="shared" si="7"/>
        <v>0</v>
      </c>
      <c r="AE40" s="1184">
        <f t="shared" si="8"/>
        <v>0</v>
      </c>
      <c r="AF40" s="1164">
        <f t="shared" si="9"/>
        <v>0</v>
      </c>
      <c r="AG40" s="1164">
        <f t="shared" si="10"/>
        <v>0</v>
      </c>
      <c r="AH40" s="1164">
        <f t="shared" si="11"/>
        <v>0</v>
      </c>
      <c r="AI40" s="1164" t="str">
        <f t="shared" si="12"/>
        <v>NA</v>
      </c>
      <c r="AJ40" s="1165">
        <f t="shared" si="13"/>
        <v>0</v>
      </c>
    </row>
    <row r="41" spans="1:36">
      <c r="A41" s="189" t="s">
        <v>93</v>
      </c>
      <c r="B41" s="190" t="s">
        <v>94</v>
      </c>
      <c r="C41" s="191" t="s">
        <v>278</v>
      </c>
      <c r="E41" s="1160">
        <v>9</v>
      </c>
      <c r="F41" s="1161">
        <v>1</v>
      </c>
      <c r="G41" s="1161">
        <v>5</v>
      </c>
      <c r="H41" s="1161"/>
      <c r="I41" s="1161">
        <v>7</v>
      </c>
      <c r="J41" s="1161">
        <v>1</v>
      </c>
      <c r="K41" s="1162">
        <f t="shared" si="2"/>
        <v>23</v>
      </c>
      <c r="L41" s="1160">
        <v>2</v>
      </c>
      <c r="M41" s="1161"/>
      <c r="N41" s="1161"/>
      <c r="O41" s="1161"/>
      <c r="P41" s="1161">
        <v>1</v>
      </c>
      <c r="Q41" s="1161"/>
      <c r="R41" s="1162">
        <f t="shared" si="3"/>
        <v>3</v>
      </c>
      <c r="S41" s="1160"/>
      <c r="T41" s="1161"/>
      <c r="U41" s="1161"/>
      <c r="V41" s="1161"/>
      <c r="W41" s="1161"/>
      <c r="X41" s="1161"/>
      <c r="Y41" s="1162">
        <f t="shared" si="4"/>
        <v>0</v>
      </c>
      <c r="Z41" s="1181">
        <f t="shared" si="5"/>
        <v>26</v>
      </c>
      <c r="AA41" s="1181">
        <f t="shared" si="6"/>
        <v>26</v>
      </c>
      <c r="AD41" s="1163">
        <f t="shared" si="7"/>
        <v>0.18181818181818182</v>
      </c>
      <c r="AE41" s="1184">
        <f t="shared" si="8"/>
        <v>0</v>
      </c>
      <c r="AF41" s="1164">
        <f t="shared" si="9"/>
        <v>0.125</v>
      </c>
      <c r="AG41" s="1164">
        <f t="shared" si="10"/>
        <v>0</v>
      </c>
      <c r="AH41" s="1164">
        <f t="shared" si="11"/>
        <v>0</v>
      </c>
      <c r="AI41" s="1164" t="str">
        <f t="shared" si="12"/>
        <v>NA</v>
      </c>
      <c r="AJ41" s="1165">
        <f t="shared" si="13"/>
        <v>0.11538461538461539</v>
      </c>
    </row>
    <row r="42" spans="1:36">
      <c r="A42" s="189" t="s">
        <v>95</v>
      </c>
      <c r="B42" s="190" t="s">
        <v>96</v>
      </c>
      <c r="C42" s="191" t="s">
        <v>272</v>
      </c>
      <c r="E42" s="1160">
        <v>12</v>
      </c>
      <c r="F42" s="1161">
        <v>1</v>
      </c>
      <c r="G42" s="1161">
        <v>10</v>
      </c>
      <c r="H42" s="1161"/>
      <c r="I42" s="1161">
        <v>10</v>
      </c>
      <c r="J42" s="1161">
        <v>2</v>
      </c>
      <c r="K42" s="1162">
        <f t="shared" si="2"/>
        <v>35</v>
      </c>
      <c r="L42" s="1160">
        <v>2</v>
      </c>
      <c r="M42" s="1161">
        <v>1</v>
      </c>
      <c r="N42" s="1161">
        <v>4</v>
      </c>
      <c r="O42" s="1161">
        <v>1</v>
      </c>
      <c r="P42" s="1161">
        <v>5</v>
      </c>
      <c r="Q42" s="1161"/>
      <c r="R42" s="1162">
        <f t="shared" si="3"/>
        <v>13</v>
      </c>
      <c r="S42" s="1160"/>
      <c r="T42" s="1161"/>
      <c r="U42" s="1161"/>
      <c r="V42" s="1161"/>
      <c r="W42" s="1161"/>
      <c r="X42" s="1161"/>
      <c r="Y42" s="1162">
        <f t="shared" si="4"/>
        <v>0</v>
      </c>
      <c r="Z42" s="1181">
        <f t="shared" si="5"/>
        <v>48</v>
      </c>
      <c r="AA42" s="1181">
        <f t="shared" si="6"/>
        <v>48</v>
      </c>
      <c r="AD42" s="1163">
        <f t="shared" si="7"/>
        <v>0.14285714285714285</v>
      </c>
      <c r="AE42" s="1184">
        <f t="shared" si="8"/>
        <v>0.5</v>
      </c>
      <c r="AF42" s="1164">
        <f t="shared" si="9"/>
        <v>0.33333333333333331</v>
      </c>
      <c r="AG42" s="1164">
        <f t="shared" si="10"/>
        <v>0</v>
      </c>
      <c r="AH42" s="1164">
        <f t="shared" si="11"/>
        <v>0.2857142857142857</v>
      </c>
      <c r="AI42" s="1164">
        <f t="shared" si="12"/>
        <v>1</v>
      </c>
      <c r="AJ42" s="1165">
        <f t="shared" si="13"/>
        <v>0.27083333333333331</v>
      </c>
    </row>
    <row r="43" spans="1:36">
      <c r="A43" s="189" t="s">
        <v>97</v>
      </c>
      <c r="B43" s="190" t="s">
        <v>98</v>
      </c>
      <c r="C43" s="191" t="s">
        <v>275</v>
      </c>
      <c r="E43" s="1160">
        <v>7</v>
      </c>
      <c r="F43" s="1161">
        <v>1</v>
      </c>
      <c r="G43" s="1161">
        <v>5</v>
      </c>
      <c r="H43" s="1161"/>
      <c r="I43" s="1161">
        <v>7</v>
      </c>
      <c r="J43" s="1161">
        <v>1</v>
      </c>
      <c r="K43" s="1162">
        <f t="shared" si="2"/>
        <v>21</v>
      </c>
      <c r="L43" s="1160"/>
      <c r="M43" s="1161"/>
      <c r="N43" s="1161">
        <v>1</v>
      </c>
      <c r="O43" s="1161"/>
      <c r="P43" s="1161"/>
      <c r="Q43" s="1161"/>
      <c r="R43" s="1162">
        <f t="shared" si="3"/>
        <v>1</v>
      </c>
      <c r="S43" s="1160"/>
      <c r="T43" s="1161"/>
      <c r="U43" s="1161"/>
      <c r="V43" s="1161"/>
      <c r="W43" s="1161"/>
      <c r="X43" s="1161"/>
      <c r="Y43" s="1162">
        <f t="shared" si="4"/>
        <v>0</v>
      </c>
      <c r="Z43" s="1181">
        <f t="shared" si="5"/>
        <v>22</v>
      </c>
      <c r="AA43" s="1181">
        <f t="shared" si="6"/>
        <v>22</v>
      </c>
      <c r="AD43" s="1163">
        <f t="shared" si="7"/>
        <v>0</v>
      </c>
      <c r="AE43" s="1184">
        <f t="shared" si="8"/>
        <v>0</v>
      </c>
      <c r="AF43" s="1164">
        <f t="shared" si="9"/>
        <v>0</v>
      </c>
      <c r="AG43" s="1164">
        <f t="shared" si="10"/>
        <v>0</v>
      </c>
      <c r="AH43" s="1164">
        <f t="shared" si="11"/>
        <v>0.16666666666666666</v>
      </c>
      <c r="AI43" s="1164" t="str">
        <f t="shared" si="12"/>
        <v>NA</v>
      </c>
      <c r="AJ43" s="1165">
        <f t="shared" si="13"/>
        <v>4.5454545454545456E-2</v>
      </c>
    </row>
    <row r="44" spans="1:36">
      <c r="A44" s="189" t="s">
        <v>99</v>
      </c>
      <c r="B44" s="190" t="s">
        <v>100</v>
      </c>
      <c r="C44" s="191" t="s">
        <v>278</v>
      </c>
      <c r="E44" s="1160">
        <v>8</v>
      </c>
      <c r="F44" s="1161">
        <v>1</v>
      </c>
      <c r="G44" s="1161">
        <v>6</v>
      </c>
      <c r="H44" s="1161"/>
      <c r="I44" s="1161">
        <v>7</v>
      </c>
      <c r="J44" s="1161">
        <v>1</v>
      </c>
      <c r="K44" s="1162">
        <f t="shared" si="2"/>
        <v>23</v>
      </c>
      <c r="L44" s="1160"/>
      <c r="M44" s="1161"/>
      <c r="N44" s="1161"/>
      <c r="O44" s="1161"/>
      <c r="P44" s="1161">
        <v>1</v>
      </c>
      <c r="Q44" s="1161"/>
      <c r="R44" s="1162">
        <f t="shared" si="3"/>
        <v>1</v>
      </c>
      <c r="S44" s="1160"/>
      <c r="T44" s="1161"/>
      <c r="U44" s="1161"/>
      <c r="V44" s="1161"/>
      <c r="W44" s="1161"/>
      <c r="X44" s="1161"/>
      <c r="Y44" s="1162">
        <f t="shared" si="4"/>
        <v>0</v>
      </c>
      <c r="Z44" s="1181">
        <f t="shared" si="5"/>
        <v>24</v>
      </c>
      <c r="AA44" s="1181">
        <f t="shared" si="6"/>
        <v>24</v>
      </c>
      <c r="AD44" s="1163">
        <f t="shared" si="7"/>
        <v>0</v>
      </c>
      <c r="AE44" s="1184">
        <f t="shared" si="8"/>
        <v>0</v>
      </c>
      <c r="AF44" s="1164">
        <f t="shared" si="9"/>
        <v>0.125</v>
      </c>
      <c r="AG44" s="1164">
        <f t="shared" si="10"/>
        <v>0</v>
      </c>
      <c r="AH44" s="1164">
        <f t="shared" si="11"/>
        <v>0</v>
      </c>
      <c r="AI44" s="1164" t="str">
        <f t="shared" si="12"/>
        <v>NA</v>
      </c>
      <c r="AJ44" s="1165">
        <f t="shared" si="13"/>
        <v>4.1666666666666664E-2</v>
      </c>
    </row>
    <row r="45" spans="1:36">
      <c r="A45" s="189" t="s">
        <v>101</v>
      </c>
      <c r="B45" s="190" t="s">
        <v>102</v>
      </c>
      <c r="C45" s="191" t="s">
        <v>276</v>
      </c>
      <c r="E45" s="1160">
        <v>5</v>
      </c>
      <c r="F45" s="1161">
        <v>2</v>
      </c>
      <c r="G45" s="1161">
        <v>6</v>
      </c>
      <c r="H45" s="1161"/>
      <c r="I45" s="1161">
        <v>6</v>
      </c>
      <c r="J45" s="1161">
        <v>1</v>
      </c>
      <c r="K45" s="1162">
        <f t="shared" si="2"/>
        <v>20</v>
      </c>
      <c r="L45" s="1160">
        <v>1</v>
      </c>
      <c r="M45" s="1161"/>
      <c r="N45" s="1161">
        <v>1</v>
      </c>
      <c r="O45" s="1161"/>
      <c r="P45" s="1161"/>
      <c r="Q45" s="1161"/>
      <c r="R45" s="1162">
        <f t="shared" si="3"/>
        <v>2</v>
      </c>
      <c r="S45" s="1160"/>
      <c r="T45" s="1161"/>
      <c r="U45" s="1161"/>
      <c r="V45" s="1161"/>
      <c r="W45" s="1161"/>
      <c r="X45" s="1161"/>
      <c r="Y45" s="1162">
        <f t="shared" si="4"/>
        <v>0</v>
      </c>
      <c r="Z45" s="1181">
        <f t="shared" si="5"/>
        <v>22</v>
      </c>
      <c r="AA45" s="1181">
        <f t="shared" si="6"/>
        <v>22</v>
      </c>
      <c r="AD45" s="1163">
        <f t="shared" si="7"/>
        <v>0.16666666666666666</v>
      </c>
      <c r="AE45" s="1184">
        <f t="shared" si="8"/>
        <v>0</v>
      </c>
      <c r="AF45" s="1164">
        <f t="shared" si="9"/>
        <v>0</v>
      </c>
      <c r="AG45" s="1164">
        <f t="shared" si="10"/>
        <v>0</v>
      </c>
      <c r="AH45" s="1164">
        <f t="shared" si="11"/>
        <v>0.14285714285714285</v>
      </c>
      <c r="AI45" s="1164" t="str">
        <f t="shared" si="12"/>
        <v>NA</v>
      </c>
      <c r="AJ45" s="1165">
        <f t="shared" si="13"/>
        <v>9.0909090909090912E-2</v>
      </c>
    </row>
    <row r="46" spans="1:36">
      <c r="A46" s="189" t="s">
        <v>103</v>
      </c>
      <c r="B46" s="190" t="s">
        <v>329</v>
      </c>
      <c r="C46" s="191" t="s">
        <v>272</v>
      </c>
      <c r="E46" s="1160">
        <v>12</v>
      </c>
      <c r="F46" s="1161">
        <v>2</v>
      </c>
      <c r="G46" s="1161">
        <v>8</v>
      </c>
      <c r="H46" s="1161"/>
      <c r="I46" s="1161">
        <v>8</v>
      </c>
      <c r="J46" s="1161">
        <v>1</v>
      </c>
      <c r="K46" s="1162">
        <f t="shared" si="2"/>
        <v>31</v>
      </c>
      <c r="L46" s="1160">
        <v>2</v>
      </c>
      <c r="M46" s="1161">
        <v>1</v>
      </c>
      <c r="N46" s="1161">
        <v>2</v>
      </c>
      <c r="O46" s="1161"/>
      <c r="P46" s="1161">
        <v>3</v>
      </c>
      <c r="Q46" s="1161"/>
      <c r="R46" s="1162">
        <f t="shared" si="3"/>
        <v>8</v>
      </c>
      <c r="S46" s="1160"/>
      <c r="T46" s="1161"/>
      <c r="U46" s="1161"/>
      <c r="V46" s="1161"/>
      <c r="W46" s="1161"/>
      <c r="X46" s="1161"/>
      <c r="Y46" s="1162">
        <f t="shared" si="4"/>
        <v>0</v>
      </c>
      <c r="Z46" s="1181">
        <f t="shared" si="5"/>
        <v>39</v>
      </c>
      <c r="AA46" s="1181">
        <f t="shared" si="6"/>
        <v>39</v>
      </c>
      <c r="AD46" s="1163">
        <f t="shared" si="7"/>
        <v>0.14285714285714285</v>
      </c>
      <c r="AE46" s="1184">
        <f t="shared" si="8"/>
        <v>0.33333333333333331</v>
      </c>
      <c r="AF46" s="1164">
        <f t="shared" si="9"/>
        <v>0.27272727272727271</v>
      </c>
      <c r="AG46" s="1164">
        <f t="shared" si="10"/>
        <v>0</v>
      </c>
      <c r="AH46" s="1164">
        <f t="shared" si="11"/>
        <v>0.2</v>
      </c>
      <c r="AI46" s="1164" t="str">
        <f t="shared" si="12"/>
        <v>NA</v>
      </c>
      <c r="AJ46" s="1165">
        <f t="shared" si="13"/>
        <v>0.20512820512820512</v>
      </c>
    </row>
    <row r="47" spans="1:36">
      <c r="A47" s="189" t="s">
        <v>105</v>
      </c>
      <c r="B47" s="190" t="s">
        <v>871</v>
      </c>
      <c r="C47" s="191" t="s">
        <v>273</v>
      </c>
      <c r="E47" s="1160">
        <v>23</v>
      </c>
      <c r="F47" s="1161">
        <v>2</v>
      </c>
      <c r="G47" s="1161">
        <v>9</v>
      </c>
      <c r="H47" s="1161">
        <v>1</v>
      </c>
      <c r="I47" s="1161">
        <v>18</v>
      </c>
      <c r="J47" s="1161">
        <v>2</v>
      </c>
      <c r="K47" s="1162">
        <f t="shared" si="2"/>
        <v>55</v>
      </c>
      <c r="L47" s="1160">
        <v>3</v>
      </c>
      <c r="M47" s="1161"/>
      <c r="N47" s="1161">
        <v>4</v>
      </c>
      <c r="O47" s="1161"/>
      <c r="P47" s="1161">
        <v>2</v>
      </c>
      <c r="Q47" s="1161"/>
      <c r="R47" s="1162">
        <f t="shared" si="3"/>
        <v>9</v>
      </c>
      <c r="S47" s="1160"/>
      <c r="T47" s="1161"/>
      <c r="U47" s="1161"/>
      <c r="V47" s="1161"/>
      <c r="W47" s="1161"/>
      <c r="X47" s="1161"/>
      <c r="Y47" s="1162">
        <f t="shared" si="4"/>
        <v>0</v>
      </c>
      <c r="Z47" s="1181">
        <f t="shared" si="5"/>
        <v>64</v>
      </c>
      <c r="AA47" s="1181">
        <f t="shared" si="6"/>
        <v>64</v>
      </c>
      <c r="AD47" s="1163">
        <f t="shared" si="7"/>
        <v>0.11538461538461539</v>
      </c>
      <c r="AE47" s="1184">
        <f t="shared" si="8"/>
        <v>0</v>
      </c>
      <c r="AF47" s="1164">
        <f t="shared" si="9"/>
        <v>0.1</v>
      </c>
      <c r="AG47" s="1164">
        <f t="shared" si="10"/>
        <v>0</v>
      </c>
      <c r="AH47" s="1164">
        <f t="shared" si="11"/>
        <v>0.30769230769230771</v>
      </c>
      <c r="AI47" s="1164">
        <f t="shared" si="12"/>
        <v>0</v>
      </c>
      <c r="AJ47" s="1165">
        <f t="shared" si="13"/>
        <v>0.140625</v>
      </c>
    </row>
    <row r="48" spans="1:36">
      <c r="A48" s="189" t="s">
        <v>109</v>
      </c>
      <c r="B48" s="190" t="s">
        <v>110</v>
      </c>
      <c r="C48" s="191" t="s">
        <v>275</v>
      </c>
      <c r="E48" s="1160">
        <v>23</v>
      </c>
      <c r="F48" s="1161">
        <v>5</v>
      </c>
      <c r="G48" s="1161">
        <v>10</v>
      </c>
      <c r="H48" s="1161">
        <v>6</v>
      </c>
      <c r="I48" s="1161">
        <v>14</v>
      </c>
      <c r="J48" s="1161">
        <v>2</v>
      </c>
      <c r="K48" s="1162">
        <f t="shared" si="2"/>
        <v>60</v>
      </c>
      <c r="L48" s="1160">
        <v>2</v>
      </c>
      <c r="M48" s="1161"/>
      <c r="N48" s="1161"/>
      <c r="O48" s="1161"/>
      <c r="P48" s="1161">
        <v>6</v>
      </c>
      <c r="Q48" s="1161"/>
      <c r="R48" s="1162">
        <f t="shared" si="3"/>
        <v>8</v>
      </c>
      <c r="S48" s="1160"/>
      <c r="T48" s="1161"/>
      <c r="U48" s="1161"/>
      <c r="V48" s="1161"/>
      <c r="W48" s="1161"/>
      <c r="X48" s="1161"/>
      <c r="Y48" s="1162">
        <f t="shared" si="4"/>
        <v>0</v>
      </c>
      <c r="Z48" s="1181">
        <f t="shared" si="5"/>
        <v>68</v>
      </c>
      <c r="AA48" s="1181">
        <f t="shared" si="6"/>
        <v>68</v>
      </c>
      <c r="AD48" s="1163">
        <f t="shared" si="7"/>
        <v>0.08</v>
      </c>
      <c r="AE48" s="1184">
        <f t="shared" si="8"/>
        <v>0</v>
      </c>
      <c r="AF48" s="1164">
        <f t="shared" si="9"/>
        <v>0.3</v>
      </c>
      <c r="AG48" s="1164">
        <f t="shared" si="10"/>
        <v>0</v>
      </c>
      <c r="AH48" s="1164">
        <f t="shared" si="11"/>
        <v>0</v>
      </c>
      <c r="AI48" s="1164">
        <f t="shared" si="12"/>
        <v>0</v>
      </c>
      <c r="AJ48" s="1165">
        <f t="shared" si="13"/>
        <v>0.11764705882352941</v>
      </c>
    </row>
    <row r="49" spans="1:36">
      <c r="A49" s="189" t="s">
        <v>111</v>
      </c>
      <c r="B49" s="190" t="s">
        <v>112</v>
      </c>
      <c r="C49" s="191" t="s">
        <v>275</v>
      </c>
      <c r="E49" s="1160">
        <v>61</v>
      </c>
      <c r="F49" s="1161">
        <v>24</v>
      </c>
      <c r="G49" s="1161">
        <v>20</v>
      </c>
      <c r="H49" s="1161">
        <v>7</v>
      </c>
      <c r="I49" s="1161">
        <v>57</v>
      </c>
      <c r="J49" s="1161">
        <v>14</v>
      </c>
      <c r="K49" s="1162">
        <f t="shared" si="2"/>
        <v>183</v>
      </c>
      <c r="L49" s="1160">
        <v>9</v>
      </c>
      <c r="M49" s="1161">
        <v>2</v>
      </c>
      <c r="N49" s="1161">
        <v>2</v>
      </c>
      <c r="O49" s="1161"/>
      <c r="P49" s="1161">
        <v>5</v>
      </c>
      <c r="Q49" s="1161"/>
      <c r="R49" s="1162">
        <f t="shared" si="3"/>
        <v>18</v>
      </c>
      <c r="S49" s="1160">
        <v>1</v>
      </c>
      <c r="T49" s="1161"/>
      <c r="U49" s="1161"/>
      <c r="V49" s="1161"/>
      <c r="W49" s="1161"/>
      <c r="X49" s="1161">
        <v>1</v>
      </c>
      <c r="Y49" s="1162">
        <f t="shared" si="4"/>
        <v>2</v>
      </c>
      <c r="Z49" s="1181">
        <f t="shared" si="5"/>
        <v>203</v>
      </c>
      <c r="AA49" s="1181">
        <f t="shared" si="6"/>
        <v>201</v>
      </c>
      <c r="AD49" s="1163">
        <f t="shared" si="7"/>
        <v>0.12857142857142856</v>
      </c>
      <c r="AE49" s="1184">
        <f t="shared" si="8"/>
        <v>7.6923076923076927E-2</v>
      </c>
      <c r="AF49" s="1164">
        <f t="shared" si="9"/>
        <v>8.0645161290322578E-2</v>
      </c>
      <c r="AG49" s="1164">
        <f t="shared" si="10"/>
        <v>0</v>
      </c>
      <c r="AH49" s="1164">
        <f t="shared" si="11"/>
        <v>9.0909090909090912E-2</v>
      </c>
      <c r="AI49" s="1164">
        <f t="shared" si="12"/>
        <v>0</v>
      </c>
      <c r="AJ49" s="1165">
        <f t="shared" si="13"/>
        <v>8.9552238805970144E-2</v>
      </c>
    </row>
    <row r="50" spans="1:36">
      <c r="A50" s="189" t="s">
        <v>113</v>
      </c>
      <c r="B50" s="190" t="s">
        <v>367</v>
      </c>
      <c r="C50" s="191" t="s">
        <v>273</v>
      </c>
      <c r="E50" s="1160">
        <v>37</v>
      </c>
      <c r="F50" s="1161">
        <v>5</v>
      </c>
      <c r="G50" s="1161">
        <v>15</v>
      </c>
      <c r="H50" s="1161"/>
      <c r="I50" s="1161">
        <v>26</v>
      </c>
      <c r="J50" s="1161">
        <v>4</v>
      </c>
      <c r="K50" s="1162">
        <f t="shared" si="2"/>
        <v>87</v>
      </c>
      <c r="L50" s="1160">
        <v>4</v>
      </c>
      <c r="M50" s="1161"/>
      <c r="N50" s="1161">
        <v>3</v>
      </c>
      <c r="O50" s="1161"/>
      <c r="P50" s="1161">
        <v>3</v>
      </c>
      <c r="Q50" s="1161"/>
      <c r="R50" s="1162">
        <f t="shared" si="3"/>
        <v>10</v>
      </c>
      <c r="S50" s="1160"/>
      <c r="T50" s="1161"/>
      <c r="U50" s="1161"/>
      <c r="V50" s="1161"/>
      <c r="W50" s="1161"/>
      <c r="X50" s="1161"/>
      <c r="Y50" s="1162">
        <f t="shared" si="4"/>
        <v>0</v>
      </c>
      <c r="Z50" s="1181">
        <f t="shared" si="5"/>
        <v>97</v>
      </c>
      <c r="AA50" s="1181">
        <f t="shared" si="6"/>
        <v>97</v>
      </c>
      <c r="AD50" s="1163">
        <f t="shared" si="7"/>
        <v>9.7560975609756101E-2</v>
      </c>
      <c r="AE50" s="1184">
        <f t="shared" si="8"/>
        <v>0</v>
      </c>
      <c r="AF50" s="1164">
        <f t="shared" si="9"/>
        <v>0.10344827586206896</v>
      </c>
      <c r="AG50" s="1164">
        <f t="shared" si="10"/>
        <v>0</v>
      </c>
      <c r="AH50" s="1164">
        <f t="shared" si="11"/>
        <v>0.16666666666666666</v>
      </c>
      <c r="AI50" s="1164" t="str">
        <f t="shared" si="12"/>
        <v>NA</v>
      </c>
      <c r="AJ50" s="1165">
        <f t="shared" si="13"/>
        <v>0.10309278350515463</v>
      </c>
    </row>
    <row r="51" spans="1:36">
      <c r="A51" s="189" t="s">
        <v>115</v>
      </c>
      <c r="B51" s="190" t="s">
        <v>116</v>
      </c>
      <c r="C51" s="191" t="s">
        <v>273</v>
      </c>
      <c r="E51" s="1160">
        <v>2</v>
      </c>
      <c r="F51" s="1161"/>
      <c r="G51" s="1161">
        <v>2</v>
      </c>
      <c r="H51" s="1161"/>
      <c r="I51" s="1161">
        <v>1</v>
      </c>
      <c r="J51" s="1161"/>
      <c r="K51" s="1162">
        <f t="shared" si="2"/>
        <v>5</v>
      </c>
      <c r="L51" s="1160">
        <v>1</v>
      </c>
      <c r="M51" s="1161"/>
      <c r="N51" s="1161"/>
      <c r="O51" s="1161"/>
      <c r="P51" s="1161"/>
      <c r="Q51" s="1161"/>
      <c r="R51" s="1162">
        <f t="shared" si="3"/>
        <v>1</v>
      </c>
      <c r="S51" s="1160"/>
      <c r="T51" s="1161"/>
      <c r="U51" s="1161"/>
      <c r="V51" s="1161"/>
      <c r="W51" s="1161"/>
      <c r="X51" s="1161"/>
      <c r="Y51" s="1162">
        <f t="shared" si="4"/>
        <v>0</v>
      </c>
      <c r="Z51" s="1181">
        <f t="shared" si="5"/>
        <v>6</v>
      </c>
      <c r="AA51" s="1181">
        <f t="shared" si="6"/>
        <v>6</v>
      </c>
      <c r="AD51" s="1163">
        <f t="shared" si="7"/>
        <v>0.33333333333333331</v>
      </c>
      <c r="AE51" s="1184" t="str">
        <f t="shared" si="8"/>
        <v>NA</v>
      </c>
      <c r="AF51" s="1164">
        <f t="shared" si="9"/>
        <v>0</v>
      </c>
      <c r="AG51" s="1164" t="str">
        <f t="shared" si="10"/>
        <v>NA</v>
      </c>
      <c r="AH51" s="1164">
        <f t="shared" si="11"/>
        <v>0</v>
      </c>
      <c r="AI51" s="1164" t="str">
        <f t="shared" si="12"/>
        <v>NA</v>
      </c>
      <c r="AJ51" s="1165">
        <f t="shared" si="13"/>
        <v>0.16666666666666666</v>
      </c>
    </row>
    <row r="52" spans="1:36">
      <c r="A52" s="189" t="s">
        <v>119</v>
      </c>
      <c r="B52" s="190" t="s">
        <v>120</v>
      </c>
      <c r="C52" s="191" t="s">
        <v>272</v>
      </c>
      <c r="E52" s="1160">
        <v>10</v>
      </c>
      <c r="F52" s="1161">
        <v>1</v>
      </c>
      <c r="G52" s="1161">
        <v>12</v>
      </c>
      <c r="H52" s="1161"/>
      <c r="I52" s="1161">
        <v>13</v>
      </c>
      <c r="J52" s="1161">
        <v>4</v>
      </c>
      <c r="K52" s="1162">
        <f t="shared" si="2"/>
        <v>40</v>
      </c>
      <c r="L52" s="1160">
        <v>2</v>
      </c>
      <c r="M52" s="1161"/>
      <c r="N52" s="1161">
        <v>1</v>
      </c>
      <c r="O52" s="1161">
        <v>2</v>
      </c>
      <c r="P52" s="1161">
        <v>3</v>
      </c>
      <c r="Q52" s="1161"/>
      <c r="R52" s="1162">
        <f t="shared" si="3"/>
        <v>8</v>
      </c>
      <c r="S52" s="1160"/>
      <c r="T52" s="1161"/>
      <c r="U52" s="1161"/>
      <c r="V52" s="1161"/>
      <c r="W52" s="1161"/>
      <c r="X52" s="1161"/>
      <c r="Y52" s="1162">
        <f t="shared" si="4"/>
        <v>0</v>
      </c>
      <c r="Z52" s="1181">
        <f t="shared" si="5"/>
        <v>48</v>
      </c>
      <c r="AA52" s="1181">
        <f t="shared" si="6"/>
        <v>48</v>
      </c>
      <c r="AD52" s="1163">
        <f t="shared" si="7"/>
        <v>0.16666666666666666</v>
      </c>
      <c r="AE52" s="1184">
        <f t="shared" si="8"/>
        <v>0</v>
      </c>
      <c r="AF52" s="1164">
        <f t="shared" si="9"/>
        <v>0.1875</v>
      </c>
      <c r="AG52" s="1164">
        <f t="shared" si="10"/>
        <v>0</v>
      </c>
      <c r="AH52" s="1164">
        <f t="shared" si="11"/>
        <v>7.6923076923076927E-2</v>
      </c>
      <c r="AI52" s="1164">
        <f t="shared" si="12"/>
        <v>1</v>
      </c>
      <c r="AJ52" s="1165">
        <f t="shared" si="13"/>
        <v>0.16666666666666666</v>
      </c>
    </row>
    <row r="53" spans="1:36">
      <c r="A53" s="189" t="s">
        <v>121</v>
      </c>
      <c r="B53" s="190" t="s">
        <v>122</v>
      </c>
      <c r="C53" s="191" t="s">
        <v>272</v>
      </c>
      <c r="E53" s="1160">
        <v>15</v>
      </c>
      <c r="F53" s="1161">
        <v>4</v>
      </c>
      <c r="G53" s="1161">
        <v>16</v>
      </c>
      <c r="H53" s="1161"/>
      <c r="I53" s="1161">
        <v>15</v>
      </c>
      <c r="J53" s="1161">
        <v>3</v>
      </c>
      <c r="K53" s="1162">
        <f t="shared" si="2"/>
        <v>53</v>
      </c>
      <c r="L53" s="1160">
        <v>1</v>
      </c>
      <c r="M53" s="1161"/>
      <c r="N53" s="1161">
        <v>1</v>
      </c>
      <c r="O53" s="1161"/>
      <c r="P53" s="1161">
        <v>6</v>
      </c>
      <c r="Q53" s="1161"/>
      <c r="R53" s="1162">
        <f t="shared" si="3"/>
        <v>8</v>
      </c>
      <c r="S53" s="1160"/>
      <c r="T53" s="1161"/>
      <c r="U53" s="1161"/>
      <c r="V53" s="1161"/>
      <c r="W53" s="1161"/>
      <c r="X53" s="1161"/>
      <c r="Y53" s="1162">
        <f t="shared" si="4"/>
        <v>0</v>
      </c>
      <c r="Z53" s="1181">
        <f t="shared" si="5"/>
        <v>61</v>
      </c>
      <c r="AA53" s="1181">
        <f t="shared" si="6"/>
        <v>61</v>
      </c>
      <c r="AD53" s="1163">
        <f t="shared" si="7"/>
        <v>6.25E-2</v>
      </c>
      <c r="AE53" s="1184">
        <f t="shared" si="8"/>
        <v>0</v>
      </c>
      <c r="AF53" s="1164">
        <f t="shared" si="9"/>
        <v>0.2857142857142857</v>
      </c>
      <c r="AG53" s="1164">
        <f t="shared" si="10"/>
        <v>0</v>
      </c>
      <c r="AH53" s="1164">
        <f t="shared" si="11"/>
        <v>5.8823529411764705E-2</v>
      </c>
      <c r="AI53" s="1164" t="str">
        <f t="shared" si="12"/>
        <v>NA</v>
      </c>
      <c r="AJ53" s="1165">
        <f t="shared" si="13"/>
        <v>0.13114754098360656</v>
      </c>
    </row>
    <row r="54" spans="1:36">
      <c r="A54" s="189" t="s">
        <v>123</v>
      </c>
      <c r="B54" s="190" t="s">
        <v>284</v>
      </c>
      <c r="C54" s="191" t="s">
        <v>275</v>
      </c>
      <c r="E54" s="1160">
        <v>4</v>
      </c>
      <c r="F54" s="1161">
        <v>1</v>
      </c>
      <c r="G54" s="1161">
        <v>4</v>
      </c>
      <c r="H54" s="1161"/>
      <c r="I54" s="1161">
        <v>3</v>
      </c>
      <c r="J54" s="1161">
        <v>1</v>
      </c>
      <c r="K54" s="1162">
        <f t="shared" si="2"/>
        <v>13</v>
      </c>
      <c r="L54" s="1160"/>
      <c r="M54" s="1161"/>
      <c r="N54" s="1161">
        <v>4</v>
      </c>
      <c r="O54" s="1161"/>
      <c r="P54" s="1161"/>
      <c r="Q54" s="1161"/>
      <c r="R54" s="1162">
        <f t="shared" si="3"/>
        <v>4</v>
      </c>
      <c r="S54" s="1160"/>
      <c r="T54" s="1161"/>
      <c r="U54" s="1161"/>
      <c r="V54" s="1161"/>
      <c r="W54" s="1161"/>
      <c r="X54" s="1161"/>
      <c r="Y54" s="1162">
        <f t="shared" si="4"/>
        <v>0</v>
      </c>
      <c r="Z54" s="1181">
        <f t="shared" si="5"/>
        <v>17</v>
      </c>
      <c r="AA54" s="1181">
        <f t="shared" si="6"/>
        <v>17</v>
      </c>
      <c r="AD54" s="1163">
        <f t="shared" si="7"/>
        <v>0</v>
      </c>
      <c r="AE54" s="1184">
        <f t="shared" si="8"/>
        <v>0</v>
      </c>
      <c r="AF54" s="1164">
        <f t="shared" si="9"/>
        <v>0</v>
      </c>
      <c r="AG54" s="1164">
        <f t="shared" si="10"/>
        <v>0</v>
      </c>
      <c r="AH54" s="1164">
        <f t="shared" si="11"/>
        <v>0.5</v>
      </c>
      <c r="AI54" s="1164" t="str">
        <f t="shared" si="12"/>
        <v>NA</v>
      </c>
      <c r="AJ54" s="1165">
        <f t="shared" si="13"/>
        <v>0.23529411764705882</v>
      </c>
    </row>
    <row r="55" spans="1:36">
      <c r="A55" s="189" t="s">
        <v>125</v>
      </c>
      <c r="B55" s="190" t="s">
        <v>126</v>
      </c>
      <c r="C55" s="191" t="s">
        <v>276</v>
      </c>
      <c r="E55" s="1160">
        <v>7</v>
      </c>
      <c r="F55" s="1161">
        <v>2</v>
      </c>
      <c r="G55" s="1161">
        <v>4</v>
      </c>
      <c r="H55" s="1161">
        <v>1</v>
      </c>
      <c r="I55" s="1161">
        <v>6</v>
      </c>
      <c r="J55" s="1161"/>
      <c r="K55" s="1162">
        <f t="shared" si="2"/>
        <v>20</v>
      </c>
      <c r="L55" s="1160">
        <v>2</v>
      </c>
      <c r="M55" s="1161"/>
      <c r="N55" s="1161"/>
      <c r="O55" s="1161">
        <v>1</v>
      </c>
      <c r="P55" s="1161"/>
      <c r="Q55" s="1161"/>
      <c r="R55" s="1162">
        <f t="shared" si="3"/>
        <v>3</v>
      </c>
      <c r="S55" s="1160"/>
      <c r="T55" s="1161"/>
      <c r="U55" s="1161"/>
      <c r="V55" s="1161"/>
      <c r="W55" s="1161"/>
      <c r="X55" s="1161"/>
      <c r="Y55" s="1162">
        <f t="shared" si="4"/>
        <v>0</v>
      </c>
      <c r="Z55" s="1181">
        <f t="shared" si="5"/>
        <v>23</v>
      </c>
      <c r="AA55" s="1181">
        <f t="shared" si="6"/>
        <v>23</v>
      </c>
      <c r="AD55" s="1163">
        <f t="shared" si="7"/>
        <v>0.22222222222222221</v>
      </c>
      <c r="AE55" s="1184">
        <f t="shared" si="8"/>
        <v>0</v>
      </c>
      <c r="AF55" s="1164">
        <f t="shared" si="9"/>
        <v>0</v>
      </c>
      <c r="AG55" s="1164" t="str">
        <f t="shared" si="10"/>
        <v>NA</v>
      </c>
      <c r="AH55" s="1164">
        <f t="shared" si="11"/>
        <v>0</v>
      </c>
      <c r="AI55" s="1164">
        <f t="shared" si="12"/>
        <v>0.5</v>
      </c>
      <c r="AJ55" s="1165">
        <f t="shared" si="13"/>
        <v>0.13043478260869565</v>
      </c>
    </row>
    <row r="56" spans="1:36">
      <c r="A56" s="189" t="s">
        <v>127</v>
      </c>
      <c r="B56" s="190" t="s">
        <v>128</v>
      </c>
      <c r="C56" s="191" t="s">
        <v>275</v>
      </c>
      <c r="E56" s="1160">
        <v>5</v>
      </c>
      <c r="F56" s="1161">
        <v>1</v>
      </c>
      <c r="G56" s="1161">
        <v>4</v>
      </c>
      <c r="H56" s="1161"/>
      <c r="I56" s="1161">
        <v>3</v>
      </c>
      <c r="J56" s="1161">
        <v>1</v>
      </c>
      <c r="K56" s="1162">
        <f t="shared" si="2"/>
        <v>14</v>
      </c>
      <c r="L56" s="1160"/>
      <c r="M56" s="1161"/>
      <c r="N56" s="1161">
        <v>1</v>
      </c>
      <c r="O56" s="1161"/>
      <c r="P56" s="1161"/>
      <c r="Q56" s="1161"/>
      <c r="R56" s="1162">
        <f t="shared" si="3"/>
        <v>1</v>
      </c>
      <c r="S56" s="1160"/>
      <c r="T56" s="1161"/>
      <c r="U56" s="1161"/>
      <c r="V56" s="1161"/>
      <c r="W56" s="1161"/>
      <c r="X56" s="1161"/>
      <c r="Y56" s="1162">
        <f t="shared" si="4"/>
        <v>0</v>
      </c>
      <c r="Z56" s="1181">
        <f t="shared" si="5"/>
        <v>15</v>
      </c>
      <c r="AA56" s="1181">
        <f t="shared" si="6"/>
        <v>15</v>
      </c>
      <c r="AD56" s="1163">
        <f t="shared" si="7"/>
        <v>0</v>
      </c>
      <c r="AE56" s="1184">
        <f t="shared" si="8"/>
        <v>0</v>
      </c>
      <c r="AF56" s="1164">
        <f t="shared" si="9"/>
        <v>0</v>
      </c>
      <c r="AG56" s="1164">
        <f t="shared" si="10"/>
        <v>0</v>
      </c>
      <c r="AH56" s="1164">
        <f t="shared" si="11"/>
        <v>0.2</v>
      </c>
      <c r="AI56" s="1164" t="str">
        <f t="shared" si="12"/>
        <v>NA</v>
      </c>
      <c r="AJ56" s="1165">
        <f t="shared" si="13"/>
        <v>6.6666666666666666E-2</v>
      </c>
    </row>
    <row r="57" spans="1:36">
      <c r="A57" s="189" t="s">
        <v>129</v>
      </c>
      <c r="B57" s="190" t="s">
        <v>130</v>
      </c>
      <c r="C57" s="191" t="s">
        <v>275</v>
      </c>
      <c r="E57" s="1160">
        <v>6</v>
      </c>
      <c r="F57" s="1161">
        <v>1</v>
      </c>
      <c r="G57" s="1161">
        <v>5</v>
      </c>
      <c r="H57" s="1161"/>
      <c r="I57" s="1161">
        <v>4</v>
      </c>
      <c r="J57" s="1161">
        <v>1</v>
      </c>
      <c r="K57" s="1162">
        <f t="shared" si="2"/>
        <v>17</v>
      </c>
      <c r="L57" s="1160">
        <v>4</v>
      </c>
      <c r="M57" s="1161"/>
      <c r="N57" s="1161">
        <v>2</v>
      </c>
      <c r="O57" s="1161"/>
      <c r="P57" s="1161">
        <v>1</v>
      </c>
      <c r="Q57" s="1161"/>
      <c r="R57" s="1162">
        <f t="shared" si="3"/>
        <v>7</v>
      </c>
      <c r="S57" s="1160"/>
      <c r="T57" s="1161"/>
      <c r="U57" s="1161"/>
      <c r="V57" s="1161"/>
      <c r="W57" s="1161"/>
      <c r="X57" s="1161"/>
      <c r="Y57" s="1162">
        <f t="shared" si="4"/>
        <v>0</v>
      </c>
      <c r="Z57" s="1181">
        <f t="shared" si="5"/>
        <v>24</v>
      </c>
      <c r="AA57" s="1181">
        <f t="shared" si="6"/>
        <v>24</v>
      </c>
      <c r="AD57" s="1163">
        <f t="shared" si="7"/>
        <v>0.4</v>
      </c>
      <c r="AE57" s="1184">
        <f t="shared" si="8"/>
        <v>0</v>
      </c>
      <c r="AF57" s="1164">
        <f t="shared" si="9"/>
        <v>0.2</v>
      </c>
      <c r="AG57" s="1164">
        <f t="shared" si="10"/>
        <v>0</v>
      </c>
      <c r="AH57" s="1164">
        <f t="shared" si="11"/>
        <v>0.2857142857142857</v>
      </c>
      <c r="AI57" s="1164" t="str">
        <f t="shared" si="12"/>
        <v>NA</v>
      </c>
      <c r="AJ57" s="1165">
        <f t="shared" si="13"/>
        <v>0.29166666666666669</v>
      </c>
    </row>
    <row r="58" spans="1:36">
      <c r="A58" s="189" t="s">
        <v>131</v>
      </c>
      <c r="B58" s="190" t="s">
        <v>132</v>
      </c>
      <c r="C58" s="191" t="s">
        <v>278</v>
      </c>
      <c r="E58" s="1160">
        <v>18</v>
      </c>
      <c r="F58" s="1161">
        <v>2</v>
      </c>
      <c r="G58" s="1161">
        <v>9</v>
      </c>
      <c r="H58" s="1161"/>
      <c r="I58" s="1161">
        <v>16</v>
      </c>
      <c r="J58" s="1161">
        <v>5</v>
      </c>
      <c r="K58" s="1162">
        <f t="shared" si="2"/>
        <v>50</v>
      </c>
      <c r="L58" s="1160">
        <v>3</v>
      </c>
      <c r="M58" s="1161"/>
      <c r="N58" s="1161">
        <v>2</v>
      </c>
      <c r="O58" s="1161"/>
      <c r="P58" s="1161">
        <v>4</v>
      </c>
      <c r="Q58" s="1161"/>
      <c r="R58" s="1162">
        <f t="shared" si="3"/>
        <v>9</v>
      </c>
      <c r="S58" s="1160"/>
      <c r="T58" s="1161"/>
      <c r="U58" s="1161"/>
      <c r="V58" s="1161"/>
      <c r="W58" s="1161"/>
      <c r="X58" s="1161"/>
      <c r="Y58" s="1162">
        <f t="shared" si="4"/>
        <v>0</v>
      </c>
      <c r="Z58" s="1181">
        <f t="shared" si="5"/>
        <v>59</v>
      </c>
      <c r="AA58" s="1181">
        <f t="shared" si="6"/>
        <v>59</v>
      </c>
      <c r="AD58" s="1163">
        <f t="shared" si="7"/>
        <v>0.14285714285714285</v>
      </c>
      <c r="AE58" s="1184">
        <f t="shared" si="8"/>
        <v>0</v>
      </c>
      <c r="AF58" s="1164">
        <f t="shared" si="9"/>
        <v>0.2</v>
      </c>
      <c r="AG58" s="1164">
        <f t="shared" si="10"/>
        <v>0</v>
      </c>
      <c r="AH58" s="1164">
        <f t="shared" si="11"/>
        <v>0.18181818181818182</v>
      </c>
      <c r="AI58" s="1164" t="str">
        <f t="shared" si="12"/>
        <v>NA</v>
      </c>
      <c r="AJ58" s="1165">
        <f t="shared" si="13"/>
        <v>0.15254237288135594</v>
      </c>
    </row>
    <row r="59" spans="1:36">
      <c r="A59" s="189" t="s">
        <v>133</v>
      </c>
      <c r="B59" s="190" t="s">
        <v>134</v>
      </c>
      <c r="C59" s="191" t="s">
        <v>276</v>
      </c>
      <c r="E59" s="1160">
        <v>24</v>
      </c>
      <c r="F59" s="1161">
        <v>5</v>
      </c>
      <c r="G59" s="1161">
        <v>25</v>
      </c>
      <c r="H59" s="1161"/>
      <c r="I59" s="1161">
        <v>53</v>
      </c>
      <c r="J59" s="1161">
        <v>10</v>
      </c>
      <c r="K59" s="1162">
        <f t="shared" si="2"/>
        <v>117</v>
      </c>
      <c r="L59" s="1160"/>
      <c r="M59" s="1161">
        <v>2</v>
      </c>
      <c r="N59" s="1161"/>
      <c r="O59" s="1161"/>
      <c r="P59" s="1161">
        <v>3</v>
      </c>
      <c r="Q59" s="1161"/>
      <c r="R59" s="1162">
        <f t="shared" si="3"/>
        <v>5</v>
      </c>
      <c r="S59" s="1160"/>
      <c r="T59" s="1161"/>
      <c r="U59" s="1161"/>
      <c r="V59" s="1161"/>
      <c r="W59" s="1161"/>
      <c r="X59" s="1161"/>
      <c r="Y59" s="1162">
        <f t="shared" si="4"/>
        <v>0</v>
      </c>
      <c r="Z59" s="1181">
        <f t="shared" si="5"/>
        <v>122</v>
      </c>
      <c r="AA59" s="1181">
        <f t="shared" si="6"/>
        <v>122</v>
      </c>
      <c r="AD59" s="1163">
        <f t="shared" si="7"/>
        <v>0</v>
      </c>
      <c r="AE59" s="1184">
        <f t="shared" si="8"/>
        <v>0.2857142857142857</v>
      </c>
      <c r="AF59" s="1164">
        <f t="shared" si="9"/>
        <v>5.3571428571428568E-2</v>
      </c>
      <c r="AG59" s="1164">
        <f t="shared" si="10"/>
        <v>0</v>
      </c>
      <c r="AH59" s="1164">
        <f t="shared" si="11"/>
        <v>0</v>
      </c>
      <c r="AI59" s="1164" t="str">
        <f t="shared" si="12"/>
        <v>NA</v>
      </c>
      <c r="AJ59" s="1165">
        <f t="shared" si="13"/>
        <v>4.0983606557377046E-2</v>
      </c>
    </row>
    <row r="60" spans="1:36">
      <c r="A60" s="189" t="s">
        <v>135</v>
      </c>
      <c r="B60" s="190" t="s">
        <v>136</v>
      </c>
      <c r="C60" s="191" t="s">
        <v>276</v>
      </c>
      <c r="E60" s="1160">
        <v>16</v>
      </c>
      <c r="F60" s="1161">
        <v>2</v>
      </c>
      <c r="G60" s="1161">
        <v>9</v>
      </c>
      <c r="H60" s="1161">
        <v>1</v>
      </c>
      <c r="I60" s="1161">
        <v>14</v>
      </c>
      <c r="J60" s="1161">
        <v>3</v>
      </c>
      <c r="K60" s="1162">
        <f t="shared" si="2"/>
        <v>45</v>
      </c>
      <c r="L60" s="1160">
        <v>1</v>
      </c>
      <c r="M60" s="1161"/>
      <c r="N60" s="1161">
        <v>4</v>
      </c>
      <c r="O60" s="1161"/>
      <c r="P60" s="1161">
        <v>1</v>
      </c>
      <c r="Q60" s="1161"/>
      <c r="R60" s="1162">
        <f t="shared" si="3"/>
        <v>6</v>
      </c>
      <c r="S60" s="1160"/>
      <c r="T60" s="1161"/>
      <c r="U60" s="1161"/>
      <c r="V60" s="1161"/>
      <c r="W60" s="1161"/>
      <c r="X60" s="1161"/>
      <c r="Y60" s="1162">
        <f t="shared" si="4"/>
        <v>0</v>
      </c>
      <c r="Z60" s="1181">
        <f t="shared" si="5"/>
        <v>51</v>
      </c>
      <c r="AA60" s="1181">
        <f t="shared" si="6"/>
        <v>51</v>
      </c>
      <c r="AD60" s="1163">
        <f t="shared" si="7"/>
        <v>5.8823529411764705E-2</v>
      </c>
      <c r="AE60" s="1184">
        <f t="shared" si="8"/>
        <v>0</v>
      </c>
      <c r="AF60" s="1164">
        <f t="shared" si="9"/>
        <v>6.6666666666666666E-2</v>
      </c>
      <c r="AG60" s="1164">
        <f t="shared" si="10"/>
        <v>0</v>
      </c>
      <c r="AH60" s="1164">
        <f t="shared" si="11"/>
        <v>0.30769230769230771</v>
      </c>
      <c r="AI60" s="1164">
        <f t="shared" si="12"/>
        <v>0</v>
      </c>
      <c r="AJ60" s="1165">
        <f t="shared" si="13"/>
        <v>0.11764705882352941</v>
      </c>
    </row>
    <row r="61" spans="1:36">
      <c r="A61" s="189" t="s">
        <v>137</v>
      </c>
      <c r="B61" s="190" t="s">
        <v>138</v>
      </c>
      <c r="C61" s="191" t="s">
        <v>275</v>
      </c>
      <c r="E61" s="1160">
        <v>5</v>
      </c>
      <c r="F61" s="1161">
        <v>1</v>
      </c>
      <c r="G61" s="1161">
        <v>5</v>
      </c>
      <c r="H61" s="1161"/>
      <c r="I61" s="1161">
        <v>3</v>
      </c>
      <c r="J61" s="1161">
        <v>1</v>
      </c>
      <c r="K61" s="1162">
        <f t="shared" si="2"/>
        <v>15</v>
      </c>
      <c r="L61" s="1160">
        <v>1</v>
      </c>
      <c r="M61" s="1161"/>
      <c r="N61" s="1161">
        <v>1</v>
      </c>
      <c r="O61" s="1161"/>
      <c r="P61" s="1161">
        <v>1</v>
      </c>
      <c r="Q61" s="1161"/>
      <c r="R61" s="1162">
        <f t="shared" si="3"/>
        <v>3</v>
      </c>
      <c r="S61" s="1160"/>
      <c r="T61" s="1161"/>
      <c r="U61" s="1161"/>
      <c r="V61" s="1161"/>
      <c r="W61" s="1161"/>
      <c r="X61" s="1161"/>
      <c r="Y61" s="1162">
        <f t="shared" si="4"/>
        <v>0</v>
      </c>
      <c r="Z61" s="1181">
        <f t="shared" si="5"/>
        <v>18</v>
      </c>
      <c r="AA61" s="1181">
        <f t="shared" si="6"/>
        <v>18</v>
      </c>
      <c r="AD61" s="1163">
        <f t="shared" si="7"/>
        <v>0.16666666666666666</v>
      </c>
      <c r="AE61" s="1184">
        <f t="shared" si="8"/>
        <v>0</v>
      </c>
      <c r="AF61" s="1164">
        <f t="shared" si="9"/>
        <v>0.25</v>
      </c>
      <c r="AG61" s="1164">
        <f t="shared" si="10"/>
        <v>0</v>
      </c>
      <c r="AH61" s="1164">
        <f t="shared" si="11"/>
        <v>0.16666666666666666</v>
      </c>
      <c r="AI61" s="1164" t="str">
        <f t="shared" si="12"/>
        <v>NA</v>
      </c>
      <c r="AJ61" s="1165">
        <f t="shared" si="13"/>
        <v>0.16666666666666666</v>
      </c>
    </row>
    <row r="62" spans="1:36">
      <c r="A62" s="189" t="s">
        <v>141</v>
      </c>
      <c r="B62" s="190" t="s">
        <v>142</v>
      </c>
      <c r="C62" s="191" t="s">
        <v>276</v>
      </c>
      <c r="E62" s="1160">
        <v>7</v>
      </c>
      <c r="F62" s="1161"/>
      <c r="G62" s="1161">
        <v>5</v>
      </c>
      <c r="H62" s="1161">
        <v>1</v>
      </c>
      <c r="I62" s="1161">
        <v>5</v>
      </c>
      <c r="J62" s="1161"/>
      <c r="K62" s="1162">
        <f t="shared" si="2"/>
        <v>18</v>
      </c>
      <c r="L62" s="1160">
        <v>1</v>
      </c>
      <c r="M62" s="1161"/>
      <c r="N62" s="1161">
        <v>1</v>
      </c>
      <c r="O62" s="1161"/>
      <c r="P62" s="1161">
        <v>1</v>
      </c>
      <c r="Q62" s="1161"/>
      <c r="R62" s="1162">
        <f t="shared" si="3"/>
        <v>3</v>
      </c>
      <c r="S62" s="1160"/>
      <c r="T62" s="1161"/>
      <c r="U62" s="1161"/>
      <c r="V62" s="1161"/>
      <c r="W62" s="1161"/>
      <c r="X62" s="1161"/>
      <c r="Y62" s="1162">
        <f t="shared" si="4"/>
        <v>0</v>
      </c>
      <c r="Z62" s="1181">
        <f t="shared" si="5"/>
        <v>21</v>
      </c>
      <c r="AA62" s="1181">
        <f t="shared" si="6"/>
        <v>21</v>
      </c>
      <c r="AD62" s="1163">
        <f t="shared" si="7"/>
        <v>0.125</v>
      </c>
      <c r="AE62" s="1184" t="str">
        <f t="shared" si="8"/>
        <v>NA</v>
      </c>
      <c r="AF62" s="1164">
        <f t="shared" si="9"/>
        <v>0.16666666666666666</v>
      </c>
      <c r="AG62" s="1164" t="str">
        <f t="shared" si="10"/>
        <v>NA</v>
      </c>
      <c r="AH62" s="1164">
        <f t="shared" si="11"/>
        <v>0.16666666666666666</v>
      </c>
      <c r="AI62" s="1164">
        <f t="shared" si="12"/>
        <v>0</v>
      </c>
      <c r="AJ62" s="1165">
        <f t="shared" si="13"/>
        <v>0.14285714285714285</v>
      </c>
    </row>
    <row r="63" spans="1:36">
      <c r="A63" s="189" t="s">
        <v>147</v>
      </c>
      <c r="B63" s="190" t="s">
        <v>148</v>
      </c>
      <c r="C63" s="191" t="s">
        <v>272</v>
      </c>
      <c r="E63" s="1160">
        <v>5</v>
      </c>
      <c r="F63" s="1161"/>
      <c r="G63" s="1161">
        <v>3</v>
      </c>
      <c r="H63" s="1161"/>
      <c r="I63" s="1161">
        <v>3</v>
      </c>
      <c r="J63" s="1161">
        <v>1</v>
      </c>
      <c r="K63" s="1162">
        <f t="shared" si="2"/>
        <v>12</v>
      </c>
      <c r="L63" s="1160">
        <v>1</v>
      </c>
      <c r="M63" s="1161"/>
      <c r="N63" s="1161"/>
      <c r="O63" s="1161"/>
      <c r="P63" s="1161">
        <v>1</v>
      </c>
      <c r="Q63" s="1161"/>
      <c r="R63" s="1162">
        <f t="shared" si="3"/>
        <v>2</v>
      </c>
      <c r="S63" s="1160"/>
      <c r="T63" s="1161"/>
      <c r="U63" s="1161"/>
      <c r="V63" s="1161"/>
      <c r="W63" s="1161"/>
      <c r="X63" s="1161"/>
      <c r="Y63" s="1162">
        <f t="shared" si="4"/>
        <v>0</v>
      </c>
      <c r="Z63" s="1181">
        <f t="shared" si="5"/>
        <v>14</v>
      </c>
      <c r="AA63" s="1181">
        <f t="shared" si="6"/>
        <v>14</v>
      </c>
      <c r="AD63" s="1163">
        <f t="shared" si="7"/>
        <v>0.16666666666666666</v>
      </c>
      <c r="AE63" s="1184" t="str">
        <f t="shared" si="8"/>
        <v>NA</v>
      </c>
      <c r="AF63" s="1164">
        <f t="shared" si="9"/>
        <v>0.25</v>
      </c>
      <c r="AG63" s="1164">
        <f t="shared" si="10"/>
        <v>0</v>
      </c>
      <c r="AH63" s="1164">
        <f t="shared" si="11"/>
        <v>0</v>
      </c>
      <c r="AI63" s="1164" t="str">
        <f t="shared" si="12"/>
        <v>NA</v>
      </c>
      <c r="AJ63" s="1165">
        <f t="shared" si="13"/>
        <v>0.14285714285714285</v>
      </c>
    </row>
    <row r="64" spans="1:36">
      <c r="A64" s="189" t="s">
        <v>149</v>
      </c>
      <c r="B64" s="190" t="s">
        <v>150</v>
      </c>
      <c r="C64" s="191" t="s">
        <v>273</v>
      </c>
      <c r="E64" s="1160">
        <v>16</v>
      </c>
      <c r="F64" s="1161">
        <v>2</v>
      </c>
      <c r="G64" s="1161">
        <v>10</v>
      </c>
      <c r="H64" s="1161"/>
      <c r="I64" s="1161">
        <v>9</v>
      </c>
      <c r="J64" s="1161">
        <v>1</v>
      </c>
      <c r="K64" s="1162">
        <f t="shared" si="2"/>
        <v>38</v>
      </c>
      <c r="L64" s="1160">
        <v>1</v>
      </c>
      <c r="M64" s="1161"/>
      <c r="N64" s="1161"/>
      <c r="O64" s="1161"/>
      <c r="P64" s="1161">
        <v>1</v>
      </c>
      <c r="Q64" s="1161"/>
      <c r="R64" s="1162">
        <f t="shared" si="3"/>
        <v>2</v>
      </c>
      <c r="S64" s="1160"/>
      <c r="T64" s="1161"/>
      <c r="U64" s="1161"/>
      <c r="V64" s="1161"/>
      <c r="W64" s="1161"/>
      <c r="X64" s="1161"/>
      <c r="Y64" s="1162">
        <f t="shared" si="4"/>
        <v>0</v>
      </c>
      <c r="Z64" s="1181">
        <f t="shared" si="5"/>
        <v>40</v>
      </c>
      <c r="AA64" s="1181">
        <f t="shared" si="6"/>
        <v>40</v>
      </c>
      <c r="AD64" s="1163">
        <f t="shared" si="7"/>
        <v>5.8823529411764705E-2</v>
      </c>
      <c r="AE64" s="1184">
        <f t="shared" si="8"/>
        <v>0</v>
      </c>
      <c r="AF64" s="1164">
        <f t="shared" si="9"/>
        <v>0.1</v>
      </c>
      <c r="AG64" s="1164">
        <f t="shared" si="10"/>
        <v>0</v>
      </c>
      <c r="AH64" s="1164">
        <f t="shared" si="11"/>
        <v>0</v>
      </c>
      <c r="AI64" s="1164" t="str">
        <f t="shared" si="12"/>
        <v>NA</v>
      </c>
      <c r="AJ64" s="1165">
        <f t="shared" si="13"/>
        <v>0.05</v>
      </c>
    </row>
    <row r="65" spans="1:36">
      <c r="A65" s="189" t="s">
        <v>151</v>
      </c>
      <c r="B65" s="190" t="s">
        <v>152</v>
      </c>
      <c r="C65" s="191" t="s">
        <v>275</v>
      </c>
      <c r="E65" s="1160">
        <v>4</v>
      </c>
      <c r="F65" s="1161">
        <v>1</v>
      </c>
      <c r="G65" s="1161">
        <v>3</v>
      </c>
      <c r="H65" s="1161"/>
      <c r="I65" s="1161">
        <v>3</v>
      </c>
      <c r="J65" s="1161">
        <v>1</v>
      </c>
      <c r="K65" s="1162">
        <f t="shared" si="2"/>
        <v>12</v>
      </c>
      <c r="L65" s="1160"/>
      <c r="M65" s="1161"/>
      <c r="N65" s="1161">
        <v>3</v>
      </c>
      <c r="O65" s="1161"/>
      <c r="P65" s="1161">
        <v>2</v>
      </c>
      <c r="Q65" s="1161"/>
      <c r="R65" s="1162">
        <f t="shared" si="3"/>
        <v>5</v>
      </c>
      <c r="S65" s="1160"/>
      <c r="T65" s="1161"/>
      <c r="U65" s="1161"/>
      <c r="V65" s="1161"/>
      <c r="W65" s="1161"/>
      <c r="X65" s="1161"/>
      <c r="Y65" s="1162">
        <f t="shared" si="4"/>
        <v>0</v>
      </c>
      <c r="Z65" s="1181">
        <f t="shared" si="5"/>
        <v>17</v>
      </c>
      <c r="AA65" s="1181">
        <f t="shared" si="6"/>
        <v>17</v>
      </c>
      <c r="AD65" s="1163">
        <f t="shared" si="7"/>
        <v>0</v>
      </c>
      <c r="AE65" s="1184">
        <f t="shared" si="8"/>
        <v>0</v>
      </c>
      <c r="AF65" s="1164">
        <f t="shared" si="9"/>
        <v>0.4</v>
      </c>
      <c r="AG65" s="1164">
        <f t="shared" si="10"/>
        <v>0</v>
      </c>
      <c r="AH65" s="1164">
        <f t="shared" si="11"/>
        <v>0.5</v>
      </c>
      <c r="AI65" s="1164" t="str">
        <f t="shared" si="12"/>
        <v>NA</v>
      </c>
      <c r="AJ65" s="1165">
        <f t="shared" si="13"/>
        <v>0.29411764705882354</v>
      </c>
    </row>
    <row r="66" spans="1:36">
      <c r="A66" s="189" t="s">
        <v>153</v>
      </c>
      <c r="B66" s="190" t="s">
        <v>154</v>
      </c>
      <c r="C66" s="191" t="s">
        <v>278</v>
      </c>
      <c r="E66" s="1160">
        <v>28</v>
      </c>
      <c r="F66" s="1161">
        <v>1</v>
      </c>
      <c r="G66" s="1161">
        <v>11</v>
      </c>
      <c r="H66" s="1161"/>
      <c r="I66" s="1161">
        <v>18</v>
      </c>
      <c r="J66" s="1161">
        <v>3</v>
      </c>
      <c r="K66" s="1162">
        <f t="shared" si="2"/>
        <v>61</v>
      </c>
      <c r="L66" s="1160"/>
      <c r="M66" s="1161">
        <v>1</v>
      </c>
      <c r="N66" s="1161">
        <v>7</v>
      </c>
      <c r="O66" s="1161"/>
      <c r="P66" s="1161">
        <v>2</v>
      </c>
      <c r="Q66" s="1161">
        <v>1</v>
      </c>
      <c r="R66" s="1162">
        <f t="shared" si="3"/>
        <v>11</v>
      </c>
      <c r="S66" s="1160"/>
      <c r="T66" s="1161"/>
      <c r="U66" s="1161"/>
      <c r="V66" s="1161"/>
      <c r="W66" s="1161"/>
      <c r="X66" s="1161"/>
      <c r="Y66" s="1162">
        <f t="shared" si="4"/>
        <v>0</v>
      </c>
      <c r="Z66" s="1181">
        <f t="shared" si="5"/>
        <v>72</v>
      </c>
      <c r="AA66" s="1181">
        <f t="shared" si="6"/>
        <v>72</v>
      </c>
      <c r="AD66" s="1163">
        <f t="shared" si="7"/>
        <v>0</v>
      </c>
      <c r="AE66" s="1184">
        <f t="shared" si="8"/>
        <v>0.5</v>
      </c>
      <c r="AF66" s="1164">
        <f t="shared" si="9"/>
        <v>0.1</v>
      </c>
      <c r="AG66" s="1164">
        <f t="shared" si="10"/>
        <v>0.25</v>
      </c>
      <c r="AH66" s="1164">
        <f t="shared" si="11"/>
        <v>0.3888888888888889</v>
      </c>
      <c r="AI66" s="1164" t="str">
        <f t="shared" si="12"/>
        <v>NA</v>
      </c>
      <c r="AJ66" s="1165">
        <f t="shared" si="13"/>
        <v>0.15277777777777779</v>
      </c>
    </row>
    <row r="67" spans="1:36">
      <c r="A67" s="189" t="s">
        <v>155</v>
      </c>
      <c r="B67" s="190" t="s">
        <v>156</v>
      </c>
      <c r="C67" s="191" t="s">
        <v>273</v>
      </c>
      <c r="E67" s="1160">
        <v>6</v>
      </c>
      <c r="F67" s="1161">
        <v>1</v>
      </c>
      <c r="G67" s="1161">
        <v>3</v>
      </c>
      <c r="H67" s="1161"/>
      <c r="I67" s="1161">
        <v>4</v>
      </c>
      <c r="J67" s="1161"/>
      <c r="K67" s="1162">
        <f t="shared" si="2"/>
        <v>14</v>
      </c>
      <c r="L67" s="1160">
        <v>2</v>
      </c>
      <c r="M67" s="1161"/>
      <c r="N67" s="1161">
        <v>2</v>
      </c>
      <c r="O67" s="1161"/>
      <c r="P67" s="1161"/>
      <c r="Q67" s="1161"/>
      <c r="R67" s="1162">
        <f t="shared" si="3"/>
        <v>4</v>
      </c>
      <c r="S67" s="1160"/>
      <c r="T67" s="1161"/>
      <c r="U67" s="1161"/>
      <c r="V67" s="1161"/>
      <c r="W67" s="1161"/>
      <c r="X67" s="1161"/>
      <c r="Y67" s="1162">
        <f t="shared" si="4"/>
        <v>0</v>
      </c>
      <c r="Z67" s="1181">
        <f t="shared" si="5"/>
        <v>18</v>
      </c>
      <c r="AA67" s="1181">
        <f t="shared" si="6"/>
        <v>18</v>
      </c>
      <c r="AD67" s="1163">
        <f t="shared" si="7"/>
        <v>0.25</v>
      </c>
      <c r="AE67" s="1184">
        <f t="shared" si="8"/>
        <v>0</v>
      </c>
      <c r="AF67" s="1164">
        <f t="shared" si="9"/>
        <v>0</v>
      </c>
      <c r="AG67" s="1164" t="str">
        <f t="shared" si="10"/>
        <v>NA</v>
      </c>
      <c r="AH67" s="1164">
        <f t="shared" si="11"/>
        <v>0.4</v>
      </c>
      <c r="AI67" s="1164" t="str">
        <f t="shared" si="12"/>
        <v>NA</v>
      </c>
      <c r="AJ67" s="1165">
        <f t="shared" si="13"/>
        <v>0.22222222222222221</v>
      </c>
    </row>
    <row r="68" spans="1:36">
      <c r="A68" s="189" t="s">
        <v>157</v>
      </c>
      <c r="B68" s="190" t="s">
        <v>158</v>
      </c>
      <c r="C68" s="191" t="s">
        <v>275</v>
      </c>
      <c r="E68" s="1160">
        <v>6</v>
      </c>
      <c r="F68" s="1161">
        <v>2</v>
      </c>
      <c r="G68" s="1161">
        <v>4</v>
      </c>
      <c r="H68" s="1161"/>
      <c r="I68" s="1161">
        <v>3</v>
      </c>
      <c r="J68" s="1161">
        <v>1</v>
      </c>
      <c r="K68" s="1162">
        <f t="shared" si="2"/>
        <v>16</v>
      </c>
      <c r="L68" s="1160"/>
      <c r="M68" s="1161"/>
      <c r="N68" s="1161"/>
      <c r="O68" s="1161">
        <v>4</v>
      </c>
      <c r="P68" s="1161">
        <v>1</v>
      </c>
      <c r="Q68" s="1161"/>
      <c r="R68" s="1162">
        <f t="shared" si="3"/>
        <v>5</v>
      </c>
      <c r="S68" s="1160"/>
      <c r="T68" s="1161"/>
      <c r="U68" s="1161"/>
      <c r="V68" s="1161"/>
      <c r="W68" s="1161"/>
      <c r="X68" s="1161"/>
      <c r="Y68" s="1162">
        <f t="shared" si="4"/>
        <v>0</v>
      </c>
      <c r="Z68" s="1181">
        <f t="shared" si="5"/>
        <v>21</v>
      </c>
      <c r="AA68" s="1181">
        <f t="shared" si="6"/>
        <v>21</v>
      </c>
      <c r="AD68" s="1163">
        <f t="shared" si="7"/>
        <v>0</v>
      </c>
      <c r="AE68" s="1184">
        <f t="shared" si="8"/>
        <v>0</v>
      </c>
      <c r="AF68" s="1164">
        <f t="shared" si="9"/>
        <v>0.25</v>
      </c>
      <c r="AG68" s="1164">
        <f t="shared" si="10"/>
        <v>0</v>
      </c>
      <c r="AH68" s="1164">
        <f t="shared" si="11"/>
        <v>0</v>
      </c>
      <c r="AI68" s="1164">
        <f t="shared" si="12"/>
        <v>1</v>
      </c>
      <c r="AJ68" s="1165">
        <f t="shared" si="13"/>
        <v>0.23809523809523808</v>
      </c>
    </row>
    <row r="69" spans="1:36">
      <c r="A69" s="189" t="s">
        <v>163</v>
      </c>
      <c r="B69" s="190" t="s">
        <v>164</v>
      </c>
      <c r="C69" s="191" t="s">
        <v>272</v>
      </c>
      <c r="E69" s="1160">
        <v>13</v>
      </c>
      <c r="F69" s="1161">
        <v>1</v>
      </c>
      <c r="G69" s="1161">
        <v>8</v>
      </c>
      <c r="H69" s="1161"/>
      <c r="I69" s="1161">
        <v>9</v>
      </c>
      <c r="J69" s="1161">
        <v>1</v>
      </c>
      <c r="K69" s="1162">
        <f t="shared" si="2"/>
        <v>32</v>
      </c>
      <c r="L69" s="1160">
        <v>2</v>
      </c>
      <c r="M69" s="1161">
        <v>1</v>
      </c>
      <c r="N69" s="1161">
        <v>2</v>
      </c>
      <c r="O69" s="1161"/>
      <c r="P69" s="1161">
        <v>2</v>
      </c>
      <c r="Q69" s="1161"/>
      <c r="R69" s="1162">
        <f t="shared" si="3"/>
        <v>7</v>
      </c>
      <c r="S69" s="1160"/>
      <c r="T69" s="1161"/>
      <c r="U69" s="1161"/>
      <c r="V69" s="1161"/>
      <c r="W69" s="1161"/>
      <c r="X69" s="1161"/>
      <c r="Y69" s="1162">
        <f t="shared" si="4"/>
        <v>0</v>
      </c>
      <c r="Z69" s="1181">
        <f t="shared" si="5"/>
        <v>39</v>
      </c>
      <c r="AA69" s="1181">
        <f t="shared" si="6"/>
        <v>39</v>
      </c>
      <c r="AD69" s="1163">
        <f t="shared" si="7"/>
        <v>0.13333333333333333</v>
      </c>
      <c r="AE69" s="1184">
        <f t="shared" si="8"/>
        <v>0.5</v>
      </c>
      <c r="AF69" s="1164">
        <f t="shared" si="9"/>
        <v>0.18181818181818182</v>
      </c>
      <c r="AG69" s="1164">
        <f t="shared" si="10"/>
        <v>0</v>
      </c>
      <c r="AH69" s="1164">
        <f t="shared" si="11"/>
        <v>0.2</v>
      </c>
      <c r="AI69" s="1164" t="str">
        <f t="shared" si="12"/>
        <v>NA</v>
      </c>
      <c r="AJ69" s="1165">
        <f t="shared" si="13"/>
        <v>0.17948717948717949</v>
      </c>
    </row>
    <row r="70" spans="1:36">
      <c r="A70" s="189" t="s">
        <v>165</v>
      </c>
      <c r="B70" s="190" t="s">
        <v>166</v>
      </c>
      <c r="C70" s="191" t="s">
        <v>275</v>
      </c>
      <c r="E70" s="1160">
        <v>5</v>
      </c>
      <c r="F70" s="1161">
        <v>1</v>
      </c>
      <c r="G70" s="1161">
        <v>4</v>
      </c>
      <c r="H70" s="1161"/>
      <c r="I70" s="1161">
        <v>6</v>
      </c>
      <c r="J70" s="1161">
        <v>1</v>
      </c>
      <c r="K70" s="1162">
        <f t="shared" si="2"/>
        <v>17</v>
      </c>
      <c r="L70" s="1160">
        <v>3</v>
      </c>
      <c r="M70" s="1161"/>
      <c r="N70" s="1161">
        <v>1</v>
      </c>
      <c r="O70" s="1161"/>
      <c r="P70" s="1161"/>
      <c r="Q70" s="1161"/>
      <c r="R70" s="1162">
        <f t="shared" si="3"/>
        <v>4</v>
      </c>
      <c r="S70" s="1160"/>
      <c r="T70" s="1161"/>
      <c r="U70" s="1161"/>
      <c r="V70" s="1161"/>
      <c r="W70" s="1161"/>
      <c r="X70" s="1161"/>
      <c r="Y70" s="1162">
        <f t="shared" si="4"/>
        <v>0</v>
      </c>
      <c r="Z70" s="1181">
        <f t="shared" si="5"/>
        <v>21</v>
      </c>
      <c r="AA70" s="1181">
        <f t="shared" si="6"/>
        <v>21</v>
      </c>
      <c r="AD70" s="1163">
        <f t="shared" si="7"/>
        <v>0.375</v>
      </c>
      <c r="AE70" s="1184">
        <f t="shared" si="8"/>
        <v>0</v>
      </c>
      <c r="AF70" s="1164">
        <f t="shared" si="9"/>
        <v>0</v>
      </c>
      <c r="AG70" s="1164">
        <f t="shared" si="10"/>
        <v>0</v>
      </c>
      <c r="AH70" s="1164">
        <f t="shared" si="11"/>
        <v>0.2</v>
      </c>
      <c r="AI70" s="1164" t="str">
        <f t="shared" si="12"/>
        <v>NA</v>
      </c>
      <c r="AJ70" s="1165">
        <f t="shared" si="13"/>
        <v>0.19047619047619047</v>
      </c>
    </row>
    <row r="71" spans="1:36">
      <c r="A71" s="189" t="s">
        <v>169</v>
      </c>
      <c r="B71" s="190" t="s">
        <v>170</v>
      </c>
      <c r="C71" s="191" t="s">
        <v>275</v>
      </c>
      <c r="E71" s="1160">
        <v>10</v>
      </c>
      <c r="F71" s="1161">
        <v>2</v>
      </c>
      <c r="G71" s="1161">
        <v>5</v>
      </c>
      <c r="H71" s="1161"/>
      <c r="I71" s="1161">
        <v>5</v>
      </c>
      <c r="J71" s="1161">
        <v>1</v>
      </c>
      <c r="K71" s="1162">
        <f t="shared" ref="K71:K126" si="14">SUM(E71:J71)</f>
        <v>23</v>
      </c>
      <c r="L71" s="1160"/>
      <c r="M71" s="1161"/>
      <c r="N71" s="1161">
        <v>2</v>
      </c>
      <c r="O71" s="1161"/>
      <c r="P71" s="1161"/>
      <c r="Q71" s="1161"/>
      <c r="R71" s="1162">
        <f t="shared" ref="R71:R126" si="15">SUM(L71:Q71)</f>
        <v>2</v>
      </c>
      <c r="S71" s="1160"/>
      <c r="T71" s="1161"/>
      <c r="U71" s="1161"/>
      <c r="V71" s="1161"/>
      <c r="W71" s="1161"/>
      <c r="X71" s="1161"/>
      <c r="Y71" s="1162">
        <f t="shared" ref="Y71:Y126" si="16">SUM(S71:X71)</f>
        <v>0</v>
      </c>
      <c r="Z71" s="1181">
        <f t="shared" ref="Z71:Z126" si="17">K71+R71+Y71</f>
        <v>25</v>
      </c>
      <c r="AA71" s="1181">
        <f t="shared" ref="AA71:AA126" si="18">K71+R71</f>
        <v>25</v>
      </c>
      <c r="AD71" s="1163">
        <f t="shared" ref="AD71:AD126" si="19">IF((E71+L71)=0,"NA",(L71/(E71+L71)))</f>
        <v>0</v>
      </c>
      <c r="AE71" s="1184">
        <f t="shared" ref="AE71:AE126" si="20">IF((F71+M71)=0,"NA",(M71/(F71+M71)))</f>
        <v>0</v>
      </c>
      <c r="AF71" s="1164">
        <f t="shared" ref="AF71:AF126" si="21">IF((I71+P71)=0,"NA",(P71/(I71+P71)))</f>
        <v>0</v>
      </c>
      <c r="AG71" s="1164">
        <f t="shared" ref="AG71:AG126" si="22">IF((J71+Q71)=0,"NA",(Q71/(J71+Q71)))</f>
        <v>0</v>
      </c>
      <c r="AH71" s="1164">
        <f t="shared" ref="AH71:AH126" si="23">IF((G71+N71)=0,"NA",(N71/(G71+N71)))</f>
        <v>0.2857142857142857</v>
      </c>
      <c r="AI71" s="1164" t="str">
        <f t="shared" ref="AI71:AI126" si="24">IF((H71+O71)=0,"NA",(O71/(H71+O71)))</f>
        <v>NA</v>
      </c>
      <c r="AJ71" s="1165">
        <f t="shared" ref="AJ71:AJ126" si="25">IF((K71+R71)=0,"NA",(R71/(K71+R71)))</f>
        <v>0.08</v>
      </c>
    </row>
    <row r="72" spans="1:36">
      <c r="A72" s="189" t="s">
        <v>171</v>
      </c>
      <c r="B72" s="190" t="s">
        <v>172</v>
      </c>
      <c r="C72" s="191" t="s">
        <v>276</v>
      </c>
      <c r="E72" s="1160">
        <v>11</v>
      </c>
      <c r="F72" s="1161">
        <v>3</v>
      </c>
      <c r="G72" s="1161">
        <v>7</v>
      </c>
      <c r="H72" s="1161"/>
      <c r="I72" s="1161">
        <v>6</v>
      </c>
      <c r="J72" s="1161">
        <v>1</v>
      </c>
      <c r="K72" s="1162">
        <f t="shared" si="14"/>
        <v>28</v>
      </c>
      <c r="L72" s="1160">
        <v>3</v>
      </c>
      <c r="M72" s="1161">
        <v>2</v>
      </c>
      <c r="N72" s="1161">
        <v>3</v>
      </c>
      <c r="O72" s="1161"/>
      <c r="P72" s="1161">
        <v>4</v>
      </c>
      <c r="Q72" s="1161">
        <v>1</v>
      </c>
      <c r="R72" s="1162">
        <f t="shared" si="15"/>
        <v>13</v>
      </c>
      <c r="S72" s="1160"/>
      <c r="T72" s="1161"/>
      <c r="U72" s="1161"/>
      <c r="V72" s="1161"/>
      <c r="W72" s="1161"/>
      <c r="X72" s="1161"/>
      <c r="Y72" s="1162">
        <f t="shared" si="16"/>
        <v>0</v>
      </c>
      <c r="Z72" s="1181">
        <f t="shared" si="17"/>
        <v>41</v>
      </c>
      <c r="AA72" s="1181">
        <f t="shared" si="18"/>
        <v>41</v>
      </c>
      <c r="AD72" s="1163">
        <f t="shared" si="19"/>
        <v>0.21428571428571427</v>
      </c>
      <c r="AE72" s="1184">
        <f t="shared" si="20"/>
        <v>0.4</v>
      </c>
      <c r="AF72" s="1164">
        <f t="shared" si="21"/>
        <v>0.4</v>
      </c>
      <c r="AG72" s="1164">
        <f t="shared" si="22"/>
        <v>0.5</v>
      </c>
      <c r="AH72" s="1164">
        <f t="shared" si="23"/>
        <v>0.3</v>
      </c>
      <c r="AI72" s="1164" t="str">
        <f t="shared" si="24"/>
        <v>NA</v>
      </c>
      <c r="AJ72" s="1165">
        <f t="shared" si="25"/>
        <v>0.31707317073170732</v>
      </c>
    </row>
    <row r="73" spans="1:36">
      <c r="A73" s="189" t="s">
        <v>173</v>
      </c>
      <c r="B73" s="190" t="s">
        <v>174</v>
      </c>
      <c r="C73" s="191" t="s">
        <v>276</v>
      </c>
      <c r="E73" s="1160">
        <v>9</v>
      </c>
      <c r="F73" s="1161">
        <v>1</v>
      </c>
      <c r="G73" s="1161">
        <v>6</v>
      </c>
      <c r="H73" s="1161"/>
      <c r="I73" s="1161">
        <v>9</v>
      </c>
      <c r="J73" s="1161"/>
      <c r="K73" s="1162">
        <f t="shared" si="14"/>
        <v>25</v>
      </c>
      <c r="L73" s="1160">
        <v>1</v>
      </c>
      <c r="M73" s="1161"/>
      <c r="N73" s="1161">
        <v>1</v>
      </c>
      <c r="O73" s="1161"/>
      <c r="P73" s="1161"/>
      <c r="Q73" s="1161"/>
      <c r="R73" s="1162">
        <f t="shared" si="15"/>
        <v>2</v>
      </c>
      <c r="S73" s="1160"/>
      <c r="T73" s="1161"/>
      <c r="U73" s="1161"/>
      <c r="V73" s="1161"/>
      <c r="W73" s="1161"/>
      <c r="X73" s="1161"/>
      <c r="Y73" s="1162">
        <f t="shared" si="16"/>
        <v>0</v>
      </c>
      <c r="Z73" s="1181">
        <f t="shared" si="17"/>
        <v>27</v>
      </c>
      <c r="AA73" s="1181">
        <f t="shared" si="18"/>
        <v>27</v>
      </c>
      <c r="AD73" s="1163">
        <f t="shared" si="19"/>
        <v>0.1</v>
      </c>
      <c r="AE73" s="1184">
        <f t="shared" si="20"/>
        <v>0</v>
      </c>
      <c r="AF73" s="1164">
        <f t="shared" si="21"/>
        <v>0</v>
      </c>
      <c r="AG73" s="1164" t="str">
        <f t="shared" si="22"/>
        <v>NA</v>
      </c>
      <c r="AH73" s="1164">
        <f t="shared" si="23"/>
        <v>0.14285714285714285</v>
      </c>
      <c r="AI73" s="1164" t="str">
        <f t="shared" si="24"/>
        <v>NA</v>
      </c>
      <c r="AJ73" s="1165">
        <f t="shared" si="25"/>
        <v>7.407407407407407E-2</v>
      </c>
    </row>
    <row r="74" spans="1:36">
      <c r="A74" s="189" t="s">
        <v>175</v>
      </c>
      <c r="B74" s="190" t="s">
        <v>176</v>
      </c>
      <c r="C74" s="191" t="s">
        <v>278</v>
      </c>
      <c r="E74" s="1160">
        <v>9</v>
      </c>
      <c r="F74" s="1161">
        <v>1</v>
      </c>
      <c r="G74" s="1161">
        <v>6</v>
      </c>
      <c r="H74" s="1161"/>
      <c r="I74" s="1161">
        <v>7</v>
      </c>
      <c r="J74" s="1161">
        <v>1</v>
      </c>
      <c r="K74" s="1162">
        <f t="shared" si="14"/>
        <v>24</v>
      </c>
      <c r="L74" s="1160">
        <v>4</v>
      </c>
      <c r="M74" s="1161"/>
      <c r="N74" s="1161"/>
      <c r="O74" s="1161">
        <v>1</v>
      </c>
      <c r="P74" s="1161">
        <v>2</v>
      </c>
      <c r="Q74" s="1161"/>
      <c r="R74" s="1162">
        <f t="shared" si="15"/>
        <v>7</v>
      </c>
      <c r="S74" s="1160"/>
      <c r="T74" s="1161"/>
      <c r="U74" s="1161"/>
      <c r="V74" s="1161"/>
      <c r="W74" s="1161"/>
      <c r="X74" s="1161"/>
      <c r="Y74" s="1162">
        <f t="shared" si="16"/>
        <v>0</v>
      </c>
      <c r="Z74" s="1181">
        <f t="shared" si="17"/>
        <v>31</v>
      </c>
      <c r="AA74" s="1181">
        <f t="shared" si="18"/>
        <v>31</v>
      </c>
      <c r="AD74" s="1163">
        <f t="shared" si="19"/>
        <v>0.30769230769230771</v>
      </c>
      <c r="AE74" s="1184">
        <f t="shared" si="20"/>
        <v>0</v>
      </c>
      <c r="AF74" s="1164">
        <f t="shared" si="21"/>
        <v>0.22222222222222221</v>
      </c>
      <c r="AG74" s="1164">
        <f t="shared" si="22"/>
        <v>0</v>
      </c>
      <c r="AH74" s="1164">
        <f t="shared" si="23"/>
        <v>0</v>
      </c>
      <c r="AI74" s="1164">
        <f t="shared" si="24"/>
        <v>1</v>
      </c>
      <c r="AJ74" s="1165">
        <f t="shared" si="25"/>
        <v>0.22580645161290322</v>
      </c>
    </row>
    <row r="75" spans="1:36">
      <c r="A75" s="189" t="s">
        <v>179</v>
      </c>
      <c r="B75" s="190" t="s">
        <v>180</v>
      </c>
      <c r="C75" s="191" t="s">
        <v>273</v>
      </c>
      <c r="E75" s="1160">
        <v>26</v>
      </c>
      <c r="F75" s="1161">
        <v>5</v>
      </c>
      <c r="G75" s="1161">
        <v>12</v>
      </c>
      <c r="H75" s="1161"/>
      <c r="I75" s="1161">
        <v>21</v>
      </c>
      <c r="J75" s="1161">
        <v>2</v>
      </c>
      <c r="K75" s="1162">
        <f t="shared" si="14"/>
        <v>66</v>
      </c>
      <c r="L75" s="1160">
        <v>1</v>
      </c>
      <c r="M75" s="1161"/>
      <c r="N75" s="1161">
        <v>2</v>
      </c>
      <c r="O75" s="1161"/>
      <c r="P75" s="1161">
        <v>3</v>
      </c>
      <c r="Q75" s="1161">
        <v>1</v>
      </c>
      <c r="R75" s="1162">
        <f t="shared" si="15"/>
        <v>7</v>
      </c>
      <c r="S75" s="1160"/>
      <c r="T75" s="1161"/>
      <c r="U75" s="1161"/>
      <c r="V75" s="1161"/>
      <c r="W75" s="1161"/>
      <c r="X75" s="1161"/>
      <c r="Y75" s="1162">
        <f t="shared" si="16"/>
        <v>0</v>
      </c>
      <c r="Z75" s="1181">
        <f t="shared" si="17"/>
        <v>73</v>
      </c>
      <c r="AA75" s="1181">
        <f t="shared" si="18"/>
        <v>73</v>
      </c>
      <c r="AD75" s="1163">
        <f t="shared" si="19"/>
        <v>3.7037037037037035E-2</v>
      </c>
      <c r="AE75" s="1184">
        <f t="shared" si="20"/>
        <v>0</v>
      </c>
      <c r="AF75" s="1164">
        <f t="shared" si="21"/>
        <v>0.125</v>
      </c>
      <c r="AG75" s="1164">
        <f t="shared" si="22"/>
        <v>0.33333333333333331</v>
      </c>
      <c r="AH75" s="1164">
        <f t="shared" si="23"/>
        <v>0.14285714285714285</v>
      </c>
      <c r="AI75" s="1164" t="str">
        <f t="shared" si="24"/>
        <v>NA</v>
      </c>
      <c r="AJ75" s="1165">
        <f t="shared" si="25"/>
        <v>9.5890410958904104E-2</v>
      </c>
    </row>
    <row r="76" spans="1:36">
      <c r="A76" s="189" t="s">
        <v>183</v>
      </c>
      <c r="B76" s="190" t="s">
        <v>184</v>
      </c>
      <c r="C76" s="191" t="s">
        <v>275</v>
      </c>
      <c r="E76" s="1160">
        <v>6</v>
      </c>
      <c r="F76" s="1161">
        <v>1</v>
      </c>
      <c r="G76" s="1161">
        <v>5</v>
      </c>
      <c r="H76" s="1161">
        <v>1</v>
      </c>
      <c r="I76" s="1161">
        <v>5</v>
      </c>
      <c r="J76" s="1161">
        <v>1</v>
      </c>
      <c r="K76" s="1162">
        <f t="shared" si="14"/>
        <v>19</v>
      </c>
      <c r="L76" s="1160"/>
      <c r="M76" s="1161"/>
      <c r="N76" s="1161"/>
      <c r="O76" s="1161">
        <v>1</v>
      </c>
      <c r="P76" s="1161">
        <v>4</v>
      </c>
      <c r="Q76" s="1161"/>
      <c r="R76" s="1162">
        <f t="shared" si="15"/>
        <v>5</v>
      </c>
      <c r="S76" s="1160"/>
      <c r="T76" s="1161"/>
      <c r="U76" s="1161"/>
      <c r="V76" s="1161"/>
      <c r="W76" s="1161"/>
      <c r="X76" s="1161"/>
      <c r="Y76" s="1162">
        <f t="shared" si="16"/>
        <v>0</v>
      </c>
      <c r="Z76" s="1181">
        <f t="shared" si="17"/>
        <v>24</v>
      </c>
      <c r="AA76" s="1181">
        <f t="shared" si="18"/>
        <v>24</v>
      </c>
      <c r="AD76" s="1163">
        <f t="shared" si="19"/>
        <v>0</v>
      </c>
      <c r="AE76" s="1184">
        <f t="shared" si="20"/>
        <v>0</v>
      </c>
      <c r="AF76" s="1164">
        <f t="shared" si="21"/>
        <v>0.44444444444444442</v>
      </c>
      <c r="AG76" s="1164">
        <f t="shared" si="22"/>
        <v>0</v>
      </c>
      <c r="AH76" s="1164">
        <f t="shared" si="23"/>
        <v>0</v>
      </c>
      <c r="AI76" s="1164">
        <f t="shared" si="24"/>
        <v>0.5</v>
      </c>
      <c r="AJ76" s="1165">
        <f t="shared" si="25"/>
        <v>0.20833333333333334</v>
      </c>
    </row>
    <row r="77" spans="1:36">
      <c r="A77" s="189" t="s">
        <v>185</v>
      </c>
      <c r="B77" s="190" t="s">
        <v>186</v>
      </c>
      <c r="C77" s="191" t="s">
        <v>275</v>
      </c>
      <c r="E77" s="1160">
        <v>15</v>
      </c>
      <c r="F77" s="1161">
        <v>1</v>
      </c>
      <c r="G77" s="1161">
        <v>7</v>
      </c>
      <c r="H77" s="1161"/>
      <c r="I77" s="1161">
        <v>7</v>
      </c>
      <c r="J77" s="1161">
        <v>2</v>
      </c>
      <c r="K77" s="1162">
        <f t="shared" si="14"/>
        <v>32</v>
      </c>
      <c r="L77" s="1160">
        <v>2</v>
      </c>
      <c r="M77" s="1161"/>
      <c r="N77" s="1161">
        <v>3</v>
      </c>
      <c r="O77" s="1161"/>
      <c r="P77" s="1161">
        <v>4</v>
      </c>
      <c r="Q77" s="1161"/>
      <c r="R77" s="1162">
        <f t="shared" si="15"/>
        <v>9</v>
      </c>
      <c r="S77" s="1160"/>
      <c r="T77" s="1161"/>
      <c r="U77" s="1161"/>
      <c r="V77" s="1161"/>
      <c r="W77" s="1161"/>
      <c r="X77" s="1161"/>
      <c r="Y77" s="1162">
        <f t="shared" si="16"/>
        <v>0</v>
      </c>
      <c r="Z77" s="1181">
        <f t="shared" si="17"/>
        <v>41</v>
      </c>
      <c r="AA77" s="1181">
        <f t="shared" si="18"/>
        <v>41</v>
      </c>
      <c r="AD77" s="1163">
        <f t="shared" si="19"/>
        <v>0.11764705882352941</v>
      </c>
      <c r="AE77" s="1184">
        <f t="shared" si="20"/>
        <v>0</v>
      </c>
      <c r="AF77" s="1164">
        <f t="shared" si="21"/>
        <v>0.36363636363636365</v>
      </c>
      <c r="AG77" s="1164">
        <f t="shared" si="22"/>
        <v>0</v>
      </c>
      <c r="AH77" s="1164">
        <f t="shared" si="23"/>
        <v>0.3</v>
      </c>
      <c r="AI77" s="1164" t="str">
        <f t="shared" si="24"/>
        <v>NA</v>
      </c>
      <c r="AJ77" s="1165">
        <f t="shared" si="25"/>
        <v>0.21951219512195122</v>
      </c>
    </row>
    <row r="78" spans="1:36">
      <c r="A78" s="189" t="s">
        <v>187</v>
      </c>
      <c r="B78" s="190" t="s">
        <v>188</v>
      </c>
      <c r="C78" s="191" t="s">
        <v>272</v>
      </c>
      <c r="E78" s="1160">
        <v>5</v>
      </c>
      <c r="F78" s="1161">
        <v>1</v>
      </c>
      <c r="G78" s="1161">
        <v>5</v>
      </c>
      <c r="H78" s="1161">
        <v>3</v>
      </c>
      <c r="I78" s="1161">
        <v>8</v>
      </c>
      <c r="J78" s="1161">
        <v>1</v>
      </c>
      <c r="K78" s="1162">
        <f t="shared" si="14"/>
        <v>23</v>
      </c>
      <c r="L78" s="1160"/>
      <c r="M78" s="1161"/>
      <c r="N78" s="1161">
        <v>2</v>
      </c>
      <c r="O78" s="1161"/>
      <c r="P78" s="1161">
        <v>1</v>
      </c>
      <c r="Q78" s="1161"/>
      <c r="R78" s="1162">
        <f t="shared" si="15"/>
        <v>3</v>
      </c>
      <c r="S78" s="1160"/>
      <c r="T78" s="1161"/>
      <c r="U78" s="1161"/>
      <c r="V78" s="1161"/>
      <c r="W78" s="1161"/>
      <c r="X78" s="1161"/>
      <c r="Y78" s="1162">
        <f t="shared" si="16"/>
        <v>0</v>
      </c>
      <c r="Z78" s="1181">
        <f t="shared" si="17"/>
        <v>26</v>
      </c>
      <c r="AA78" s="1181">
        <f t="shared" si="18"/>
        <v>26</v>
      </c>
      <c r="AD78" s="1163">
        <f t="shared" si="19"/>
        <v>0</v>
      </c>
      <c r="AE78" s="1184">
        <f t="shared" si="20"/>
        <v>0</v>
      </c>
      <c r="AF78" s="1164">
        <f t="shared" si="21"/>
        <v>0.1111111111111111</v>
      </c>
      <c r="AG78" s="1164">
        <f t="shared" si="22"/>
        <v>0</v>
      </c>
      <c r="AH78" s="1164">
        <f t="shared" si="23"/>
        <v>0.2857142857142857</v>
      </c>
      <c r="AI78" s="1164">
        <f t="shared" si="24"/>
        <v>0</v>
      </c>
      <c r="AJ78" s="1165">
        <f t="shared" si="25"/>
        <v>0.11538461538461539</v>
      </c>
    </row>
    <row r="79" spans="1:36">
      <c r="A79" s="189" t="s">
        <v>189</v>
      </c>
      <c r="B79" s="190" t="s">
        <v>190</v>
      </c>
      <c r="C79" s="191" t="s">
        <v>276</v>
      </c>
      <c r="E79" s="1160">
        <v>94</v>
      </c>
      <c r="F79" s="1161">
        <v>14</v>
      </c>
      <c r="G79" s="1161">
        <v>32</v>
      </c>
      <c r="H79" s="1161">
        <v>2</v>
      </c>
      <c r="I79" s="1161">
        <v>87</v>
      </c>
      <c r="J79" s="1161">
        <v>11</v>
      </c>
      <c r="K79" s="1162">
        <f t="shared" si="14"/>
        <v>240</v>
      </c>
      <c r="L79" s="1160">
        <v>18</v>
      </c>
      <c r="M79" s="1161"/>
      <c r="N79" s="1161">
        <v>30</v>
      </c>
      <c r="O79" s="1161"/>
      <c r="P79" s="1161">
        <v>10</v>
      </c>
      <c r="Q79" s="1161">
        <v>2</v>
      </c>
      <c r="R79" s="1162">
        <f t="shared" si="15"/>
        <v>60</v>
      </c>
      <c r="S79" s="1160"/>
      <c r="T79" s="1161"/>
      <c r="U79" s="1161"/>
      <c r="V79" s="1161"/>
      <c r="W79" s="1161"/>
      <c r="X79" s="1161"/>
      <c r="Y79" s="1162">
        <f t="shared" si="16"/>
        <v>0</v>
      </c>
      <c r="Z79" s="1181">
        <f t="shared" si="17"/>
        <v>300</v>
      </c>
      <c r="AA79" s="1181">
        <f t="shared" si="18"/>
        <v>300</v>
      </c>
      <c r="AD79" s="1163">
        <f t="shared" si="19"/>
        <v>0.16071428571428573</v>
      </c>
      <c r="AE79" s="1184">
        <f t="shared" si="20"/>
        <v>0</v>
      </c>
      <c r="AF79" s="1164">
        <f t="shared" si="21"/>
        <v>0.10309278350515463</v>
      </c>
      <c r="AG79" s="1164">
        <f t="shared" si="22"/>
        <v>0.15384615384615385</v>
      </c>
      <c r="AH79" s="1164">
        <f t="shared" si="23"/>
        <v>0.4838709677419355</v>
      </c>
      <c r="AI79" s="1164">
        <f t="shared" si="24"/>
        <v>0</v>
      </c>
      <c r="AJ79" s="1165">
        <f t="shared" si="25"/>
        <v>0.2</v>
      </c>
    </row>
    <row r="80" spans="1:36">
      <c r="A80" s="189" t="s">
        <v>191</v>
      </c>
      <c r="B80" s="190" t="s">
        <v>192</v>
      </c>
      <c r="C80" s="191" t="s">
        <v>278</v>
      </c>
      <c r="E80" s="1160">
        <v>22</v>
      </c>
      <c r="F80" s="1161">
        <v>4</v>
      </c>
      <c r="G80" s="1161">
        <v>9</v>
      </c>
      <c r="H80" s="1161"/>
      <c r="I80" s="1161">
        <v>15</v>
      </c>
      <c r="J80" s="1161">
        <v>6</v>
      </c>
      <c r="K80" s="1162">
        <f t="shared" si="14"/>
        <v>56</v>
      </c>
      <c r="L80" s="1160">
        <v>1</v>
      </c>
      <c r="M80" s="1161"/>
      <c r="N80" s="1161">
        <v>2</v>
      </c>
      <c r="O80" s="1161"/>
      <c r="P80" s="1161">
        <v>5</v>
      </c>
      <c r="Q80" s="1161"/>
      <c r="R80" s="1162">
        <f t="shared" si="15"/>
        <v>8</v>
      </c>
      <c r="S80" s="1160"/>
      <c r="T80" s="1161"/>
      <c r="U80" s="1161"/>
      <c r="V80" s="1161"/>
      <c r="W80" s="1161"/>
      <c r="X80" s="1161"/>
      <c r="Y80" s="1162">
        <f t="shared" si="16"/>
        <v>0</v>
      </c>
      <c r="Z80" s="1181">
        <f t="shared" si="17"/>
        <v>64</v>
      </c>
      <c r="AA80" s="1181">
        <f t="shared" si="18"/>
        <v>64</v>
      </c>
      <c r="AD80" s="1163">
        <f t="shared" si="19"/>
        <v>4.3478260869565216E-2</v>
      </c>
      <c r="AE80" s="1184">
        <f t="shared" si="20"/>
        <v>0</v>
      </c>
      <c r="AF80" s="1164">
        <f t="shared" si="21"/>
        <v>0.25</v>
      </c>
      <c r="AG80" s="1164">
        <f t="shared" si="22"/>
        <v>0</v>
      </c>
      <c r="AH80" s="1164">
        <f t="shared" si="23"/>
        <v>0.18181818181818182</v>
      </c>
      <c r="AI80" s="1164" t="str">
        <f t="shared" si="24"/>
        <v>NA</v>
      </c>
      <c r="AJ80" s="1165">
        <f t="shared" si="25"/>
        <v>0.125</v>
      </c>
    </row>
    <row r="81" spans="1:36">
      <c r="A81" s="189" t="s">
        <v>195</v>
      </c>
      <c r="B81" s="190" t="s">
        <v>196</v>
      </c>
      <c r="C81" s="191" t="s">
        <v>276</v>
      </c>
      <c r="E81" s="1160">
        <v>3</v>
      </c>
      <c r="F81" s="1161"/>
      <c r="G81" s="1161">
        <v>3</v>
      </c>
      <c r="H81" s="1161"/>
      <c r="I81" s="1161">
        <v>3</v>
      </c>
      <c r="J81" s="1161"/>
      <c r="K81" s="1162">
        <f t="shared" si="14"/>
        <v>9</v>
      </c>
      <c r="L81" s="1160">
        <v>1</v>
      </c>
      <c r="M81" s="1161"/>
      <c r="N81" s="1161"/>
      <c r="O81" s="1161"/>
      <c r="P81" s="1161"/>
      <c r="Q81" s="1161"/>
      <c r="R81" s="1162">
        <f t="shared" si="15"/>
        <v>1</v>
      </c>
      <c r="S81" s="1160"/>
      <c r="T81" s="1161"/>
      <c r="U81" s="1161"/>
      <c r="V81" s="1161"/>
      <c r="W81" s="1161"/>
      <c r="X81" s="1161"/>
      <c r="Y81" s="1162">
        <f t="shared" si="16"/>
        <v>0</v>
      </c>
      <c r="Z81" s="1181">
        <f t="shared" si="17"/>
        <v>10</v>
      </c>
      <c r="AA81" s="1181">
        <f t="shared" si="18"/>
        <v>10</v>
      </c>
      <c r="AD81" s="1163">
        <f t="shared" si="19"/>
        <v>0.25</v>
      </c>
      <c r="AE81" s="1184" t="str">
        <f t="shared" si="20"/>
        <v>NA</v>
      </c>
      <c r="AF81" s="1164">
        <f t="shared" si="21"/>
        <v>0</v>
      </c>
      <c r="AG81" s="1164" t="str">
        <f t="shared" si="22"/>
        <v>NA</v>
      </c>
      <c r="AH81" s="1164">
        <f t="shared" si="23"/>
        <v>0</v>
      </c>
      <c r="AI81" s="1164" t="str">
        <f t="shared" si="24"/>
        <v>NA</v>
      </c>
      <c r="AJ81" s="1165">
        <f t="shared" si="25"/>
        <v>0.1</v>
      </c>
    </row>
    <row r="82" spans="1:36">
      <c r="A82" s="189" t="s">
        <v>199</v>
      </c>
      <c r="B82" s="190" t="s">
        <v>200</v>
      </c>
      <c r="C82" s="191" t="s">
        <v>275</v>
      </c>
      <c r="E82" s="1160">
        <v>5</v>
      </c>
      <c r="F82" s="1161"/>
      <c r="G82" s="1161">
        <v>4</v>
      </c>
      <c r="H82" s="1161"/>
      <c r="I82" s="1161">
        <v>3</v>
      </c>
      <c r="J82" s="1161">
        <v>1</v>
      </c>
      <c r="K82" s="1162">
        <f t="shared" si="14"/>
        <v>13</v>
      </c>
      <c r="L82" s="1160">
        <v>1</v>
      </c>
      <c r="M82" s="1161">
        <v>1</v>
      </c>
      <c r="N82" s="1161">
        <v>1</v>
      </c>
      <c r="O82" s="1161"/>
      <c r="P82" s="1161">
        <v>2</v>
      </c>
      <c r="Q82" s="1161"/>
      <c r="R82" s="1162">
        <f t="shared" si="15"/>
        <v>5</v>
      </c>
      <c r="S82" s="1160"/>
      <c r="T82" s="1161"/>
      <c r="U82" s="1161"/>
      <c r="V82" s="1161"/>
      <c r="W82" s="1161"/>
      <c r="X82" s="1161"/>
      <c r="Y82" s="1162">
        <f t="shared" si="16"/>
        <v>0</v>
      </c>
      <c r="Z82" s="1181">
        <f t="shared" si="17"/>
        <v>18</v>
      </c>
      <c r="AA82" s="1181">
        <f t="shared" si="18"/>
        <v>18</v>
      </c>
      <c r="AD82" s="1163">
        <f t="shared" si="19"/>
        <v>0.16666666666666666</v>
      </c>
      <c r="AE82" s="1184">
        <f t="shared" si="20"/>
        <v>1</v>
      </c>
      <c r="AF82" s="1164">
        <f t="shared" si="21"/>
        <v>0.4</v>
      </c>
      <c r="AG82" s="1164">
        <f t="shared" si="22"/>
        <v>0</v>
      </c>
      <c r="AH82" s="1164">
        <f t="shared" si="23"/>
        <v>0.2</v>
      </c>
      <c r="AI82" s="1164" t="str">
        <f t="shared" si="24"/>
        <v>NA</v>
      </c>
      <c r="AJ82" s="1165">
        <f t="shared" si="25"/>
        <v>0.27777777777777779</v>
      </c>
    </row>
    <row r="83" spans="1:36">
      <c r="A83" s="189" t="s">
        <v>203</v>
      </c>
      <c r="B83" s="190" t="s">
        <v>887</v>
      </c>
      <c r="C83" s="191" t="s">
        <v>273</v>
      </c>
      <c r="E83" s="1160">
        <v>30</v>
      </c>
      <c r="F83" s="1161">
        <v>4</v>
      </c>
      <c r="G83" s="1161">
        <v>12</v>
      </c>
      <c r="H83" s="1161"/>
      <c r="I83" s="1161">
        <v>38</v>
      </c>
      <c r="J83" s="1161">
        <v>6</v>
      </c>
      <c r="K83" s="1162">
        <f t="shared" si="14"/>
        <v>90</v>
      </c>
      <c r="L83" s="1160">
        <v>2</v>
      </c>
      <c r="M83" s="1161"/>
      <c r="N83" s="1161"/>
      <c r="O83" s="1161"/>
      <c r="P83" s="1161">
        <v>2</v>
      </c>
      <c r="Q83" s="1161"/>
      <c r="R83" s="1162">
        <f t="shared" si="15"/>
        <v>4</v>
      </c>
      <c r="S83" s="1160"/>
      <c r="T83" s="1161"/>
      <c r="U83" s="1161"/>
      <c r="V83" s="1161"/>
      <c r="W83" s="1161"/>
      <c r="X83" s="1161"/>
      <c r="Y83" s="1162">
        <f t="shared" si="16"/>
        <v>0</v>
      </c>
      <c r="Z83" s="1181">
        <f t="shared" si="17"/>
        <v>94</v>
      </c>
      <c r="AA83" s="1181">
        <f t="shared" si="18"/>
        <v>94</v>
      </c>
      <c r="AD83" s="1163">
        <f t="shared" si="19"/>
        <v>6.25E-2</v>
      </c>
      <c r="AE83" s="1184">
        <f t="shared" si="20"/>
        <v>0</v>
      </c>
      <c r="AF83" s="1164">
        <f t="shared" si="21"/>
        <v>0.05</v>
      </c>
      <c r="AG83" s="1164">
        <f t="shared" si="22"/>
        <v>0</v>
      </c>
      <c r="AH83" s="1164">
        <f t="shared" si="23"/>
        <v>0</v>
      </c>
      <c r="AI83" s="1164" t="str">
        <f t="shared" si="24"/>
        <v>NA</v>
      </c>
      <c r="AJ83" s="1165">
        <f t="shared" si="25"/>
        <v>4.2553191489361701E-2</v>
      </c>
    </row>
    <row r="84" spans="1:36">
      <c r="A84" s="189" t="s">
        <v>205</v>
      </c>
      <c r="B84" s="190" t="s">
        <v>359</v>
      </c>
      <c r="C84" s="191" t="s">
        <v>273</v>
      </c>
      <c r="E84" s="1160">
        <v>13</v>
      </c>
      <c r="F84" s="1161">
        <v>1</v>
      </c>
      <c r="G84" s="1161">
        <v>6</v>
      </c>
      <c r="H84" s="1161"/>
      <c r="I84" s="1161">
        <v>7</v>
      </c>
      <c r="J84" s="1161">
        <v>1</v>
      </c>
      <c r="K84" s="1162">
        <f t="shared" si="14"/>
        <v>28</v>
      </c>
      <c r="L84" s="1160">
        <v>1</v>
      </c>
      <c r="M84" s="1161"/>
      <c r="N84" s="1161">
        <v>3</v>
      </c>
      <c r="O84" s="1161"/>
      <c r="P84" s="1161">
        <v>3</v>
      </c>
      <c r="Q84" s="1161"/>
      <c r="R84" s="1162">
        <f t="shared" si="15"/>
        <v>7</v>
      </c>
      <c r="S84" s="1160"/>
      <c r="T84" s="1161"/>
      <c r="U84" s="1161"/>
      <c r="V84" s="1161"/>
      <c r="W84" s="1161"/>
      <c r="X84" s="1161"/>
      <c r="Y84" s="1162">
        <f t="shared" si="16"/>
        <v>0</v>
      </c>
      <c r="Z84" s="1181">
        <f t="shared" si="17"/>
        <v>35</v>
      </c>
      <c r="AA84" s="1181">
        <f t="shared" si="18"/>
        <v>35</v>
      </c>
      <c r="AD84" s="1163">
        <f t="shared" si="19"/>
        <v>7.1428571428571425E-2</v>
      </c>
      <c r="AE84" s="1184">
        <f t="shared" si="20"/>
        <v>0</v>
      </c>
      <c r="AF84" s="1164">
        <f t="shared" si="21"/>
        <v>0.3</v>
      </c>
      <c r="AG84" s="1164">
        <f t="shared" si="22"/>
        <v>0</v>
      </c>
      <c r="AH84" s="1164">
        <f t="shared" si="23"/>
        <v>0.33333333333333331</v>
      </c>
      <c r="AI84" s="1164" t="str">
        <f t="shared" si="24"/>
        <v>NA</v>
      </c>
      <c r="AJ84" s="1165">
        <f t="shared" si="25"/>
        <v>0.2</v>
      </c>
    </row>
    <row r="85" spans="1:36">
      <c r="A85" s="189" t="s">
        <v>207</v>
      </c>
      <c r="B85" s="190" t="s">
        <v>360</v>
      </c>
      <c r="C85" s="191" t="s">
        <v>276</v>
      </c>
      <c r="E85" s="1160">
        <v>36</v>
      </c>
      <c r="F85" s="1161">
        <v>4</v>
      </c>
      <c r="G85" s="1161">
        <v>10</v>
      </c>
      <c r="H85" s="1161"/>
      <c r="I85" s="1161">
        <v>39</v>
      </c>
      <c r="J85" s="1161">
        <v>13</v>
      </c>
      <c r="K85" s="1162">
        <f t="shared" si="14"/>
        <v>102</v>
      </c>
      <c r="L85" s="1160">
        <v>3</v>
      </c>
      <c r="M85" s="1161">
        <v>3</v>
      </c>
      <c r="N85" s="1161">
        <v>1</v>
      </c>
      <c r="O85" s="1161"/>
      <c r="P85" s="1161">
        <v>2</v>
      </c>
      <c r="Q85" s="1161">
        <v>1</v>
      </c>
      <c r="R85" s="1162">
        <f t="shared" si="15"/>
        <v>10</v>
      </c>
      <c r="S85" s="1160"/>
      <c r="T85" s="1161"/>
      <c r="U85" s="1161"/>
      <c r="V85" s="1161"/>
      <c r="W85" s="1161"/>
      <c r="X85" s="1161"/>
      <c r="Y85" s="1162">
        <f t="shared" si="16"/>
        <v>0</v>
      </c>
      <c r="Z85" s="1181">
        <f t="shared" si="17"/>
        <v>112</v>
      </c>
      <c r="AA85" s="1181">
        <f t="shared" si="18"/>
        <v>112</v>
      </c>
      <c r="AD85" s="1163">
        <f t="shared" si="19"/>
        <v>7.6923076923076927E-2</v>
      </c>
      <c r="AE85" s="1184">
        <f t="shared" si="20"/>
        <v>0.42857142857142855</v>
      </c>
      <c r="AF85" s="1164">
        <f t="shared" si="21"/>
        <v>4.878048780487805E-2</v>
      </c>
      <c r="AG85" s="1164">
        <f t="shared" si="22"/>
        <v>7.1428571428571425E-2</v>
      </c>
      <c r="AH85" s="1164">
        <f t="shared" si="23"/>
        <v>9.0909090909090912E-2</v>
      </c>
      <c r="AI85" s="1164" t="str">
        <f t="shared" si="24"/>
        <v>NA</v>
      </c>
      <c r="AJ85" s="1165">
        <f t="shared" si="25"/>
        <v>8.9285714285714288E-2</v>
      </c>
    </row>
    <row r="86" spans="1:36">
      <c r="A86" s="189" t="s">
        <v>209</v>
      </c>
      <c r="B86" s="190" t="s">
        <v>210</v>
      </c>
      <c r="C86" s="191" t="s">
        <v>278</v>
      </c>
      <c r="E86" s="1160">
        <v>16</v>
      </c>
      <c r="F86" s="1161">
        <v>3</v>
      </c>
      <c r="G86" s="1161">
        <v>8</v>
      </c>
      <c r="H86" s="1161">
        <v>1</v>
      </c>
      <c r="I86" s="1161">
        <v>13</v>
      </c>
      <c r="J86" s="1161">
        <v>3</v>
      </c>
      <c r="K86" s="1162">
        <f t="shared" si="14"/>
        <v>44</v>
      </c>
      <c r="L86" s="1160">
        <v>1</v>
      </c>
      <c r="M86" s="1161"/>
      <c r="N86" s="1161">
        <v>6</v>
      </c>
      <c r="O86" s="1161">
        <v>1</v>
      </c>
      <c r="P86" s="1161">
        <v>10</v>
      </c>
      <c r="Q86" s="1161"/>
      <c r="R86" s="1162">
        <f t="shared" si="15"/>
        <v>18</v>
      </c>
      <c r="S86" s="1160"/>
      <c r="T86" s="1161"/>
      <c r="U86" s="1161"/>
      <c r="V86" s="1161"/>
      <c r="W86" s="1161">
        <v>1</v>
      </c>
      <c r="X86" s="1161"/>
      <c r="Y86" s="1162">
        <f t="shared" si="16"/>
        <v>1</v>
      </c>
      <c r="Z86" s="1181">
        <f t="shared" si="17"/>
        <v>63</v>
      </c>
      <c r="AA86" s="1181">
        <f t="shared" si="18"/>
        <v>62</v>
      </c>
      <c r="AD86" s="1163">
        <f t="shared" si="19"/>
        <v>5.8823529411764705E-2</v>
      </c>
      <c r="AE86" s="1184">
        <f t="shared" si="20"/>
        <v>0</v>
      </c>
      <c r="AF86" s="1164">
        <f t="shared" si="21"/>
        <v>0.43478260869565216</v>
      </c>
      <c r="AG86" s="1164">
        <f t="shared" si="22"/>
        <v>0</v>
      </c>
      <c r="AH86" s="1164">
        <f t="shared" si="23"/>
        <v>0.42857142857142855</v>
      </c>
      <c r="AI86" s="1164">
        <f t="shared" si="24"/>
        <v>0.5</v>
      </c>
      <c r="AJ86" s="1165">
        <f t="shared" si="25"/>
        <v>0.29032258064516131</v>
      </c>
    </row>
    <row r="87" spans="1:36">
      <c r="A87" s="189" t="s">
        <v>211</v>
      </c>
      <c r="B87" s="190" t="s">
        <v>212</v>
      </c>
      <c r="C87" s="191" t="s">
        <v>278</v>
      </c>
      <c r="E87" s="1160">
        <v>13</v>
      </c>
      <c r="F87" s="1161">
        <v>2</v>
      </c>
      <c r="G87" s="1161">
        <v>7</v>
      </c>
      <c r="H87" s="1161"/>
      <c r="I87" s="1161">
        <v>10</v>
      </c>
      <c r="J87" s="1161">
        <v>2</v>
      </c>
      <c r="K87" s="1162">
        <f t="shared" si="14"/>
        <v>34</v>
      </c>
      <c r="L87" s="1160">
        <v>5</v>
      </c>
      <c r="M87" s="1161"/>
      <c r="N87" s="1161">
        <v>1</v>
      </c>
      <c r="O87" s="1161"/>
      <c r="P87" s="1161">
        <v>3</v>
      </c>
      <c r="Q87" s="1161"/>
      <c r="R87" s="1162">
        <f t="shared" si="15"/>
        <v>9</v>
      </c>
      <c r="S87" s="1160"/>
      <c r="T87" s="1161"/>
      <c r="U87" s="1161"/>
      <c r="V87" s="1161"/>
      <c r="W87" s="1161"/>
      <c r="X87" s="1161"/>
      <c r="Y87" s="1162">
        <f t="shared" si="16"/>
        <v>0</v>
      </c>
      <c r="Z87" s="1181">
        <f t="shared" si="17"/>
        <v>43</v>
      </c>
      <c r="AA87" s="1181">
        <f t="shared" si="18"/>
        <v>43</v>
      </c>
      <c r="AD87" s="1163">
        <f t="shared" si="19"/>
        <v>0.27777777777777779</v>
      </c>
      <c r="AE87" s="1184">
        <f t="shared" si="20"/>
        <v>0</v>
      </c>
      <c r="AF87" s="1164">
        <f t="shared" si="21"/>
        <v>0.23076923076923078</v>
      </c>
      <c r="AG87" s="1164">
        <f t="shared" si="22"/>
        <v>0</v>
      </c>
      <c r="AH87" s="1164">
        <f t="shared" si="23"/>
        <v>0.125</v>
      </c>
      <c r="AI87" s="1164" t="str">
        <f t="shared" si="24"/>
        <v>NA</v>
      </c>
      <c r="AJ87" s="1165">
        <f t="shared" si="25"/>
        <v>0.20930232558139536</v>
      </c>
    </row>
    <row r="88" spans="1:36">
      <c r="A88" s="189" t="s">
        <v>213</v>
      </c>
      <c r="B88" s="190" t="s">
        <v>214</v>
      </c>
      <c r="C88" s="191" t="s">
        <v>276</v>
      </c>
      <c r="E88" s="1160">
        <v>12</v>
      </c>
      <c r="F88" s="1161">
        <v>1</v>
      </c>
      <c r="G88" s="1161">
        <v>3</v>
      </c>
      <c r="H88" s="1161">
        <v>5</v>
      </c>
      <c r="I88" s="1161">
        <v>9</v>
      </c>
      <c r="J88" s="1161">
        <v>2</v>
      </c>
      <c r="K88" s="1162">
        <f t="shared" si="14"/>
        <v>32</v>
      </c>
      <c r="L88" s="1160"/>
      <c r="M88" s="1161">
        <v>2</v>
      </c>
      <c r="N88" s="1161">
        <v>3</v>
      </c>
      <c r="O88" s="1161">
        <v>1</v>
      </c>
      <c r="P88" s="1161">
        <v>3</v>
      </c>
      <c r="Q88" s="1161"/>
      <c r="R88" s="1162">
        <f t="shared" si="15"/>
        <v>9</v>
      </c>
      <c r="S88" s="1160"/>
      <c r="T88" s="1161"/>
      <c r="U88" s="1161">
        <v>1</v>
      </c>
      <c r="V88" s="1161"/>
      <c r="W88" s="1161"/>
      <c r="X88" s="1161"/>
      <c r="Y88" s="1162">
        <f t="shared" si="16"/>
        <v>1</v>
      </c>
      <c r="Z88" s="1181">
        <f t="shared" si="17"/>
        <v>42</v>
      </c>
      <c r="AA88" s="1181">
        <f t="shared" si="18"/>
        <v>41</v>
      </c>
      <c r="AD88" s="1163">
        <f t="shared" si="19"/>
        <v>0</v>
      </c>
      <c r="AE88" s="1184">
        <f t="shared" si="20"/>
        <v>0.66666666666666663</v>
      </c>
      <c r="AF88" s="1164">
        <f t="shared" si="21"/>
        <v>0.25</v>
      </c>
      <c r="AG88" s="1164">
        <f t="shared" si="22"/>
        <v>0</v>
      </c>
      <c r="AH88" s="1164">
        <f t="shared" si="23"/>
        <v>0.5</v>
      </c>
      <c r="AI88" s="1164">
        <f t="shared" si="24"/>
        <v>0.16666666666666666</v>
      </c>
      <c r="AJ88" s="1165">
        <f t="shared" si="25"/>
        <v>0.21951219512195122</v>
      </c>
    </row>
    <row r="89" spans="1:36">
      <c r="A89" s="189" t="s">
        <v>215</v>
      </c>
      <c r="B89" s="190" t="s">
        <v>216</v>
      </c>
      <c r="C89" s="191" t="s">
        <v>278</v>
      </c>
      <c r="E89" s="1160">
        <v>21</v>
      </c>
      <c r="F89" s="1161">
        <v>3</v>
      </c>
      <c r="G89" s="1161">
        <v>9</v>
      </c>
      <c r="H89" s="1161">
        <v>1</v>
      </c>
      <c r="I89" s="1161">
        <v>14</v>
      </c>
      <c r="J89" s="1161">
        <v>4</v>
      </c>
      <c r="K89" s="1162">
        <f t="shared" si="14"/>
        <v>52</v>
      </c>
      <c r="L89" s="1160">
        <v>2</v>
      </c>
      <c r="M89" s="1161"/>
      <c r="N89" s="1161">
        <v>5</v>
      </c>
      <c r="O89" s="1161"/>
      <c r="P89" s="1161">
        <v>6</v>
      </c>
      <c r="Q89" s="1161"/>
      <c r="R89" s="1162">
        <f t="shared" si="15"/>
        <v>13</v>
      </c>
      <c r="S89" s="1160">
        <v>1</v>
      </c>
      <c r="T89" s="1161"/>
      <c r="U89" s="1161"/>
      <c r="V89" s="1161"/>
      <c r="W89" s="1161"/>
      <c r="X89" s="1161"/>
      <c r="Y89" s="1162">
        <f t="shared" si="16"/>
        <v>1</v>
      </c>
      <c r="Z89" s="1181">
        <f t="shared" si="17"/>
        <v>66</v>
      </c>
      <c r="AA89" s="1181">
        <f t="shared" si="18"/>
        <v>65</v>
      </c>
      <c r="AD89" s="1163">
        <f t="shared" si="19"/>
        <v>8.6956521739130432E-2</v>
      </c>
      <c r="AE89" s="1184">
        <f t="shared" si="20"/>
        <v>0</v>
      </c>
      <c r="AF89" s="1164">
        <f t="shared" si="21"/>
        <v>0.3</v>
      </c>
      <c r="AG89" s="1164">
        <f t="shared" si="22"/>
        <v>0</v>
      </c>
      <c r="AH89" s="1164">
        <f t="shared" si="23"/>
        <v>0.35714285714285715</v>
      </c>
      <c r="AI89" s="1164">
        <f t="shared" si="24"/>
        <v>0</v>
      </c>
      <c r="AJ89" s="1165">
        <f t="shared" si="25"/>
        <v>0.2</v>
      </c>
    </row>
    <row r="90" spans="1:36">
      <c r="A90" s="189" t="s">
        <v>217</v>
      </c>
      <c r="B90" s="190" t="s">
        <v>218</v>
      </c>
      <c r="C90" s="191" t="s">
        <v>272</v>
      </c>
      <c r="E90" s="1160">
        <v>10</v>
      </c>
      <c r="F90" s="1161">
        <v>1</v>
      </c>
      <c r="G90" s="1161">
        <v>7</v>
      </c>
      <c r="H90" s="1161">
        <v>2</v>
      </c>
      <c r="I90" s="1161">
        <v>8</v>
      </c>
      <c r="J90" s="1161">
        <v>1</v>
      </c>
      <c r="K90" s="1162">
        <f t="shared" si="14"/>
        <v>29</v>
      </c>
      <c r="L90" s="1160">
        <v>2</v>
      </c>
      <c r="M90" s="1161"/>
      <c r="N90" s="1161">
        <v>2</v>
      </c>
      <c r="O90" s="1161">
        <v>2</v>
      </c>
      <c r="P90" s="1161">
        <v>2</v>
      </c>
      <c r="Q90" s="1161"/>
      <c r="R90" s="1162">
        <f t="shared" si="15"/>
        <v>8</v>
      </c>
      <c r="S90" s="1160"/>
      <c r="T90" s="1161"/>
      <c r="U90" s="1161"/>
      <c r="V90" s="1161"/>
      <c r="W90" s="1161"/>
      <c r="X90" s="1161"/>
      <c r="Y90" s="1162">
        <f t="shared" si="16"/>
        <v>0</v>
      </c>
      <c r="Z90" s="1181">
        <f t="shared" si="17"/>
        <v>37</v>
      </c>
      <c r="AA90" s="1181">
        <f t="shared" si="18"/>
        <v>37</v>
      </c>
      <c r="AD90" s="1163">
        <f t="shared" si="19"/>
        <v>0.16666666666666666</v>
      </c>
      <c r="AE90" s="1184">
        <f t="shared" si="20"/>
        <v>0</v>
      </c>
      <c r="AF90" s="1164">
        <f t="shared" si="21"/>
        <v>0.2</v>
      </c>
      <c r="AG90" s="1164">
        <f t="shared" si="22"/>
        <v>0</v>
      </c>
      <c r="AH90" s="1164">
        <f t="shared" si="23"/>
        <v>0.22222222222222221</v>
      </c>
      <c r="AI90" s="1164">
        <f t="shared" si="24"/>
        <v>0.5</v>
      </c>
      <c r="AJ90" s="1165">
        <f t="shared" si="25"/>
        <v>0.21621621621621623</v>
      </c>
    </row>
    <row r="91" spans="1:36">
      <c r="A91" s="189" t="s">
        <v>219</v>
      </c>
      <c r="B91" s="190" t="s">
        <v>220</v>
      </c>
      <c r="C91" s="191" t="s">
        <v>276</v>
      </c>
      <c r="E91" s="1160">
        <v>31</v>
      </c>
      <c r="F91" s="1161">
        <v>4</v>
      </c>
      <c r="G91" s="1161">
        <v>12</v>
      </c>
      <c r="H91" s="1161">
        <v>4</v>
      </c>
      <c r="I91" s="1161">
        <v>29</v>
      </c>
      <c r="J91" s="1161">
        <v>6</v>
      </c>
      <c r="K91" s="1162">
        <f t="shared" si="14"/>
        <v>86</v>
      </c>
      <c r="L91" s="1160">
        <v>3</v>
      </c>
      <c r="M91" s="1161"/>
      <c r="N91" s="1161">
        <v>5</v>
      </c>
      <c r="O91" s="1161">
        <v>1</v>
      </c>
      <c r="P91" s="1161">
        <v>1</v>
      </c>
      <c r="Q91" s="1161"/>
      <c r="R91" s="1162">
        <f t="shared" si="15"/>
        <v>10</v>
      </c>
      <c r="S91" s="1160"/>
      <c r="T91" s="1161"/>
      <c r="U91" s="1161"/>
      <c r="V91" s="1161"/>
      <c r="W91" s="1161"/>
      <c r="X91" s="1161"/>
      <c r="Y91" s="1162">
        <f t="shared" si="16"/>
        <v>0</v>
      </c>
      <c r="Z91" s="1181">
        <f t="shared" si="17"/>
        <v>96</v>
      </c>
      <c r="AA91" s="1181">
        <f t="shared" si="18"/>
        <v>96</v>
      </c>
      <c r="AD91" s="1163">
        <f t="shared" si="19"/>
        <v>8.8235294117647065E-2</v>
      </c>
      <c r="AE91" s="1184">
        <f t="shared" si="20"/>
        <v>0</v>
      </c>
      <c r="AF91" s="1164">
        <f t="shared" si="21"/>
        <v>3.3333333333333333E-2</v>
      </c>
      <c r="AG91" s="1164">
        <f t="shared" si="22"/>
        <v>0</v>
      </c>
      <c r="AH91" s="1164">
        <f t="shared" si="23"/>
        <v>0.29411764705882354</v>
      </c>
      <c r="AI91" s="1164">
        <f t="shared" si="24"/>
        <v>0.2</v>
      </c>
      <c r="AJ91" s="1165">
        <f t="shared" si="25"/>
        <v>0.10416666666666667</v>
      </c>
    </row>
    <row r="92" spans="1:36">
      <c r="A92" s="189" t="s">
        <v>221</v>
      </c>
      <c r="B92" s="190" t="s">
        <v>222</v>
      </c>
      <c r="C92" s="191" t="s">
        <v>276</v>
      </c>
      <c r="E92" s="1160">
        <v>23</v>
      </c>
      <c r="F92" s="1161">
        <v>4</v>
      </c>
      <c r="G92" s="1161">
        <v>9</v>
      </c>
      <c r="H92" s="1161">
        <v>1</v>
      </c>
      <c r="I92" s="1161">
        <v>19</v>
      </c>
      <c r="J92" s="1161">
        <v>3</v>
      </c>
      <c r="K92" s="1162">
        <f t="shared" si="14"/>
        <v>59</v>
      </c>
      <c r="L92" s="1160">
        <v>1</v>
      </c>
      <c r="M92" s="1161"/>
      <c r="N92" s="1161"/>
      <c r="O92" s="1161"/>
      <c r="P92" s="1161">
        <v>6</v>
      </c>
      <c r="Q92" s="1161"/>
      <c r="R92" s="1162">
        <f t="shared" si="15"/>
        <v>7</v>
      </c>
      <c r="S92" s="1160"/>
      <c r="T92" s="1161"/>
      <c r="U92" s="1161"/>
      <c r="V92" s="1161"/>
      <c r="W92" s="1161"/>
      <c r="X92" s="1161"/>
      <c r="Y92" s="1162">
        <f t="shared" si="16"/>
        <v>0</v>
      </c>
      <c r="Z92" s="1181">
        <f t="shared" si="17"/>
        <v>66</v>
      </c>
      <c r="AA92" s="1181">
        <f t="shared" si="18"/>
        <v>66</v>
      </c>
      <c r="AD92" s="1163">
        <f t="shared" si="19"/>
        <v>4.1666666666666664E-2</v>
      </c>
      <c r="AE92" s="1184">
        <f t="shared" si="20"/>
        <v>0</v>
      </c>
      <c r="AF92" s="1164">
        <f t="shared" si="21"/>
        <v>0.24</v>
      </c>
      <c r="AG92" s="1164">
        <f t="shared" si="22"/>
        <v>0</v>
      </c>
      <c r="AH92" s="1164">
        <f t="shared" si="23"/>
        <v>0</v>
      </c>
      <c r="AI92" s="1164">
        <f t="shared" si="24"/>
        <v>0</v>
      </c>
      <c r="AJ92" s="1165">
        <f t="shared" si="25"/>
        <v>0.10606060606060606</v>
      </c>
    </row>
    <row r="93" spans="1:36">
      <c r="A93" s="189" t="s">
        <v>225</v>
      </c>
      <c r="B93" s="190" t="s">
        <v>226</v>
      </c>
      <c r="C93" s="191" t="s">
        <v>272</v>
      </c>
      <c r="E93" s="1160">
        <v>8</v>
      </c>
      <c r="F93" s="1161">
        <v>1</v>
      </c>
      <c r="G93" s="1161">
        <v>6</v>
      </c>
      <c r="H93" s="1161">
        <v>1</v>
      </c>
      <c r="I93" s="1161">
        <v>6</v>
      </c>
      <c r="J93" s="1161">
        <v>1</v>
      </c>
      <c r="K93" s="1162">
        <f t="shared" si="14"/>
        <v>23</v>
      </c>
      <c r="L93" s="1160">
        <v>1</v>
      </c>
      <c r="M93" s="1161"/>
      <c r="N93" s="1161"/>
      <c r="O93" s="1161"/>
      <c r="P93" s="1161">
        <v>1</v>
      </c>
      <c r="Q93" s="1161"/>
      <c r="R93" s="1162">
        <f t="shared" si="15"/>
        <v>2</v>
      </c>
      <c r="S93" s="1160"/>
      <c r="T93" s="1161"/>
      <c r="U93" s="1161"/>
      <c r="V93" s="1161"/>
      <c r="W93" s="1161"/>
      <c r="X93" s="1161"/>
      <c r="Y93" s="1162">
        <f t="shared" si="16"/>
        <v>0</v>
      </c>
      <c r="Z93" s="1181">
        <f t="shared" si="17"/>
        <v>25</v>
      </c>
      <c r="AA93" s="1181">
        <f t="shared" si="18"/>
        <v>25</v>
      </c>
      <c r="AD93" s="1163">
        <f t="shared" si="19"/>
        <v>0.1111111111111111</v>
      </c>
      <c r="AE93" s="1184">
        <f t="shared" si="20"/>
        <v>0</v>
      </c>
      <c r="AF93" s="1164">
        <f t="shared" si="21"/>
        <v>0.14285714285714285</v>
      </c>
      <c r="AG93" s="1164">
        <f t="shared" si="22"/>
        <v>0</v>
      </c>
      <c r="AH93" s="1164">
        <f t="shared" si="23"/>
        <v>0</v>
      </c>
      <c r="AI93" s="1164">
        <f t="shared" si="24"/>
        <v>0</v>
      </c>
      <c r="AJ93" s="1165">
        <f t="shared" si="25"/>
        <v>0.08</v>
      </c>
    </row>
    <row r="94" spans="1:36">
      <c r="A94" s="189" t="s">
        <v>227</v>
      </c>
      <c r="B94" s="190" t="s">
        <v>228</v>
      </c>
      <c r="C94" s="191" t="s">
        <v>272</v>
      </c>
      <c r="E94" s="1160">
        <v>12</v>
      </c>
      <c r="F94" s="1161">
        <v>2</v>
      </c>
      <c r="G94" s="1161">
        <v>6</v>
      </c>
      <c r="H94" s="1161"/>
      <c r="I94" s="1161">
        <v>7</v>
      </c>
      <c r="J94" s="1161">
        <v>1</v>
      </c>
      <c r="K94" s="1162">
        <f t="shared" si="14"/>
        <v>28</v>
      </c>
      <c r="L94" s="1160">
        <v>2</v>
      </c>
      <c r="M94" s="1161"/>
      <c r="N94" s="1161"/>
      <c r="O94" s="1161"/>
      <c r="P94" s="1161">
        <v>1</v>
      </c>
      <c r="Q94" s="1161"/>
      <c r="R94" s="1162">
        <f t="shared" si="15"/>
        <v>3</v>
      </c>
      <c r="S94" s="1160"/>
      <c r="T94" s="1161"/>
      <c r="U94" s="1161"/>
      <c r="V94" s="1161"/>
      <c r="W94" s="1161"/>
      <c r="X94" s="1161"/>
      <c r="Y94" s="1162">
        <f t="shared" si="16"/>
        <v>0</v>
      </c>
      <c r="Z94" s="1181">
        <f t="shared" si="17"/>
        <v>31</v>
      </c>
      <c r="AA94" s="1181">
        <f t="shared" si="18"/>
        <v>31</v>
      </c>
      <c r="AD94" s="1163">
        <f t="shared" si="19"/>
        <v>0.14285714285714285</v>
      </c>
      <c r="AE94" s="1184">
        <f t="shared" si="20"/>
        <v>0</v>
      </c>
      <c r="AF94" s="1164">
        <f t="shared" si="21"/>
        <v>0.125</v>
      </c>
      <c r="AG94" s="1164">
        <f t="shared" si="22"/>
        <v>0</v>
      </c>
      <c r="AH94" s="1164">
        <f t="shared" si="23"/>
        <v>0</v>
      </c>
      <c r="AI94" s="1164" t="str">
        <f t="shared" si="24"/>
        <v>NA</v>
      </c>
      <c r="AJ94" s="1165">
        <f t="shared" si="25"/>
        <v>9.6774193548387094E-2</v>
      </c>
    </row>
    <row r="95" spans="1:36">
      <c r="A95" s="189" t="s">
        <v>229</v>
      </c>
      <c r="B95" s="190" t="s">
        <v>230</v>
      </c>
      <c r="C95" s="191" t="s">
        <v>278</v>
      </c>
      <c r="E95" s="1160">
        <v>28</v>
      </c>
      <c r="F95" s="1161">
        <v>3</v>
      </c>
      <c r="G95" s="1161">
        <v>15</v>
      </c>
      <c r="H95" s="1161">
        <v>1</v>
      </c>
      <c r="I95" s="1161">
        <v>25</v>
      </c>
      <c r="J95" s="1161">
        <v>4</v>
      </c>
      <c r="K95" s="1162">
        <f t="shared" si="14"/>
        <v>76</v>
      </c>
      <c r="L95" s="1160">
        <v>2</v>
      </c>
      <c r="M95" s="1161"/>
      <c r="N95" s="1161">
        <v>5</v>
      </c>
      <c r="O95" s="1161">
        <v>1</v>
      </c>
      <c r="P95" s="1161">
        <v>4</v>
      </c>
      <c r="Q95" s="1161"/>
      <c r="R95" s="1162">
        <f t="shared" si="15"/>
        <v>12</v>
      </c>
      <c r="S95" s="1160"/>
      <c r="T95" s="1161"/>
      <c r="U95" s="1161"/>
      <c r="V95" s="1161"/>
      <c r="W95" s="1161"/>
      <c r="X95" s="1161"/>
      <c r="Y95" s="1162">
        <f t="shared" si="16"/>
        <v>0</v>
      </c>
      <c r="Z95" s="1181">
        <f t="shared" si="17"/>
        <v>88</v>
      </c>
      <c r="AA95" s="1181">
        <f t="shared" si="18"/>
        <v>88</v>
      </c>
      <c r="AD95" s="1163">
        <f t="shared" si="19"/>
        <v>6.6666666666666666E-2</v>
      </c>
      <c r="AE95" s="1184">
        <f t="shared" si="20"/>
        <v>0</v>
      </c>
      <c r="AF95" s="1164">
        <f t="shared" si="21"/>
        <v>0.13793103448275862</v>
      </c>
      <c r="AG95" s="1164">
        <f t="shared" si="22"/>
        <v>0</v>
      </c>
      <c r="AH95" s="1164">
        <f t="shared" si="23"/>
        <v>0.25</v>
      </c>
      <c r="AI95" s="1164">
        <f t="shared" si="24"/>
        <v>0.5</v>
      </c>
      <c r="AJ95" s="1165">
        <f t="shared" si="25"/>
        <v>0.13636363636363635</v>
      </c>
    </row>
    <row r="96" spans="1:36">
      <c r="A96" s="189" t="s">
        <v>233</v>
      </c>
      <c r="B96" s="190" t="s">
        <v>234</v>
      </c>
      <c r="C96" s="191" t="s">
        <v>276</v>
      </c>
      <c r="E96" s="1160">
        <v>8</v>
      </c>
      <c r="F96" s="1161">
        <v>2</v>
      </c>
      <c r="G96" s="1161">
        <v>6</v>
      </c>
      <c r="H96" s="1161"/>
      <c r="I96" s="1161">
        <v>10</v>
      </c>
      <c r="J96" s="1161">
        <v>2</v>
      </c>
      <c r="K96" s="1162">
        <f t="shared" si="14"/>
        <v>28</v>
      </c>
      <c r="L96" s="1160">
        <v>5</v>
      </c>
      <c r="M96" s="1161"/>
      <c r="N96" s="1161">
        <v>1</v>
      </c>
      <c r="O96" s="1161"/>
      <c r="P96" s="1161">
        <v>5</v>
      </c>
      <c r="Q96" s="1161">
        <v>1</v>
      </c>
      <c r="R96" s="1162">
        <f t="shared" si="15"/>
        <v>12</v>
      </c>
      <c r="S96" s="1160"/>
      <c r="T96" s="1161"/>
      <c r="U96" s="1161"/>
      <c r="V96" s="1161"/>
      <c r="W96" s="1161"/>
      <c r="X96" s="1161"/>
      <c r="Y96" s="1162">
        <f t="shared" si="16"/>
        <v>0</v>
      </c>
      <c r="Z96" s="1181">
        <f t="shared" si="17"/>
        <v>40</v>
      </c>
      <c r="AA96" s="1181">
        <f t="shared" si="18"/>
        <v>40</v>
      </c>
      <c r="AD96" s="1163">
        <f t="shared" si="19"/>
        <v>0.38461538461538464</v>
      </c>
      <c r="AE96" s="1184">
        <f t="shared" si="20"/>
        <v>0</v>
      </c>
      <c r="AF96" s="1164">
        <f t="shared" si="21"/>
        <v>0.33333333333333331</v>
      </c>
      <c r="AG96" s="1164">
        <f t="shared" si="22"/>
        <v>0.33333333333333331</v>
      </c>
      <c r="AH96" s="1164">
        <f t="shared" si="23"/>
        <v>0.14285714285714285</v>
      </c>
      <c r="AI96" s="1164" t="str">
        <f t="shared" si="24"/>
        <v>NA</v>
      </c>
      <c r="AJ96" s="1165">
        <f t="shared" si="25"/>
        <v>0.3</v>
      </c>
    </row>
    <row r="97" spans="1:36">
      <c r="A97" s="189" t="s">
        <v>235</v>
      </c>
      <c r="B97" s="190" t="s">
        <v>236</v>
      </c>
      <c r="C97" s="191" t="s">
        <v>278</v>
      </c>
      <c r="E97" s="1160">
        <v>21</v>
      </c>
      <c r="F97" s="1161">
        <v>4</v>
      </c>
      <c r="G97" s="1161">
        <v>6</v>
      </c>
      <c r="H97" s="1161"/>
      <c r="I97" s="1161">
        <v>20</v>
      </c>
      <c r="J97" s="1161">
        <v>3</v>
      </c>
      <c r="K97" s="1162">
        <f t="shared" si="14"/>
        <v>54</v>
      </c>
      <c r="L97" s="1160">
        <v>6</v>
      </c>
      <c r="M97" s="1161">
        <v>1</v>
      </c>
      <c r="N97" s="1161">
        <v>4</v>
      </c>
      <c r="O97" s="1161"/>
      <c r="P97" s="1161">
        <v>3</v>
      </c>
      <c r="Q97" s="1161"/>
      <c r="R97" s="1162">
        <f t="shared" si="15"/>
        <v>14</v>
      </c>
      <c r="S97" s="1160"/>
      <c r="T97" s="1161"/>
      <c r="U97" s="1161"/>
      <c r="V97" s="1161"/>
      <c r="W97" s="1161"/>
      <c r="X97" s="1161"/>
      <c r="Y97" s="1162">
        <f t="shared" si="16"/>
        <v>0</v>
      </c>
      <c r="Z97" s="1181">
        <f t="shared" si="17"/>
        <v>68</v>
      </c>
      <c r="AA97" s="1181">
        <f t="shared" si="18"/>
        <v>68</v>
      </c>
      <c r="AD97" s="1163">
        <f t="shared" si="19"/>
        <v>0.22222222222222221</v>
      </c>
      <c r="AE97" s="1184">
        <f t="shared" si="20"/>
        <v>0.2</v>
      </c>
      <c r="AF97" s="1164">
        <f t="shared" si="21"/>
        <v>0.13043478260869565</v>
      </c>
      <c r="AG97" s="1164">
        <f t="shared" si="22"/>
        <v>0</v>
      </c>
      <c r="AH97" s="1164">
        <f t="shared" si="23"/>
        <v>0.4</v>
      </c>
      <c r="AI97" s="1164" t="str">
        <f t="shared" si="24"/>
        <v>NA</v>
      </c>
      <c r="AJ97" s="1165">
        <f t="shared" si="25"/>
        <v>0.20588235294117646</v>
      </c>
    </row>
    <row r="98" spans="1:36">
      <c r="A98" s="189" t="s">
        <v>237</v>
      </c>
      <c r="B98" s="190" t="s">
        <v>238</v>
      </c>
      <c r="C98" s="191" t="s">
        <v>275</v>
      </c>
      <c r="E98" s="1160">
        <v>10</v>
      </c>
      <c r="F98" s="1161">
        <v>1</v>
      </c>
      <c r="G98" s="1161">
        <v>8</v>
      </c>
      <c r="H98" s="1161"/>
      <c r="I98" s="1161">
        <v>7</v>
      </c>
      <c r="J98" s="1161">
        <v>1</v>
      </c>
      <c r="K98" s="1162">
        <f t="shared" si="14"/>
        <v>27</v>
      </c>
      <c r="L98" s="1160">
        <v>1</v>
      </c>
      <c r="M98" s="1161"/>
      <c r="N98" s="1161"/>
      <c r="O98" s="1161"/>
      <c r="P98" s="1161"/>
      <c r="Q98" s="1161"/>
      <c r="R98" s="1162">
        <f t="shared" si="15"/>
        <v>1</v>
      </c>
      <c r="S98" s="1160"/>
      <c r="T98" s="1161"/>
      <c r="U98" s="1161"/>
      <c r="V98" s="1161"/>
      <c r="W98" s="1161"/>
      <c r="X98" s="1161"/>
      <c r="Y98" s="1162">
        <f t="shared" si="16"/>
        <v>0</v>
      </c>
      <c r="Z98" s="1181">
        <f t="shared" si="17"/>
        <v>28</v>
      </c>
      <c r="AA98" s="1181">
        <f t="shared" si="18"/>
        <v>28</v>
      </c>
      <c r="AD98" s="1163">
        <f t="shared" si="19"/>
        <v>9.0909090909090912E-2</v>
      </c>
      <c r="AE98" s="1184">
        <f t="shared" si="20"/>
        <v>0</v>
      </c>
      <c r="AF98" s="1164">
        <f t="shared" si="21"/>
        <v>0</v>
      </c>
      <c r="AG98" s="1164">
        <f t="shared" si="22"/>
        <v>0</v>
      </c>
      <c r="AH98" s="1164">
        <f t="shared" si="23"/>
        <v>0</v>
      </c>
      <c r="AI98" s="1164" t="str">
        <f t="shared" si="24"/>
        <v>NA</v>
      </c>
      <c r="AJ98" s="1165">
        <f t="shared" si="25"/>
        <v>3.5714285714285712E-2</v>
      </c>
    </row>
    <row r="99" spans="1:36">
      <c r="A99" s="189" t="s">
        <v>243</v>
      </c>
      <c r="B99" s="190" t="s">
        <v>244</v>
      </c>
      <c r="C99" s="191" t="s">
        <v>278</v>
      </c>
      <c r="E99" s="1160">
        <v>28</v>
      </c>
      <c r="F99" s="1161">
        <v>2</v>
      </c>
      <c r="G99" s="1161">
        <v>13</v>
      </c>
      <c r="H99" s="1161">
        <v>1</v>
      </c>
      <c r="I99" s="1161">
        <v>30</v>
      </c>
      <c r="J99" s="1161">
        <v>3</v>
      </c>
      <c r="K99" s="1162">
        <f t="shared" si="14"/>
        <v>77</v>
      </c>
      <c r="L99" s="1160">
        <v>1</v>
      </c>
      <c r="M99" s="1161">
        <v>1</v>
      </c>
      <c r="N99" s="1161">
        <v>7</v>
      </c>
      <c r="O99" s="1161">
        <v>2</v>
      </c>
      <c r="P99" s="1161">
        <v>4</v>
      </c>
      <c r="Q99" s="1161"/>
      <c r="R99" s="1162">
        <f t="shared" si="15"/>
        <v>15</v>
      </c>
      <c r="S99" s="1160"/>
      <c r="T99" s="1161"/>
      <c r="U99" s="1161"/>
      <c r="V99" s="1161"/>
      <c r="W99" s="1161"/>
      <c r="X99" s="1161"/>
      <c r="Y99" s="1162">
        <f t="shared" si="16"/>
        <v>0</v>
      </c>
      <c r="Z99" s="1181">
        <f t="shared" si="17"/>
        <v>92</v>
      </c>
      <c r="AA99" s="1181">
        <f t="shared" si="18"/>
        <v>92</v>
      </c>
      <c r="AD99" s="1163">
        <f t="shared" si="19"/>
        <v>3.4482758620689655E-2</v>
      </c>
      <c r="AE99" s="1184">
        <f t="shared" si="20"/>
        <v>0.33333333333333331</v>
      </c>
      <c r="AF99" s="1164">
        <f t="shared" si="21"/>
        <v>0.11764705882352941</v>
      </c>
      <c r="AG99" s="1164">
        <f t="shared" si="22"/>
        <v>0</v>
      </c>
      <c r="AH99" s="1164">
        <f t="shared" si="23"/>
        <v>0.35</v>
      </c>
      <c r="AI99" s="1164">
        <f t="shared" si="24"/>
        <v>0.66666666666666663</v>
      </c>
      <c r="AJ99" s="1165">
        <f t="shared" si="25"/>
        <v>0.16304347826086957</v>
      </c>
    </row>
    <row r="100" spans="1:36">
      <c r="A100" s="189" t="s">
        <v>245</v>
      </c>
      <c r="B100" s="190" t="s">
        <v>246</v>
      </c>
      <c r="C100" s="191" t="s">
        <v>278</v>
      </c>
      <c r="E100" s="1160">
        <v>21</v>
      </c>
      <c r="F100" s="1161">
        <v>2</v>
      </c>
      <c r="G100" s="1161">
        <v>7</v>
      </c>
      <c r="H100" s="1161">
        <v>1</v>
      </c>
      <c r="I100" s="1161">
        <v>13</v>
      </c>
      <c r="J100" s="1161">
        <v>2</v>
      </c>
      <c r="K100" s="1162">
        <f t="shared" si="14"/>
        <v>46</v>
      </c>
      <c r="L100" s="1160">
        <v>2</v>
      </c>
      <c r="M100" s="1161"/>
      <c r="N100" s="1161"/>
      <c r="O100" s="1161">
        <v>1</v>
      </c>
      <c r="P100" s="1161">
        <v>1</v>
      </c>
      <c r="Q100" s="1161"/>
      <c r="R100" s="1162">
        <f t="shared" si="15"/>
        <v>4</v>
      </c>
      <c r="S100" s="1160"/>
      <c r="T100" s="1161"/>
      <c r="U100" s="1161"/>
      <c r="V100" s="1161"/>
      <c r="W100" s="1161"/>
      <c r="X100" s="1161"/>
      <c r="Y100" s="1162">
        <f t="shared" si="16"/>
        <v>0</v>
      </c>
      <c r="Z100" s="1181">
        <f t="shared" si="17"/>
        <v>50</v>
      </c>
      <c r="AA100" s="1181">
        <f t="shared" si="18"/>
        <v>50</v>
      </c>
      <c r="AD100" s="1163">
        <f t="shared" si="19"/>
        <v>8.6956521739130432E-2</v>
      </c>
      <c r="AE100" s="1184">
        <f t="shared" si="20"/>
        <v>0</v>
      </c>
      <c r="AF100" s="1164">
        <f t="shared" si="21"/>
        <v>7.1428571428571425E-2</v>
      </c>
      <c r="AG100" s="1164">
        <f t="shared" si="22"/>
        <v>0</v>
      </c>
      <c r="AH100" s="1164">
        <f t="shared" si="23"/>
        <v>0</v>
      </c>
      <c r="AI100" s="1164">
        <f t="shared" si="24"/>
        <v>0.5</v>
      </c>
      <c r="AJ100" s="1165">
        <f t="shared" si="25"/>
        <v>0.08</v>
      </c>
    </row>
    <row r="101" spans="1:36">
      <c r="A101" s="189" t="s">
        <v>247</v>
      </c>
      <c r="B101" s="190" t="s">
        <v>248</v>
      </c>
      <c r="C101" s="191" t="s">
        <v>272</v>
      </c>
      <c r="E101" s="1160">
        <v>13</v>
      </c>
      <c r="F101" s="1161">
        <v>5</v>
      </c>
      <c r="G101" s="1161">
        <v>13</v>
      </c>
      <c r="H101" s="1161"/>
      <c r="I101" s="1161">
        <v>21</v>
      </c>
      <c r="J101" s="1161">
        <v>5</v>
      </c>
      <c r="K101" s="1162">
        <f t="shared" si="14"/>
        <v>57</v>
      </c>
      <c r="L101" s="1160">
        <v>2</v>
      </c>
      <c r="M101" s="1161"/>
      <c r="N101" s="1161">
        <v>5</v>
      </c>
      <c r="O101" s="1161"/>
      <c r="P101" s="1161">
        <v>14</v>
      </c>
      <c r="Q101" s="1161">
        <v>1</v>
      </c>
      <c r="R101" s="1162">
        <f t="shared" si="15"/>
        <v>22</v>
      </c>
      <c r="S101" s="1160"/>
      <c r="T101" s="1161"/>
      <c r="U101" s="1161"/>
      <c r="V101" s="1161"/>
      <c r="W101" s="1161"/>
      <c r="X101" s="1161"/>
      <c r="Y101" s="1162">
        <f t="shared" si="16"/>
        <v>0</v>
      </c>
      <c r="Z101" s="1181">
        <f t="shared" si="17"/>
        <v>79</v>
      </c>
      <c r="AA101" s="1181">
        <f t="shared" si="18"/>
        <v>79</v>
      </c>
      <c r="AD101" s="1163">
        <f t="shared" si="19"/>
        <v>0.13333333333333333</v>
      </c>
      <c r="AE101" s="1184">
        <f t="shared" si="20"/>
        <v>0</v>
      </c>
      <c r="AF101" s="1164">
        <f t="shared" si="21"/>
        <v>0.4</v>
      </c>
      <c r="AG101" s="1164">
        <f t="shared" si="22"/>
        <v>0.16666666666666666</v>
      </c>
      <c r="AH101" s="1164">
        <f t="shared" si="23"/>
        <v>0.27777777777777779</v>
      </c>
      <c r="AI101" s="1164" t="str">
        <f t="shared" si="24"/>
        <v>NA</v>
      </c>
      <c r="AJ101" s="1165">
        <f t="shared" si="25"/>
        <v>0.27848101265822783</v>
      </c>
    </row>
    <row r="102" spans="1:36">
      <c r="A102" s="189" t="s">
        <v>14</v>
      </c>
      <c r="B102" s="190" t="s">
        <v>15</v>
      </c>
      <c r="C102" s="191" t="s">
        <v>276</v>
      </c>
      <c r="E102" s="1160">
        <v>39</v>
      </c>
      <c r="F102" s="1161">
        <v>7</v>
      </c>
      <c r="G102" s="1161">
        <v>43</v>
      </c>
      <c r="H102" s="1161">
        <v>20</v>
      </c>
      <c r="I102" s="1161">
        <v>73</v>
      </c>
      <c r="J102" s="1161">
        <v>30</v>
      </c>
      <c r="K102" s="1162">
        <f t="shared" si="14"/>
        <v>212</v>
      </c>
      <c r="L102" s="1160">
        <v>11</v>
      </c>
      <c r="M102" s="1161"/>
      <c r="N102" s="1161">
        <v>8</v>
      </c>
      <c r="O102" s="1161">
        <v>3</v>
      </c>
      <c r="P102" s="1161">
        <v>8</v>
      </c>
      <c r="Q102" s="1161">
        <v>1</v>
      </c>
      <c r="R102" s="1162">
        <f t="shared" si="15"/>
        <v>31</v>
      </c>
      <c r="S102" s="1160"/>
      <c r="T102" s="1161"/>
      <c r="U102" s="1161">
        <v>1</v>
      </c>
      <c r="V102" s="1161"/>
      <c r="W102" s="1161"/>
      <c r="X102" s="1161"/>
      <c r="Y102" s="1162">
        <f t="shared" si="16"/>
        <v>1</v>
      </c>
      <c r="Z102" s="1181">
        <f t="shared" si="17"/>
        <v>244</v>
      </c>
      <c r="AA102" s="1181">
        <f t="shared" si="18"/>
        <v>243</v>
      </c>
      <c r="AD102" s="1163">
        <f t="shared" si="19"/>
        <v>0.22</v>
      </c>
      <c r="AE102" s="1184">
        <f t="shared" si="20"/>
        <v>0</v>
      </c>
      <c r="AF102" s="1164">
        <f t="shared" si="21"/>
        <v>9.8765432098765427E-2</v>
      </c>
      <c r="AG102" s="1164">
        <f t="shared" si="22"/>
        <v>3.2258064516129031E-2</v>
      </c>
      <c r="AH102" s="1164">
        <f t="shared" si="23"/>
        <v>0.15686274509803921</v>
      </c>
      <c r="AI102" s="1164">
        <f t="shared" si="24"/>
        <v>0.13043478260869565</v>
      </c>
      <c r="AJ102" s="1165">
        <f t="shared" si="25"/>
        <v>0.12757201646090535</v>
      </c>
    </row>
    <row r="103" spans="1:36">
      <c r="A103" s="189" t="s">
        <v>35</v>
      </c>
      <c r="B103" s="190" t="s">
        <v>36</v>
      </c>
      <c r="C103" s="191" t="s">
        <v>278</v>
      </c>
      <c r="E103" s="1160">
        <v>15</v>
      </c>
      <c r="F103" s="1161">
        <v>3</v>
      </c>
      <c r="G103" s="1161">
        <v>8</v>
      </c>
      <c r="H103" s="1161"/>
      <c r="I103" s="1161">
        <v>13</v>
      </c>
      <c r="J103" s="1161">
        <v>2</v>
      </c>
      <c r="K103" s="1162">
        <f t="shared" si="14"/>
        <v>41</v>
      </c>
      <c r="L103" s="1160">
        <v>4</v>
      </c>
      <c r="M103" s="1161"/>
      <c r="N103" s="1161">
        <v>4</v>
      </c>
      <c r="O103" s="1161"/>
      <c r="P103" s="1161">
        <v>7</v>
      </c>
      <c r="Q103" s="1161"/>
      <c r="R103" s="1162">
        <f t="shared" si="15"/>
        <v>15</v>
      </c>
      <c r="S103" s="1160"/>
      <c r="T103" s="1161"/>
      <c r="U103" s="1161"/>
      <c r="V103" s="1161"/>
      <c r="W103" s="1161"/>
      <c r="X103" s="1161"/>
      <c r="Y103" s="1162">
        <f t="shared" si="16"/>
        <v>0</v>
      </c>
      <c r="Z103" s="1181">
        <f t="shared" si="17"/>
        <v>56</v>
      </c>
      <c r="AA103" s="1181">
        <f t="shared" si="18"/>
        <v>56</v>
      </c>
      <c r="AD103" s="1163">
        <f t="shared" si="19"/>
        <v>0.21052631578947367</v>
      </c>
      <c r="AE103" s="1184">
        <f t="shared" si="20"/>
        <v>0</v>
      </c>
      <c r="AF103" s="1164">
        <f t="shared" si="21"/>
        <v>0.35</v>
      </c>
      <c r="AG103" s="1164">
        <f t="shared" si="22"/>
        <v>0</v>
      </c>
      <c r="AH103" s="1164">
        <f t="shared" si="23"/>
        <v>0.33333333333333331</v>
      </c>
      <c r="AI103" s="1164" t="str">
        <f t="shared" si="24"/>
        <v>NA</v>
      </c>
      <c r="AJ103" s="1165">
        <f t="shared" si="25"/>
        <v>0.26785714285714285</v>
      </c>
    </row>
    <row r="104" spans="1:36">
      <c r="A104" s="189" t="s">
        <v>53</v>
      </c>
      <c r="B104" s="190" t="s">
        <v>54</v>
      </c>
      <c r="C104" s="191" t="s">
        <v>273</v>
      </c>
      <c r="E104" s="1160">
        <v>29</v>
      </c>
      <c r="F104" s="1161">
        <v>7</v>
      </c>
      <c r="G104" s="1161">
        <v>10</v>
      </c>
      <c r="H104" s="1161">
        <v>8</v>
      </c>
      <c r="I104" s="1161">
        <v>37</v>
      </c>
      <c r="J104" s="1161">
        <v>12</v>
      </c>
      <c r="K104" s="1162">
        <f t="shared" si="14"/>
        <v>103</v>
      </c>
      <c r="L104" s="1160">
        <v>1</v>
      </c>
      <c r="M104" s="1161">
        <v>1</v>
      </c>
      <c r="N104" s="1161">
        <v>1</v>
      </c>
      <c r="O104" s="1161">
        <v>1</v>
      </c>
      <c r="P104" s="1161">
        <v>3</v>
      </c>
      <c r="Q104" s="1161">
        <v>1</v>
      </c>
      <c r="R104" s="1162">
        <f t="shared" si="15"/>
        <v>8</v>
      </c>
      <c r="S104" s="1160"/>
      <c r="T104" s="1161"/>
      <c r="U104" s="1161"/>
      <c r="V104" s="1161"/>
      <c r="W104" s="1161"/>
      <c r="X104" s="1161"/>
      <c r="Y104" s="1162">
        <f t="shared" si="16"/>
        <v>0</v>
      </c>
      <c r="Z104" s="1181">
        <f t="shared" si="17"/>
        <v>111</v>
      </c>
      <c r="AA104" s="1181">
        <f t="shared" si="18"/>
        <v>111</v>
      </c>
      <c r="AD104" s="1163">
        <f t="shared" si="19"/>
        <v>3.3333333333333333E-2</v>
      </c>
      <c r="AE104" s="1184">
        <f t="shared" si="20"/>
        <v>0.125</v>
      </c>
      <c r="AF104" s="1164">
        <f t="shared" si="21"/>
        <v>7.4999999999999997E-2</v>
      </c>
      <c r="AG104" s="1164">
        <f t="shared" si="22"/>
        <v>7.6923076923076927E-2</v>
      </c>
      <c r="AH104" s="1164">
        <f t="shared" si="23"/>
        <v>9.0909090909090912E-2</v>
      </c>
      <c r="AI104" s="1164">
        <f t="shared" si="24"/>
        <v>0.1111111111111111</v>
      </c>
      <c r="AJ104" s="1165">
        <f t="shared" si="25"/>
        <v>7.2072072072072071E-2</v>
      </c>
    </row>
    <row r="105" spans="1:36">
      <c r="A105" s="189" t="s">
        <v>55</v>
      </c>
      <c r="B105" s="190" t="s">
        <v>56</v>
      </c>
      <c r="C105" s="191" t="s">
        <v>272</v>
      </c>
      <c r="E105" s="1160">
        <v>73</v>
      </c>
      <c r="F105" s="1161">
        <v>15</v>
      </c>
      <c r="G105" s="1161">
        <v>37</v>
      </c>
      <c r="H105" s="1161">
        <v>1</v>
      </c>
      <c r="I105" s="1161">
        <v>68</v>
      </c>
      <c r="J105" s="1161">
        <v>18</v>
      </c>
      <c r="K105" s="1162">
        <f t="shared" si="14"/>
        <v>212</v>
      </c>
      <c r="L105" s="1160">
        <v>8</v>
      </c>
      <c r="M105" s="1161">
        <v>1</v>
      </c>
      <c r="N105" s="1161">
        <v>9</v>
      </c>
      <c r="O105" s="1161"/>
      <c r="P105" s="1161">
        <v>15</v>
      </c>
      <c r="Q105" s="1161">
        <v>2</v>
      </c>
      <c r="R105" s="1162">
        <f t="shared" si="15"/>
        <v>35</v>
      </c>
      <c r="S105" s="1160"/>
      <c r="T105" s="1161"/>
      <c r="U105" s="1161"/>
      <c r="V105" s="1161"/>
      <c r="W105" s="1161"/>
      <c r="X105" s="1161"/>
      <c r="Y105" s="1162">
        <f t="shared" si="16"/>
        <v>0</v>
      </c>
      <c r="Z105" s="1181">
        <f t="shared" si="17"/>
        <v>247</v>
      </c>
      <c r="AA105" s="1181">
        <f t="shared" si="18"/>
        <v>247</v>
      </c>
      <c r="AD105" s="1163">
        <f t="shared" si="19"/>
        <v>9.8765432098765427E-2</v>
      </c>
      <c r="AE105" s="1184">
        <f t="shared" si="20"/>
        <v>6.25E-2</v>
      </c>
      <c r="AF105" s="1164">
        <f t="shared" si="21"/>
        <v>0.18072289156626506</v>
      </c>
      <c r="AG105" s="1164">
        <f t="shared" si="22"/>
        <v>0.1</v>
      </c>
      <c r="AH105" s="1164">
        <f t="shared" si="23"/>
        <v>0.19565217391304349</v>
      </c>
      <c r="AI105" s="1164">
        <f t="shared" si="24"/>
        <v>0</v>
      </c>
      <c r="AJ105" s="1165">
        <f t="shared" si="25"/>
        <v>0.1417004048582996</v>
      </c>
    </row>
    <row r="106" spans="1:36">
      <c r="A106" s="189" t="s">
        <v>67</v>
      </c>
      <c r="B106" s="190" t="s">
        <v>68</v>
      </c>
      <c r="C106" s="191" t="s">
        <v>273</v>
      </c>
      <c r="E106" s="1160">
        <v>37</v>
      </c>
      <c r="F106" s="1161">
        <v>7</v>
      </c>
      <c r="G106" s="1161">
        <v>8</v>
      </c>
      <c r="H106" s="1161"/>
      <c r="I106" s="1161">
        <v>30</v>
      </c>
      <c r="J106" s="1161">
        <v>8</v>
      </c>
      <c r="K106" s="1162">
        <f t="shared" si="14"/>
        <v>90</v>
      </c>
      <c r="L106" s="1160">
        <v>4</v>
      </c>
      <c r="M106" s="1161">
        <v>1</v>
      </c>
      <c r="N106" s="1161">
        <v>2</v>
      </c>
      <c r="O106" s="1161"/>
      <c r="P106" s="1161">
        <v>7</v>
      </c>
      <c r="Q106" s="1161">
        <v>1</v>
      </c>
      <c r="R106" s="1162">
        <f t="shared" si="15"/>
        <v>15</v>
      </c>
      <c r="S106" s="1160"/>
      <c r="T106" s="1161"/>
      <c r="U106" s="1161"/>
      <c r="V106" s="1161"/>
      <c r="W106" s="1161"/>
      <c r="X106" s="1161"/>
      <c r="Y106" s="1162">
        <f t="shared" si="16"/>
        <v>0</v>
      </c>
      <c r="Z106" s="1181">
        <f t="shared" si="17"/>
        <v>105</v>
      </c>
      <c r="AA106" s="1181">
        <f t="shared" si="18"/>
        <v>105</v>
      </c>
      <c r="AD106" s="1163">
        <f t="shared" si="19"/>
        <v>9.7560975609756101E-2</v>
      </c>
      <c r="AE106" s="1184">
        <f t="shared" si="20"/>
        <v>0.125</v>
      </c>
      <c r="AF106" s="1164">
        <f t="shared" si="21"/>
        <v>0.1891891891891892</v>
      </c>
      <c r="AG106" s="1164">
        <f t="shared" si="22"/>
        <v>0.1111111111111111</v>
      </c>
      <c r="AH106" s="1164">
        <f t="shared" si="23"/>
        <v>0.2</v>
      </c>
      <c r="AI106" s="1164" t="str">
        <f t="shared" si="24"/>
        <v>NA</v>
      </c>
      <c r="AJ106" s="1165">
        <f t="shared" si="25"/>
        <v>0.14285714285714285</v>
      </c>
    </row>
    <row r="107" spans="1:36">
      <c r="A107" s="189" t="s">
        <v>83</v>
      </c>
      <c r="B107" s="190" t="s">
        <v>390</v>
      </c>
      <c r="C107" s="191" t="s">
        <v>272</v>
      </c>
      <c r="E107" s="1160">
        <v>8</v>
      </c>
      <c r="F107" s="1161">
        <v>1</v>
      </c>
      <c r="G107" s="1161">
        <v>5</v>
      </c>
      <c r="H107" s="1161"/>
      <c r="I107" s="1161">
        <v>5</v>
      </c>
      <c r="J107" s="1161">
        <v>1</v>
      </c>
      <c r="K107" s="1162">
        <f t="shared" si="14"/>
        <v>20</v>
      </c>
      <c r="L107" s="1160">
        <v>2</v>
      </c>
      <c r="M107" s="1161"/>
      <c r="N107" s="1161"/>
      <c r="O107" s="1161"/>
      <c r="P107" s="1161">
        <v>2</v>
      </c>
      <c r="Q107" s="1161"/>
      <c r="R107" s="1162">
        <f t="shared" si="15"/>
        <v>4</v>
      </c>
      <c r="S107" s="1160"/>
      <c r="T107" s="1161"/>
      <c r="U107" s="1161"/>
      <c r="V107" s="1161"/>
      <c r="W107" s="1161"/>
      <c r="X107" s="1161"/>
      <c r="Y107" s="1162">
        <f t="shared" si="16"/>
        <v>0</v>
      </c>
      <c r="Z107" s="1181">
        <f t="shared" si="17"/>
        <v>24</v>
      </c>
      <c r="AA107" s="1181">
        <f t="shared" si="18"/>
        <v>24</v>
      </c>
      <c r="AD107" s="1163">
        <f t="shared" si="19"/>
        <v>0.2</v>
      </c>
      <c r="AE107" s="1184">
        <f t="shared" si="20"/>
        <v>0</v>
      </c>
      <c r="AF107" s="1164">
        <f t="shared" si="21"/>
        <v>0.2857142857142857</v>
      </c>
      <c r="AG107" s="1164">
        <f t="shared" si="22"/>
        <v>0</v>
      </c>
      <c r="AH107" s="1164">
        <f t="shared" si="23"/>
        <v>0</v>
      </c>
      <c r="AI107" s="1164" t="str">
        <f t="shared" si="24"/>
        <v>NA</v>
      </c>
      <c r="AJ107" s="1165">
        <f t="shared" si="25"/>
        <v>0.16666666666666666</v>
      </c>
    </row>
    <row r="108" spans="1:36">
      <c r="A108" s="189" t="s">
        <v>89</v>
      </c>
      <c r="B108" s="190" t="s">
        <v>90</v>
      </c>
      <c r="C108" s="191" t="s">
        <v>276</v>
      </c>
      <c r="E108" s="1160">
        <v>12</v>
      </c>
      <c r="F108" s="1161">
        <v>1</v>
      </c>
      <c r="G108" s="1161">
        <v>5</v>
      </c>
      <c r="H108" s="1161"/>
      <c r="I108" s="1161">
        <v>12</v>
      </c>
      <c r="J108" s="1161">
        <v>3</v>
      </c>
      <c r="K108" s="1162">
        <f t="shared" si="14"/>
        <v>33</v>
      </c>
      <c r="L108" s="1160">
        <v>4</v>
      </c>
      <c r="M108" s="1161"/>
      <c r="N108" s="1161">
        <v>3</v>
      </c>
      <c r="O108" s="1161">
        <v>2</v>
      </c>
      <c r="P108" s="1161"/>
      <c r="Q108" s="1161"/>
      <c r="R108" s="1162">
        <f t="shared" si="15"/>
        <v>9</v>
      </c>
      <c r="S108" s="1160"/>
      <c r="T108" s="1161"/>
      <c r="U108" s="1161"/>
      <c r="V108" s="1161"/>
      <c r="W108" s="1161"/>
      <c r="X108" s="1161"/>
      <c r="Y108" s="1162">
        <f t="shared" si="16"/>
        <v>0</v>
      </c>
      <c r="Z108" s="1181">
        <f t="shared" si="17"/>
        <v>42</v>
      </c>
      <c r="AA108" s="1181">
        <f t="shared" si="18"/>
        <v>42</v>
      </c>
      <c r="AD108" s="1163">
        <f t="shared" si="19"/>
        <v>0.25</v>
      </c>
      <c r="AE108" s="1184">
        <f t="shared" si="20"/>
        <v>0</v>
      </c>
      <c r="AF108" s="1164">
        <f t="shared" si="21"/>
        <v>0</v>
      </c>
      <c r="AG108" s="1164">
        <f t="shared" si="22"/>
        <v>0</v>
      </c>
      <c r="AH108" s="1164">
        <f t="shared" si="23"/>
        <v>0.375</v>
      </c>
      <c r="AI108" s="1164">
        <f t="shared" si="24"/>
        <v>1</v>
      </c>
      <c r="AJ108" s="1165">
        <f t="shared" si="25"/>
        <v>0.21428571428571427</v>
      </c>
    </row>
    <row r="109" spans="1:36">
      <c r="A109" s="189" t="s">
        <v>91</v>
      </c>
      <c r="B109" s="190" t="s">
        <v>92</v>
      </c>
      <c r="C109" s="191" t="s">
        <v>278</v>
      </c>
      <c r="E109" s="1160">
        <v>8</v>
      </c>
      <c r="F109" s="1161">
        <v>1</v>
      </c>
      <c r="G109" s="1161">
        <v>4</v>
      </c>
      <c r="H109" s="1161"/>
      <c r="I109" s="1161">
        <v>3</v>
      </c>
      <c r="J109" s="1161">
        <v>1</v>
      </c>
      <c r="K109" s="1162">
        <f t="shared" si="14"/>
        <v>17</v>
      </c>
      <c r="L109" s="1160"/>
      <c r="M109" s="1161"/>
      <c r="N109" s="1161"/>
      <c r="O109" s="1161"/>
      <c r="P109" s="1161">
        <v>1</v>
      </c>
      <c r="Q109" s="1161"/>
      <c r="R109" s="1162">
        <f t="shared" si="15"/>
        <v>1</v>
      </c>
      <c r="S109" s="1160"/>
      <c r="T109" s="1161"/>
      <c r="U109" s="1161"/>
      <c r="V109" s="1161"/>
      <c r="W109" s="1161"/>
      <c r="X109" s="1161"/>
      <c r="Y109" s="1162">
        <f t="shared" si="16"/>
        <v>0</v>
      </c>
      <c r="Z109" s="1181">
        <f t="shared" si="17"/>
        <v>18</v>
      </c>
      <c r="AA109" s="1181">
        <f t="shared" si="18"/>
        <v>18</v>
      </c>
      <c r="AD109" s="1163">
        <f t="shared" si="19"/>
        <v>0</v>
      </c>
      <c r="AE109" s="1184">
        <f t="shared" si="20"/>
        <v>0</v>
      </c>
      <c r="AF109" s="1164">
        <f t="shared" si="21"/>
        <v>0.25</v>
      </c>
      <c r="AG109" s="1164">
        <f t="shared" si="22"/>
        <v>0</v>
      </c>
      <c r="AH109" s="1164">
        <f t="shared" si="23"/>
        <v>0</v>
      </c>
      <c r="AI109" s="1164" t="str">
        <f t="shared" si="24"/>
        <v>NA</v>
      </c>
      <c r="AJ109" s="1165">
        <f t="shared" si="25"/>
        <v>5.5555555555555552E-2</v>
      </c>
    </row>
    <row r="110" spans="1:36">
      <c r="A110" s="189" t="s">
        <v>107</v>
      </c>
      <c r="B110" s="190" t="s">
        <v>108</v>
      </c>
      <c r="C110" s="191" t="s">
        <v>272</v>
      </c>
      <c r="E110" s="1160">
        <v>74</v>
      </c>
      <c r="F110" s="1161">
        <v>3</v>
      </c>
      <c r="G110" s="1161">
        <v>28</v>
      </c>
      <c r="H110" s="1161">
        <v>2</v>
      </c>
      <c r="I110" s="1161">
        <v>47</v>
      </c>
      <c r="J110" s="1161">
        <v>19</v>
      </c>
      <c r="K110" s="1162">
        <f t="shared" si="14"/>
        <v>173</v>
      </c>
      <c r="L110" s="1160">
        <v>9</v>
      </c>
      <c r="M110" s="1161">
        <v>2</v>
      </c>
      <c r="N110" s="1161">
        <v>5</v>
      </c>
      <c r="O110" s="1161"/>
      <c r="P110" s="1161">
        <v>13</v>
      </c>
      <c r="Q110" s="1161">
        <v>2</v>
      </c>
      <c r="R110" s="1162">
        <f t="shared" si="15"/>
        <v>31</v>
      </c>
      <c r="S110" s="1160"/>
      <c r="T110" s="1161"/>
      <c r="U110" s="1161"/>
      <c r="V110" s="1161"/>
      <c r="W110" s="1161"/>
      <c r="X110" s="1161"/>
      <c r="Y110" s="1162">
        <f t="shared" si="16"/>
        <v>0</v>
      </c>
      <c r="Z110" s="1181">
        <f t="shared" si="17"/>
        <v>204</v>
      </c>
      <c r="AA110" s="1181">
        <f t="shared" si="18"/>
        <v>204</v>
      </c>
      <c r="AD110" s="1163">
        <f t="shared" si="19"/>
        <v>0.10843373493975904</v>
      </c>
      <c r="AE110" s="1184">
        <f t="shared" si="20"/>
        <v>0.4</v>
      </c>
      <c r="AF110" s="1164">
        <f t="shared" si="21"/>
        <v>0.21666666666666667</v>
      </c>
      <c r="AG110" s="1164">
        <f t="shared" si="22"/>
        <v>9.5238095238095233E-2</v>
      </c>
      <c r="AH110" s="1164">
        <f t="shared" si="23"/>
        <v>0.15151515151515152</v>
      </c>
      <c r="AI110" s="1164">
        <f t="shared" si="24"/>
        <v>0</v>
      </c>
      <c r="AJ110" s="1165">
        <f t="shared" si="25"/>
        <v>0.15196078431372548</v>
      </c>
    </row>
    <row r="111" spans="1:36">
      <c r="A111" s="189" t="s">
        <v>117</v>
      </c>
      <c r="B111" s="190" t="s">
        <v>118</v>
      </c>
      <c r="C111" s="191" t="s">
        <v>275</v>
      </c>
      <c r="E111" s="1160">
        <v>20</v>
      </c>
      <c r="F111" s="1161">
        <v>2</v>
      </c>
      <c r="G111" s="1161">
        <v>9</v>
      </c>
      <c r="H111" s="1161"/>
      <c r="I111" s="1161">
        <v>8</v>
      </c>
      <c r="J111" s="1161">
        <v>2</v>
      </c>
      <c r="K111" s="1162">
        <f t="shared" si="14"/>
        <v>41</v>
      </c>
      <c r="L111" s="1160">
        <v>5</v>
      </c>
      <c r="M111" s="1161">
        <v>1</v>
      </c>
      <c r="N111" s="1161">
        <v>5</v>
      </c>
      <c r="O111" s="1161">
        <v>1</v>
      </c>
      <c r="P111" s="1161">
        <v>7</v>
      </c>
      <c r="Q111" s="1161"/>
      <c r="R111" s="1162">
        <f t="shared" si="15"/>
        <v>19</v>
      </c>
      <c r="S111" s="1160"/>
      <c r="T111" s="1161"/>
      <c r="U111" s="1161"/>
      <c r="V111" s="1161"/>
      <c r="W111" s="1161"/>
      <c r="X111" s="1161"/>
      <c r="Y111" s="1162">
        <f t="shared" si="16"/>
        <v>0</v>
      </c>
      <c r="Z111" s="1181">
        <f t="shared" si="17"/>
        <v>60</v>
      </c>
      <c r="AA111" s="1181">
        <f t="shared" si="18"/>
        <v>60</v>
      </c>
      <c r="AD111" s="1163">
        <f t="shared" si="19"/>
        <v>0.2</v>
      </c>
      <c r="AE111" s="1184">
        <f t="shared" si="20"/>
        <v>0.33333333333333331</v>
      </c>
      <c r="AF111" s="1164">
        <f t="shared" si="21"/>
        <v>0.46666666666666667</v>
      </c>
      <c r="AG111" s="1164">
        <f t="shared" si="22"/>
        <v>0</v>
      </c>
      <c r="AH111" s="1164">
        <f t="shared" si="23"/>
        <v>0.35714285714285715</v>
      </c>
      <c r="AI111" s="1164">
        <f t="shared" si="24"/>
        <v>1</v>
      </c>
      <c r="AJ111" s="1165">
        <f t="shared" si="25"/>
        <v>0.31666666666666665</v>
      </c>
    </row>
    <row r="112" spans="1:36">
      <c r="A112" s="189" t="s">
        <v>139</v>
      </c>
      <c r="B112" s="190" t="s">
        <v>140</v>
      </c>
      <c r="C112" s="191" t="s">
        <v>273</v>
      </c>
      <c r="E112" s="1160">
        <v>46</v>
      </c>
      <c r="F112" s="1161">
        <v>3</v>
      </c>
      <c r="G112" s="1161">
        <v>22</v>
      </c>
      <c r="H112" s="1161"/>
      <c r="I112" s="1161">
        <v>51</v>
      </c>
      <c r="J112" s="1161">
        <v>4</v>
      </c>
      <c r="K112" s="1162">
        <f t="shared" si="14"/>
        <v>126</v>
      </c>
      <c r="L112" s="1160">
        <v>13</v>
      </c>
      <c r="M112" s="1161">
        <v>2</v>
      </c>
      <c r="N112" s="1161">
        <v>10</v>
      </c>
      <c r="O112" s="1161"/>
      <c r="P112" s="1161">
        <v>27</v>
      </c>
      <c r="Q112" s="1161">
        <v>1</v>
      </c>
      <c r="R112" s="1162">
        <f t="shared" si="15"/>
        <v>53</v>
      </c>
      <c r="S112" s="1160"/>
      <c r="T112" s="1161"/>
      <c r="U112" s="1161"/>
      <c r="V112" s="1161"/>
      <c r="W112" s="1161"/>
      <c r="X112" s="1161"/>
      <c r="Y112" s="1162">
        <f t="shared" si="16"/>
        <v>0</v>
      </c>
      <c r="Z112" s="1181">
        <f t="shared" si="17"/>
        <v>179</v>
      </c>
      <c r="AA112" s="1181">
        <f t="shared" si="18"/>
        <v>179</v>
      </c>
      <c r="AD112" s="1163">
        <f t="shared" si="19"/>
        <v>0.22033898305084745</v>
      </c>
      <c r="AE112" s="1184">
        <f t="shared" si="20"/>
        <v>0.4</v>
      </c>
      <c r="AF112" s="1164">
        <f t="shared" si="21"/>
        <v>0.34615384615384615</v>
      </c>
      <c r="AG112" s="1164">
        <f t="shared" si="22"/>
        <v>0.2</v>
      </c>
      <c r="AH112" s="1164">
        <f t="shared" si="23"/>
        <v>0.3125</v>
      </c>
      <c r="AI112" s="1164" t="str">
        <f t="shared" si="24"/>
        <v>NA</v>
      </c>
      <c r="AJ112" s="1165">
        <f t="shared" si="25"/>
        <v>0.29608938547486036</v>
      </c>
    </row>
    <row r="113" spans="1:36">
      <c r="A113" s="189" t="s">
        <v>143</v>
      </c>
      <c r="B113" s="190" t="s">
        <v>144</v>
      </c>
      <c r="C113" s="191" t="s">
        <v>276</v>
      </c>
      <c r="E113" s="1160">
        <v>10</v>
      </c>
      <c r="F113" s="1161">
        <v>3</v>
      </c>
      <c r="G113" s="1161">
        <v>6</v>
      </c>
      <c r="H113" s="1161"/>
      <c r="I113" s="1161">
        <v>9</v>
      </c>
      <c r="J113" s="1161">
        <v>1</v>
      </c>
      <c r="K113" s="1162">
        <f t="shared" si="14"/>
        <v>29</v>
      </c>
      <c r="L113" s="1160">
        <v>1</v>
      </c>
      <c r="M113" s="1161">
        <v>1</v>
      </c>
      <c r="N113" s="1161">
        <v>1</v>
      </c>
      <c r="O113" s="1161">
        <v>1</v>
      </c>
      <c r="P113" s="1161">
        <v>3</v>
      </c>
      <c r="Q113" s="1161"/>
      <c r="R113" s="1162">
        <f t="shared" si="15"/>
        <v>7</v>
      </c>
      <c r="S113" s="1160"/>
      <c r="T113" s="1161"/>
      <c r="U113" s="1161"/>
      <c r="V113" s="1161"/>
      <c r="W113" s="1161"/>
      <c r="X113" s="1161"/>
      <c r="Y113" s="1162">
        <f t="shared" si="16"/>
        <v>0</v>
      </c>
      <c r="Z113" s="1181">
        <f t="shared" si="17"/>
        <v>36</v>
      </c>
      <c r="AA113" s="1181">
        <f t="shared" si="18"/>
        <v>36</v>
      </c>
      <c r="AD113" s="1163">
        <f t="shared" si="19"/>
        <v>9.0909090909090912E-2</v>
      </c>
      <c r="AE113" s="1184">
        <f t="shared" si="20"/>
        <v>0.25</v>
      </c>
      <c r="AF113" s="1164">
        <f t="shared" si="21"/>
        <v>0.25</v>
      </c>
      <c r="AG113" s="1164">
        <f t="shared" si="22"/>
        <v>0</v>
      </c>
      <c r="AH113" s="1164">
        <f t="shared" si="23"/>
        <v>0.14285714285714285</v>
      </c>
      <c r="AI113" s="1164">
        <f t="shared" si="24"/>
        <v>1</v>
      </c>
      <c r="AJ113" s="1165">
        <f t="shared" si="25"/>
        <v>0.19444444444444445</v>
      </c>
    </row>
    <row r="114" spans="1:36">
      <c r="A114" s="189" t="s">
        <v>145</v>
      </c>
      <c r="B114" s="190" t="s">
        <v>146</v>
      </c>
      <c r="C114" s="191" t="s">
        <v>276</v>
      </c>
      <c r="E114" s="1160">
        <v>2</v>
      </c>
      <c r="F114" s="1161">
        <v>1</v>
      </c>
      <c r="G114" s="1161">
        <v>3</v>
      </c>
      <c r="H114" s="1161"/>
      <c r="I114" s="1161">
        <v>3</v>
      </c>
      <c r="J114" s="1161"/>
      <c r="K114" s="1162">
        <f t="shared" si="14"/>
        <v>9</v>
      </c>
      <c r="L114" s="1160">
        <v>2</v>
      </c>
      <c r="M114" s="1161">
        <v>1</v>
      </c>
      <c r="N114" s="1161">
        <v>4</v>
      </c>
      <c r="O114" s="1161"/>
      <c r="P114" s="1161">
        <v>5</v>
      </c>
      <c r="Q114" s="1161">
        <v>1</v>
      </c>
      <c r="R114" s="1162">
        <f t="shared" si="15"/>
        <v>13</v>
      </c>
      <c r="S114" s="1160"/>
      <c r="T114" s="1161"/>
      <c r="U114" s="1161"/>
      <c r="V114" s="1161"/>
      <c r="W114" s="1161"/>
      <c r="X114" s="1161"/>
      <c r="Y114" s="1162">
        <f t="shared" si="16"/>
        <v>0</v>
      </c>
      <c r="Z114" s="1181">
        <f t="shared" si="17"/>
        <v>22</v>
      </c>
      <c r="AA114" s="1181">
        <f t="shared" si="18"/>
        <v>22</v>
      </c>
      <c r="AD114" s="1163">
        <f t="shared" si="19"/>
        <v>0.5</v>
      </c>
      <c r="AE114" s="1184">
        <f t="shared" si="20"/>
        <v>0.5</v>
      </c>
      <c r="AF114" s="1164">
        <f t="shared" si="21"/>
        <v>0.625</v>
      </c>
      <c r="AG114" s="1164">
        <f t="shared" si="22"/>
        <v>1</v>
      </c>
      <c r="AH114" s="1164">
        <f t="shared" si="23"/>
        <v>0.5714285714285714</v>
      </c>
      <c r="AI114" s="1164" t="str">
        <f t="shared" si="24"/>
        <v>NA</v>
      </c>
      <c r="AJ114" s="1165">
        <f t="shared" si="25"/>
        <v>0.59090909090909094</v>
      </c>
    </row>
    <row r="115" spans="1:36">
      <c r="A115" s="189" t="s">
        <v>159</v>
      </c>
      <c r="B115" s="190" t="s">
        <v>160</v>
      </c>
      <c r="C115" s="191" t="s">
        <v>272</v>
      </c>
      <c r="E115" s="1160">
        <v>74</v>
      </c>
      <c r="F115" s="1161">
        <v>14</v>
      </c>
      <c r="G115" s="1161">
        <v>81</v>
      </c>
      <c r="H115" s="1161">
        <v>3</v>
      </c>
      <c r="I115" s="1161">
        <v>111</v>
      </c>
      <c r="J115" s="1161">
        <v>25</v>
      </c>
      <c r="K115" s="1162">
        <f t="shared" si="14"/>
        <v>308</v>
      </c>
      <c r="L115" s="1160">
        <v>30</v>
      </c>
      <c r="M115" s="1161">
        <v>3</v>
      </c>
      <c r="N115" s="1161">
        <v>22</v>
      </c>
      <c r="O115" s="1161"/>
      <c r="P115" s="1161">
        <v>20</v>
      </c>
      <c r="Q115" s="1161">
        <v>7</v>
      </c>
      <c r="R115" s="1162">
        <f t="shared" si="15"/>
        <v>82</v>
      </c>
      <c r="S115" s="1160">
        <v>4</v>
      </c>
      <c r="T115" s="1161"/>
      <c r="U115" s="1161">
        <v>2</v>
      </c>
      <c r="V115" s="1161"/>
      <c r="W115" s="1161">
        <v>1</v>
      </c>
      <c r="X115" s="1161"/>
      <c r="Y115" s="1162">
        <f t="shared" si="16"/>
        <v>7</v>
      </c>
      <c r="Z115" s="1181">
        <f t="shared" si="17"/>
        <v>397</v>
      </c>
      <c r="AA115" s="1181">
        <f t="shared" si="18"/>
        <v>390</v>
      </c>
      <c r="AD115" s="1163">
        <f t="shared" si="19"/>
        <v>0.28846153846153844</v>
      </c>
      <c r="AE115" s="1184">
        <f t="shared" si="20"/>
        <v>0.17647058823529413</v>
      </c>
      <c r="AF115" s="1164">
        <f t="shared" si="21"/>
        <v>0.15267175572519084</v>
      </c>
      <c r="AG115" s="1164">
        <f t="shared" si="22"/>
        <v>0.21875</v>
      </c>
      <c r="AH115" s="1164">
        <f t="shared" si="23"/>
        <v>0.21359223300970873</v>
      </c>
      <c r="AI115" s="1164">
        <f t="shared" si="24"/>
        <v>0</v>
      </c>
      <c r="AJ115" s="1165">
        <f t="shared" si="25"/>
        <v>0.21025641025641026</v>
      </c>
    </row>
    <row r="116" spans="1:36">
      <c r="A116" s="189" t="s">
        <v>161</v>
      </c>
      <c r="B116" s="190" t="s">
        <v>162</v>
      </c>
      <c r="C116" s="191" t="s">
        <v>272</v>
      </c>
      <c r="E116" s="1160">
        <v>151</v>
      </c>
      <c r="F116" s="1161">
        <v>23</v>
      </c>
      <c r="G116" s="1161">
        <v>92</v>
      </c>
      <c r="H116" s="1161">
        <v>3</v>
      </c>
      <c r="I116" s="1161">
        <v>98</v>
      </c>
      <c r="J116" s="1161">
        <v>18</v>
      </c>
      <c r="K116" s="1162">
        <f t="shared" si="14"/>
        <v>385</v>
      </c>
      <c r="L116" s="1160">
        <v>67</v>
      </c>
      <c r="M116" s="1161">
        <v>10</v>
      </c>
      <c r="N116" s="1161">
        <v>66</v>
      </c>
      <c r="O116" s="1161">
        <v>7</v>
      </c>
      <c r="P116" s="1161">
        <v>89</v>
      </c>
      <c r="Q116" s="1161">
        <v>3</v>
      </c>
      <c r="R116" s="1162">
        <f t="shared" si="15"/>
        <v>242</v>
      </c>
      <c r="S116" s="1160"/>
      <c r="T116" s="1161"/>
      <c r="U116" s="1161"/>
      <c r="V116" s="1161"/>
      <c r="W116" s="1161"/>
      <c r="X116" s="1161"/>
      <c r="Y116" s="1162">
        <f t="shared" si="16"/>
        <v>0</v>
      </c>
      <c r="Z116" s="1181">
        <f t="shared" si="17"/>
        <v>627</v>
      </c>
      <c r="AA116" s="1181">
        <f t="shared" si="18"/>
        <v>627</v>
      </c>
      <c r="AD116" s="1163">
        <f t="shared" si="19"/>
        <v>0.30733944954128439</v>
      </c>
      <c r="AE116" s="1184">
        <f t="shared" si="20"/>
        <v>0.30303030303030304</v>
      </c>
      <c r="AF116" s="1164">
        <f t="shared" si="21"/>
        <v>0.47593582887700536</v>
      </c>
      <c r="AG116" s="1164">
        <f t="shared" si="22"/>
        <v>0.14285714285714285</v>
      </c>
      <c r="AH116" s="1164">
        <f t="shared" si="23"/>
        <v>0.41772151898734178</v>
      </c>
      <c r="AI116" s="1164">
        <f t="shared" si="24"/>
        <v>0.7</v>
      </c>
      <c r="AJ116" s="1165">
        <f t="shared" si="25"/>
        <v>0.38596491228070173</v>
      </c>
    </row>
    <row r="117" spans="1:36">
      <c r="A117" s="189" t="s">
        <v>167</v>
      </c>
      <c r="B117" s="190" t="s">
        <v>168</v>
      </c>
      <c r="C117" s="191" t="s">
        <v>278</v>
      </c>
      <c r="E117" s="1160">
        <v>5</v>
      </c>
      <c r="F117" s="1161">
        <v>1</v>
      </c>
      <c r="G117" s="1161">
        <v>4</v>
      </c>
      <c r="H117" s="1161"/>
      <c r="I117" s="1161">
        <v>4</v>
      </c>
      <c r="J117" s="1161"/>
      <c r="K117" s="1162">
        <f t="shared" si="14"/>
        <v>14</v>
      </c>
      <c r="L117" s="1160"/>
      <c r="M117" s="1161"/>
      <c r="N117" s="1161"/>
      <c r="O117" s="1161"/>
      <c r="P117" s="1161">
        <v>1</v>
      </c>
      <c r="Q117" s="1161"/>
      <c r="R117" s="1162">
        <f t="shared" si="15"/>
        <v>1</v>
      </c>
      <c r="S117" s="1160"/>
      <c r="T117" s="1161"/>
      <c r="U117" s="1161"/>
      <c r="V117" s="1161"/>
      <c r="W117" s="1161"/>
      <c r="X117" s="1161"/>
      <c r="Y117" s="1162">
        <f t="shared" si="16"/>
        <v>0</v>
      </c>
      <c r="Z117" s="1181">
        <f t="shared" si="17"/>
        <v>15</v>
      </c>
      <c r="AA117" s="1181">
        <f t="shared" si="18"/>
        <v>15</v>
      </c>
      <c r="AD117" s="1163">
        <f t="shared" si="19"/>
        <v>0</v>
      </c>
      <c r="AE117" s="1184">
        <f t="shared" si="20"/>
        <v>0</v>
      </c>
      <c r="AF117" s="1164">
        <f t="shared" si="21"/>
        <v>0.2</v>
      </c>
      <c r="AG117" s="1164" t="str">
        <f t="shared" si="22"/>
        <v>NA</v>
      </c>
      <c r="AH117" s="1164">
        <f t="shared" si="23"/>
        <v>0</v>
      </c>
      <c r="AI117" s="1164" t="str">
        <f t="shared" si="24"/>
        <v>NA</v>
      </c>
      <c r="AJ117" s="1165">
        <f t="shared" si="25"/>
        <v>6.6666666666666666E-2</v>
      </c>
    </row>
    <row r="118" spans="1:36">
      <c r="A118" s="189" t="s">
        <v>177</v>
      </c>
      <c r="B118" s="190" t="s">
        <v>178</v>
      </c>
      <c r="C118" s="191" t="s">
        <v>275</v>
      </c>
      <c r="E118" s="1160">
        <v>34</v>
      </c>
      <c r="F118" s="1161">
        <v>7</v>
      </c>
      <c r="G118" s="1161">
        <v>25</v>
      </c>
      <c r="H118" s="1161"/>
      <c r="I118" s="1161">
        <v>38</v>
      </c>
      <c r="J118" s="1161">
        <v>7</v>
      </c>
      <c r="K118" s="1162">
        <f t="shared" si="14"/>
        <v>111</v>
      </c>
      <c r="L118" s="1160">
        <v>11</v>
      </c>
      <c r="M118" s="1161">
        <v>1</v>
      </c>
      <c r="N118" s="1161">
        <v>8</v>
      </c>
      <c r="O118" s="1161"/>
      <c r="P118" s="1161">
        <v>8</v>
      </c>
      <c r="Q118" s="1161">
        <v>1</v>
      </c>
      <c r="R118" s="1162">
        <f t="shared" si="15"/>
        <v>29</v>
      </c>
      <c r="S118" s="1160"/>
      <c r="T118" s="1161"/>
      <c r="U118" s="1161"/>
      <c r="V118" s="1161"/>
      <c r="W118" s="1161"/>
      <c r="X118" s="1161"/>
      <c r="Y118" s="1162">
        <f t="shared" si="16"/>
        <v>0</v>
      </c>
      <c r="Z118" s="1181">
        <f t="shared" si="17"/>
        <v>140</v>
      </c>
      <c r="AA118" s="1181">
        <f t="shared" si="18"/>
        <v>140</v>
      </c>
      <c r="AD118" s="1163">
        <f t="shared" si="19"/>
        <v>0.24444444444444444</v>
      </c>
      <c r="AE118" s="1184">
        <f t="shared" si="20"/>
        <v>0.125</v>
      </c>
      <c r="AF118" s="1164">
        <f t="shared" si="21"/>
        <v>0.17391304347826086</v>
      </c>
      <c r="AG118" s="1164">
        <f t="shared" si="22"/>
        <v>0.125</v>
      </c>
      <c r="AH118" s="1164">
        <f t="shared" si="23"/>
        <v>0.24242424242424243</v>
      </c>
      <c r="AI118" s="1164" t="str">
        <f t="shared" si="24"/>
        <v>NA</v>
      </c>
      <c r="AJ118" s="1165">
        <f t="shared" si="25"/>
        <v>0.20714285714285716</v>
      </c>
    </row>
    <row r="119" spans="1:36">
      <c r="A119" s="189" t="s">
        <v>181</v>
      </c>
      <c r="B119" s="190" t="s">
        <v>182</v>
      </c>
      <c r="C119" s="191" t="s">
        <v>272</v>
      </c>
      <c r="E119" s="1160">
        <v>66</v>
      </c>
      <c r="F119" s="1161">
        <v>11</v>
      </c>
      <c r="G119" s="1161">
        <v>45</v>
      </c>
      <c r="H119" s="1161"/>
      <c r="I119" s="1161">
        <v>64</v>
      </c>
      <c r="J119" s="1161">
        <v>14</v>
      </c>
      <c r="K119" s="1162">
        <f t="shared" si="14"/>
        <v>200</v>
      </c>
      <c r="L119" s="1160">
        <v>24</v>
      </c>
      <c r="M119" s="1161">
        <v>1</v>
      </c>
      <c r="N119" s="1161">
        <v>22</v>
      </c>
      <c r="O119" s="1161"/>
      <c r="P119" s="1161">
        <v>25</v>
      </c>
      <c r="Q119" s="1161">
        <v>4</v>
      </c>
      <c r="R119" s="1162">
        <f t="shared" si="15"/>
        <v>76</v>
      </c>
      <c r="S119" s="1160"/>
      <c r="T119" s="1161"/>
      <c r="U119" s="1161"/>
      <c r="V119" s="1161"/>
      <c r="W119" s="1161"/>
      <c r="X119" s="1161"/>
      <c r="Y119" s="1162">
        <f t="shared" si="16"/>
        <v>0</v>
      </c>
      <c r="Z119" s="1181">
        <f t="shared" si="17"/>
        <v>276</v>
      </c>
      <c r="AA119" s="1181">
        <f t="shared" si="18"/>
        <v>276</v>
      </c>
      <c r="AD119" s="1163">
        <f t="shared" si="19"/>
        <v>0.26666666666666666</v>
      </c>
      <c r="AE119" s="1184">
        <f t="shared" si="20"/>
        <v>8.3333333333333329E-2</v>
      </c>
      <c r="AF119" s="1164">
        <f t="shared" si="21"/>
        <v>0.2808988764044944</v>
      </c>
      <c r="AG119" s="1164">
        <f t="shared" si="22"/>
        <v>0.22222222222222221</v>
      </c>
      <c r="AH119" s="1164">
        <f t="shared" si="23"/>
        <v>0.32835820895522388</v>
      </c>
      <c r="AI119" s="1164" t="str">
        <f t="shared" si="24"/>
        <v>NA</v>
      </c>
      <c r="AJ119" s="1165">
        <f t="shared" si="25"/>
        <v>0.27536231884057971</v>
      </c>
    </row>
    <row r="120" spans="1:36">
      <c r="A120" s="189" t="s">
        <v>193</v>
      </c>
      <c r="B120" s="190" t="s">
        <v>194</v>
      </c>
      <c r="C120" s="191" t="s">
        <v>278</v>
      </c>
      <c r="E120" s="1160">
        <v>5</v>
      </c>
      <c r="F120" s="1161">
        <v>1</v>
      </c>
      <c r="G120" s="1161">
        <v>3</v>
      </c>
      <c r="H120" s="1161"/>
      <c r="I120" s="1161">
        <v>4</v>
      </c>
      <c r="J120" s="1161"/>
      <c r="K120" s="1162">
        <f t="shared" si="14"/>
        <v>13</v>
      </c>
      <c r="L120" s="1160">
        <v>3</v>
      </c>
      <c r="M120" s="1161"/>
      <c r="N120" s="1161">
        <v>1</v>
      </c>
      <c r="O120" s="1161"/>
      <c r="P120" s="1161">
        <v>1</v>
      </c>
      <c r="Q120" s="1161"/>
      <c r="R120" s="1162">
        <f t="shared" si="15"/>
        <v>5</v>
      </c>
      <c r="S120" s="1160"/>
      <c r="T120" s="1161"/>
      <c r="U120" s="1161"/>
      <c r="V120" s="1161"/>
      <c r="W120" s="1161"/>
      <c r="X120" s="1161"/>
      <c r="Y120" s="1162">
        <f t="shared" si="16"/>
        <v>0</v>
      </c>
      <c r="Z120" s="1181">
        <f t="shared" si="17"/>
        <v>18</v>
      </c>
      <c r="AA120" s="1181">
        <f t="shared" si="18"/>
        <v>18</v>
      </c>
      <c r="AD120" s="1163">
        <f t="shared" si="19"/>
        <v>0.375</v>
      </c>
      <c r="AE120" s="1184">
        <f t="shared" si="20"/>
        <v>0</v>
      </c>
      <c r="AF120" s="1164">
        <f t="shared" si="21"/>
        <v>0.2</v>
      </c>
      <c r="AG120" s="1164" t="str">
        <f t="shared" si="22"/>
        <v>NA</v>
      </c>
      <c r="AH120" s="1164">
        <f t="shared" si="23"/>
        <v>0.25</v>
      </c>
      <c r="AI120" s="1164" t="str">
        <f t="shared" si="24"/>
        <v>NA</v>
      </c>
      <c r="AJ120" s="1165">
        <f t="shared" si="25"/>
        <v>0.27777777777777779</v>
      </c>
    </row>
    <row r="121" spans="1:36">
      <c r="A121" s="189" t="s">
        <v>197</v>
      </c>
      <c r="B121" s="190" t="s">
        <v>391</v>
      </c>
      <c r="C121" s="191" t="s">
        <v>275</v>
      </c>
      <c r="E121" s="1160">
        <v>112</v>
      </c>
      <c r="F121" s="1161">
        <v>17</v>
      </c>
      <c r="G121" s="1161">
        <v>85</v>
      </c>
      <c r="H121" s="1161">
        <v>15</v>
      </c>
      <c r="I121" s="1161">
        <v>158</v>
      </c>
      <c r="J121" s="1161">
        <v>29</v>
      </c>
      <c r="K121" s="1162">
        <f t="shared" si="14"/>
        <v>416</v>
      </c>
      <c r="L121" s="1160">
        <v>24</v>
      </c>
      <c r="M121" s="1161">
        <v>4</v>
      </c>
      <c r="N121" s="1161">
        <v>31</v>
      </c>
      <c r="O121" s="1161">
        <v>7</v>
      </c>
      <c r="P121" s="1161">
        <v>39</v>
      </c>
      <c r="Q121" s="1161">
        <v>3</v>
      </c>
      <c r="R121" s="1162">
        <f t="shared" si="15"/>
        <v>108</v>
      </c>
      <c r="S121" s="1160"/>
      <c r="T121" s="1161"/>
      <c r="U121" s="1161">
        <v>2</v>
      </c>
      <c r="V121" s="1161">
        <v>1</v>
      </c>
      <c r="W121" s="1161">
        <v>4</v>
      </c>
      <c r="X121" s="1161"/>
      <c r="Y121" s="1162">
        <f t="shared" si="16"/>
        <v>7</v>
      </c>
      <c r="Z121" s="1181">
        <f t="shared" si="17"/>
        <v>531</v>
      </c>
      <c r="AA121" s="1181">
        <f t="shared" si="18"/>
        <v>524</v>
      </c>
      <c r="AD121" s="1163">
        <f t="shared" si="19"/>
        <v>0.17647058823529413</v>
      </c>
      <c r="AE121" s="1184">
        <f t="shared" si="20"/>
        <v>0.19047619047619047</v>
      </c>
      <c r="AF121" s="1164">
        <f t="shared" si="21"/>
        <v>0.19796954314720813</v>
      </c>
      <c r="AG121" s="1164">
        <f t="shared" si="22"/>
        <v>9.375E-2</v>
      </c>
      <c r="AH121" s="1164">
        <f t="shared" si="23"/>
        <v>0.26724137931034481</v>
      </c>
      <c r="AI121" s="1164">
        <f t="shared" si="24"/>
        <v>0.31818181818181818</v>
      </c>
      <c r="AJ121" s="1165">
        <f t="shared" si="25"/>
        <v>0.20610687022900764</v>
      </c>
    </row>
    <row r="122" spans="1:36">
      <c r="A122" s="189" t="s">
        <v>201</v>
      </c>
      <c r="B122" s="190" t="s">
        <v>392</v>
      </c>
      <c r="C122" s="191" t="s">
        <v>273</v>
      </c>
      <c r="E122" s="1160">
        <v>70</v>
      </c>
      <c r="F122" s="1161">
        <v>11</v>
      </c>
      <c r="G122" s="1161">
        <v>38</v>
      </c>
      <c r="H122" s="1161">
        <v>4</v>
      </c>
      <c r="I122" s="1161">
        <v>77</v>
      </c>
      <c r="J122" s="1161">
        <v>16</v>
      </c>
      <c r="K122" s="1162">
        <f t="shared" si="14"/>
        <v>216</v>
      </c>
      <c r="L122" s="1160">
        <v>5</v>
      </c>
      <c r="M122" s="1161"/>
      <c r="N122" s="1161">
        <v>5</v>
      </c>
      <c r="O122" s="1161"/>
      <c r="P122" s="1161">
        <v>6</v>
      </c>
      <c r="Q122" s="1161"/>
      <c r="R122" s="1162">
        <f t="shared" si="15"/>
        <v>16</v>
      </c>
      <c r="S122" s="1160">
        <v>1</v>
      </c>
      <c r="T122" s="1161"/>
      <c r="U122" s="1161"/>
      <c r="V122" s="1161"/>
      <c r="W122" s="1161"/>
      <c r="X122" s="1161"/>
      <c r="Y122" s="1162">
        <f t="shared" si="16"/>
        <v>1</v>
      </c>
      <c r="Z122" s="1181">
        <f t="shared" si="17"/>
        <v>233</v>
      </c>
      <c r="AA122" s="1181">
        <f t="shared" si="18"/>
        <v>232</v>
      </c>
      <c r="AD122" s="1163">
        <f t="shared" si="19"/>
        <v>6.6666666666666666E-2</v>
      </c>
      <c r="AE122" s="1184">
        <f t="shared" si="20"/>
        <v>0</v>
      </c>
      <c r="AF122" s="1164">
        <f t="shared" si="21"/>
        <v>7.2289156626506021E-2</v>
      </c>
      <c r="AG122" s="1164">
        <f t="shared" si="22"/>
        <v>0</v>
      </c>
      <c r="AH122" s="1164">
        <f t="shared" si="23"/>
        <v>0.11627906976744186</v>
      </c>
      <c r="AI122" s="1164">
        <f t="shared" si="24"/>
        <v>0</v>
      </c>
      <c r="AJ122" s="1165">
        <f t="shared" si="25"/>
        <v>6.8965517241379309E-2</v>
      </c>
    </row>
    <row r="123" spans="1:36">
      <c r="A123" s="189" t="s">
        <v>223</v>
      </c>
      <c r="B123" s="190" t="s">
        <v>224</v>
      </c>
      <c r="C123" s="191" t="s">
        <v>272</v>
      </c>
      <c r="E123" s="1160">
        <v>45</v>
      </c>
      <c r="F123" s="1161">
        <v>9</v>
      </c>
      <c r="G123" s="1161">
        <v>18</v>
      </c>
      <c r="H123" s="1161">
        <v>3</v>
      </c>
      <c r="I123" s="1161">
        <v>29</v>
      </c>
      <c r="J123" s="1161">
        <v>7</v>
      </c>
      <c r="K123" s="1162">
        <f t="shared" si="14"/>
        <v>111</v>
      </c>
      <c r="L123" s="1160">
        <v>2</v>
      </c>
      <c r="M123" s="1161"/>
      <c r="N123" s="1161">
        <v>1</v>
      </c>
      <c r="O123" s="1161"/>
      <c r="P123" s="1161">
        <v>4</v>
      </c>
      <c r="Q123" s="1161"/>
      <c r="R123" s="1162">
        <f t="shared" si="15"/>
        <v>7</v>
      </c>
      <c r="S123" s="1160"/>
      <c r="T123" s="1161"/>
      <c r="U123" s="1161"/>
      <c r="V123" s="1161"/>
      <c r="W123" s="1161"/>
      <c r="X123" s="1161"/>
      <c r="Y123" s="1162">
        <f t="shared" si="16"/>
        <v>0</v>
      </c>
      <c r="Z123" s="1181">
        <f t="shared" si="17"/>
        <v>118</v>
      </c>
      <c r="AA123" s="1181">
        <f t="shared" si="18"/>
        <v>118</v>
      </c>
      <c r="AD123" s="1163">
        <f t="shared" si="19"/>
        <v>4.2553191489361701E-2</v>
      </c>
      <c r="AE123" s="1184">
        <f t="shared" si="20"/>
        <v>0</v>
      </c>
      <c r="AF123" s="1164">
        <f t="shared" si="21"/>
        <v>0.12121212121212122</v>
      </c>
      <c r="AG123" s="1164">
        <f t="shared" si="22"/>
        <v>0</v>
      </c>
      <c r="AH123" s="1164">
        <f t="shared" si="23"/>
        <v>5.2631578947368418E-2</v>
      </c>
      <c r="AI123" s="1164">
        <f t="shared" si="24"/>
        <v>0</v>
      </c>
      <c r="AJ123" s="1165">
        <f t="shared" si="25"/>
        <v>5.9322033898305086E-2</v>
      </c>
    </row>
    <row r="124" spans="1:36">
      <c r="A124" s="189" t="s">
        <v>231</v>
      </c>
      <c r="B124" s="190" t="s">
        <v>232</v>
      </c>
      <c r="C124" s="191" t="s">
        <v>272</v>
      </c>
      <c r="E124" s="1160">
        <v>91</v>
      </c>
      <c r="F124" s="1161">
        <v>12</v>
      </c>
      <c r="G124" s="1161">
        <v>44</v>
      </c>
      <c r="H124" s="1161"/>
      <c r="I124" s="1161">
        <v>116</v>
      </c>
      <c r="J124" s="1161">
        <v>17</v>
      </c>
      <c r="K124" s="1162">
        <f t="shared" si="14"/>
        <v>280</v>
      </c>
      <c r="L124" s="1160">
        <v>24</v>
      </c>
      <c r="M124" s="1161">
        <v>4</v>
      </c>
      <c r="N124" s="1161">
        <v>19</v>
      </c>
      <c r="O124" s="1161"/>
      <c r="P124" s="1161">
        <v>41</v>
      </c>
      <c r="Q124" s="1161">
        <v>4</v>
      </c>
      <c r="R124" s="1162">
        <f t="shared" si="15"/>
        <v>92</v>
      </c>
      <c r="S124" s="1160"/>
      <c r="T124" s="1161"/>
      <c r="U124" s="1161"/>
      <c r="V124" s="1161"/>
      <c r="W124" s="1161"/>
      <c r="X124" s="1161"/>
      <c r="Y124" s="1162">
        <f t="shared" si="16"/>
        <v>0</v>
      </c>
      <c r="Z124" s="1181">
        <f t="shared" si="17"/>
        <v>372</v>
      </c>
      <c r="AA124" s="1181">
        <f t="shared" si="18"/>
        <v>372</v>
      </c>
      <c r="AD124" s="1163">
        <f t="shared" si="19"/>
        <v>0.20869565217391303</v>
      </c>
      <c r="AE124" s="1184">
        <f t="shared" si="20"/>
        <v>0.25</v>
      </c>
      <c r="AF124" s="1164">
        <f t="shared" si="21"/>
        <v>0.26114649681528662</v>
      </c>
      <c r="AG124" s="1164">
        <f t="shared" si="22"/>
        <v>0.19047619047619047</v>
      </c>
      <c r="AH124" s="1164">
        <f t="shared" si="23"/>
        <v>0.30158730158730157</v>
      </c>
      <c r="AI124" s="1164" t="str">
        <f t="shared" si="24"/>
        <v>NA</v>
      </c>
      <c r="AJ124" s="1165">
        <f t="shared" si="25"/>
        <v>0.24731182795698925</v>
      </c>
    </row>
    <row r="125" spans="1:36">
      <c r="A125" s="189" t="s">
        <v>239</v>
      </c>
      <c r="B125" s="190" t="s">
        <v>240</v>
      </c>
      <c r="C125" s="191" t="s">
        <v>272</v>
      </c>
      <c r="E125" s="1160">
        <v>5</v>
      </c>
      <c r="F125" s="1161"/>
      <c r="G125" s="1161">
        <v>4</v>
      </c>
      <c r="H125" s="1161"/>
      <c r="I125" s="1161">
        <v>4</v>
      </c>
      <c r="J125" s="1161">
        <v>1</v>
      </c>
      <c r="K125" s="1162">
        <f t="shared" si="14"/>
        <v>14</v>
      </c>
      <c r="L125" s="1160"/>
      <c r="M125" s="1161"/>
      <c r="N125" s="1161"/>
      <c r="O125" s="1161"/>
      <c r="P125" s="1161"/>
      <c r="Q125" s="1161"/>
      <c r="R125" s="1162">
        <f t="shared" si="15"/>
        <v>0</v>
      </c>
      <c r="S125" s="1160"/>
      <c r="T125" s="1161"/>
      <c r="U125" s="1161"/>
      <c r="V125" s="1161"/>
      <c r="W125" s="1161"/>
      <c r="X125" s="1161"/>
      <c r="Y125" s="1162">
        <f t="shared" si="16"/>
        <v>0</v>
      </c>
      <c r="Z125" s="1181">
        <f t="shared" si="17"/>
        <v>14</v>
      </c>
      <c r="AA125" s="1181">
        <f t="shared" si="18"/>
        <v>14</v>
      </c>
      <c r="AD125" s="1163">
        <f t="shared" si="19"/>
        <v>0</v>
      </c>
      <c r="AE125" s="1184" t="str">
        <f t="shared" si="20"/>
        <v>NA</v>
      </c>
      <c r="AF125" s="1164">
        <f t="shared" si="21"/>
        <v>0</v>
      </c>
      <c r="AG125" s="1164">
        <f t="shared" si="22"/>
        <v>0</v>
      </c>
      <c r="AH125" s="1164">
        <f t="shared" si="23"/>
        <v>0</v>
      </c>
      <c r="AI125" s="1164" t="str">
        <f t="shared" si="24"/>
        <v>NA</v>
      </c>
      <c r="AJ125" s="1165">
        <f t="shared" si="25"/>
        <v>0</v>
      </c>
    </row>
    <row r="126" spans="1:36">
      <c r="A126" s="1166" t="s">
        <v>241</v>
      </c>
      <c r="B126" s="406" t="s">
        <v>242</v>
      </c>
      <c r="C126" s="1167" t="s">
        <v>276</v>
      </c>
      <c r="E126" s="1160">
        <v>15</v>
      </c>
      <c r="F126" s="1161">
        <v>2</v>
      </c>
      <c r="G126" s="1161">
        <v>10</v>
      </c>
      <c r="H126" s="1161"/>
      <c r="I126" s="1161">
        <v>16</v>
      </c>
      <c r="J126" s="1161">
        <v>3</v>
      </c>
      <c r="K126" s="1162">
        <f t="shared" si="14"/>
        <v>46</v>
      </c>
      <c r="L126" s="1160"/>
      <c r="M126" s="1161"/>
      <c r="N126" s="1161"/>
      <c r="O126" s="1161">
        <v>1</v>
      </c>
      <c r="P126" s="1161"/>
      <c r="Q126" s="1161"/>
      <c r="R126" s="1162">
        <f t="shared" si="15"/>
        <v>1</v>
      </c>
      <c r="S126" s="1160"/>
      <c r="T126" s="1161"/>
      <c r="U126" s="1161"/>
      <c r="V126" s="1161"/>
      <c r="W126" s="1161"/>
      <c r="X126" s="1161"/>
      <c r="Y126" s="1162">
        <f t="shared" si="16"/>
        <v>0</v>
      </c>
      <c r="Z126" s="1181">
        <f t="shared" si="17"/>
        <v>47</v>
      </c>
      <c r="AA126" s="1181">
        <f t="shared" si="18"/>
        <v>47</v>
      </c>
      <c r="AD126" s="1163">
        <f t="shared" si="19"/>
        <v>0</v>
      </c>
      <c r="AE126" s="1184">
        <f t="shared" si="20"/>
        <v>0</v>
      </c>
      <c r="AF126" s="1164">
        <f t="shared" si="21"/>
        <v>0</v>
      </c>
      <c r="AG126" s="1164">
        <f t="shared" si="22"/>
        <v>0</v>
      </c>
      <c r="AH126" s="1164">
        <f t="shared" si="23"/>
        <v>0</v>
      </c>
      <c r="AI126" s="1164">
        <f t="shared" si="24"/>
        <v>1</v>
      </c>
      <c r="AJ126" s="1165">
        <f t="shared" si="25"/>
        <v>2.1276595744680851E-2</v>
      </c>
    </row>
    <row r="127" spans="1:36">
      <c r="A127" s="1146"/>
      <c r="B127" s="1146"/>
      <c r="C127" s="1146"/>
    </row>
    <row r="128" spans="1:36" ht="12.75" customHeight="1">
      <c r="A128" s="810" t="s">
        <v>1152</v>
      </c>
      <c r="B128" s="1146"/>
      <c r="C128" s="1146"/>
      <c r="D128" s="1146"/>
      <c r="E128" s="1146"/>
      <c r="F128" s="1146"/>
    </row>
    <row r="129" spans="1:6">
      <c r="A129" s="1168" t="s">
        <v>1153</v>
      </c>
      <c r="B129" s="1168"/>
      <c r="C129" s="1168"/>
      <c r="D129" s="1168"/>
      <c r="E129" s="1168"/>
      <c r="F129" s="1168"/>
    </row>
    <row r="130" spans="1:6">
      <c r="A130" s="810" t="s">
        <v>985</v>
      </c>
      <c r="B130" s="1146"/>
      <c r="C130" s="1146"/>
      <c r="D130" s="1146"/>
      <c r="E130" s="1146"/>
      <c r="F130" s="1146"/>
    </row>
    <row r="131" spans="1:6">
      <c r="A131" s="184" t="s">
        <v>250</v>
      </c>
      <c r="B131" s="209"/>
      <c r="C131" s="209"/>
    </row>
    <row r="132" spans="1:6">
      <c r="A132" s="184" t="s">
        <v>251</v>
      </c>
      <c r="B132" s="407" t="s">
        <v>252</v>
      </c>
      <c r="C132" s="211"/>
    </row>
  </sheetData>
  <mergeCells count="6">
    <mergeCell ref="AD4:AJ4"/>
    <mergeCell ref="Z4:Z5"/>
    <mergeCell ref="AA4:AA5"/>
    <mergeCell ref="E4:K4"/>
    <mergeCell ref="L4:R4"/>
    <mergeCell ref="S4:Y4"/>
  </mergeCells>
  <hyperlinks>
    <hyperlink ref="B132" r:id="rId1"/>
  </hyperlinks>
  <pageMargins left="0.7" right="0.7" top="0.75" bottom="0.75" header="0.3" footer="0.3"/>
  <pageSetup orientation="portrait" r:id="rId2"/>
</worksheet>
</file>

<file path=xl/worksheets/sheet35.xml><?xml version="1.0" encoding="utf-8"?>
<worksheet xmlns="http://schemas.openxmlformats.org/spreadsheetml/2006/main" xmlns:r="http://schemas.openxmlformats.org/officeDocument/2006/relationships">
  <dimension ref="A1:F126"/>
  <sheetViews>
    <sheetView zoomScale="130" zoomScaleNormal="130" workbookViewId="0">
      <pane ySplit="2" topLeftCell="A3" activePane="bottomLeft" state="frozen"/>
      <selection pane="bottomLeft" activeCell="F19" sqref="F19"/>
    </sheetView>
  </sheetViews>
  <sheetFormatPr defaultRowHeight="12.75"/>
  <cols>
    <col min="1" max="1" width="4.5" style="94" bestFit="1" customWidth="1"/>
    <col min="2" max="2" width="21.75" style="94" bestFit="1" customWidth="1"/>
    <col min="3" max="3" width="7.375" style="94" bestFit="1" customWidth="1"/>
    <col min="4" max="4" width="8.75" style="94" customWidth="1"/>
    <col min="5" max="5" width="8.5" style="94" customWidth="1"/>
    <col min="6" max="6" width="8.875" style="94" customWidth="1"/>
    <col min="7" max="16384" width="9" style="94"/>
  </cols>
  <sheetData>
    <row r="1" spans="1:6">
      <c r="B1" s="40" t="s">
        <v>835</v>
      </c>
    </row>
    <row r="2" spans="1:6" ht="12.75" customHeight="1">
      <c r="A2" s="94" t="s">
        <v>4</v>
      </c>
      <c r="B2" s="95" t="s">
        <v>5</v>
      </c>
      <c r="C2" s="96" t="s">
        <v>322</v>
      </c>
      <c r="D2" s="96" t="s">
        <v>323</v>
      </c>
      <c r="E2" s="96" t="s">
        <v>324</v>
      </c>
      <c r="F2" s="96" t="s">
        <v>666</v>
      </c>
    </row>
    <row r="3" spans="1:6">
      <c r="A3" s="91" t="s">
        <v>10</v>
      </c>
      <c r="B3" s="97" t="s">
        <v>11</v>
      </c>
      <c r="C3" s="98">
        <v>7463</v>
      </c>
      <c r="D3" s="99" t="e">
        <f t="shared" ref="D3:D34" si="0">VLOOKUP(B3,_med2008,2,FALSE)</f>
        <v>#NAME?</v>
      </c>
      <c r="E3" s="99" t="e">
        <f t="shared" ref="E3:E34" si="1">VLOOKUP(B3,_med2009,2,FALSE)</f>
        <v>#NAME?</v>
      </c>
      <c r="F3" s="99" t="e">
        <f t="shared" ref="F3:F34" si="2">VLOOKUP(B3,_med2010,2,FALSE)</f>
        <v>#NAME?</v>
      </c>
    </row>
    <row r="4" spans="1:6">
      <c r="A4" s="91" t="s">
        <v>12</v>
      </c>
      <c r="B4" s="97" t="s">
        <v>13</v>
      </c>
      <c r="C4" s="98">
        <v>7239</v>
      </c>
      <c r="D4" s="99" t="e">
        <f t="shared" si="0"/>
        <v>#NAME?</v>
      </c>
      <c r="E4" s="99" t="e">
        <f t="shared" si="1"/>
        <v>#NAME?</v>
      </c>
      <c r="F4" s="99" t="e">
        <f t="shared" si="2"/>
        <v>#NAME?</v>
      </c>
    </row>
    <row r="5" spans="1:6">
      <c r="A5" s="91" t="s">
        <v>14</v>
      </c>
      <c r="B5" s="97" t="s">
        <v>15</v>
      </c>
      <c r="C5" s="98">
        <v>11870</v>
      </c>
      <c r="D5" s="99" t="e">
        <f t="shared" si="0"/>
        <v>#NAME?</v>
      </c>
      <c r="E5" s="99" t="e">
        <f t="shared" si="1"/>
        <v>#NAME?</v>
      </c>
      <c r="F5" s="99" t="e">
        <f t="shared" si="2"/>
        <v>#NAME?</v>
      </c>
    </row>
    <row r="6" spans="1:6">
      <c r="A6" s="91" t="s">
        <v>16</v>
      </c>
      <c r="B6" s="97" t="s">
        <v>364</v>
      </c>
      <c r="C6" s="98">
        <v>4496</v>
      </c>
      <c r="D6" s="99" t="e">
        <f t="shared" si="0"/>
        <v>#NAME?</v>
      </c>
      <c r="E6" s="99" t="e">
        <f t="shared" si="1"/>
        <v>#NAME?</v>
      </c>
      <c r="F6" s="99" t="e">
        <f t="shared" si="2"/>
        <v>#NAME?</v>
      </c>
    </row>
    <row r="7" spans="1:6">
      <c r="A7" s="91" t="s">
        <v>18</v>
      </c>
      <c r="B7" s="97" t="s">
        <v>19</v>
      </c>
      <c r="C7" s="98">
        <v>2040</v>
      </c>
      <c r="D7" s="99" t="e">
        <f t="shared" si="0"/>
        <v>#NAME?</v>
      </c>
      <c r="E7" s="99" t="e">
        <f t="shared" si="1"/>
        <v>#NAME?</v>
      </c>
      <c r="F7" s="99" t="e">
        <f t="shared" si="2"/>
        <v>#NAME?</v>
      </c>
    </row>
    <row r="8" spans="1:6">
      <c r="A8" s="91" t="s">
        <v>20</v>
      </c>
      <c r="B8" s="97" t="s">
        <v>21</v>
      </c>
      <c r="C8" s="98">
        <v>4940</v>
      </c>
      <c r="D8" s="99" t="e">
        <f t="shared" si="0"/>
        <v>#NAME?</v>
      </c>
      <c r="E8" s="99" t="e">
        <f t="shared" si="1"/>
        <v>#NAME?</v>
      </c>
      <c r="F8" s="99" t="e">
        <f t="shared" si="2"/>
        <v>#NAME?</v>
      </c>
    </row>
    <row r="9" spans="1:6">
      <c r="A9" s="91" t="s">
        <v>22</v>
      </c>
      <c r="B9" s="97" t="s">
        <v>23</v>
      </c>
      <c r="C9" s="98">
        <v>2749</v>
      </c>
      <c r="D9" s="99" t="e">
        <f t="shared" si="0"/>
        <v>#NAME?</v>
      </c>
      <c r="E9" s="99" t="e">
        <f t="shared" si="1"/>
        <v>#NAME?</v>
      </c>
      <c r="F9" s="99" t="e">
        <f t="shared" si="2"/>
        <v>#NAME?</v>
      </c>
    </row>
    <row r="10" spans="1:6">
      <c r="A10" s="91" t="s">
        <v>24</v>
      </c>
      <c r="B10" s="97" t="s">
        <v>25</v>
      </c>
      <c r="C10" s="98">
        <v>11149</v>
      </c>
      <c r="D10" s="99" t="e">
        <f t="shared" si="0"/>
        <v>#NAME?</v>
      </c>
      <c r="E10" s="99" t="e">
        <f t="shared" si="1"/>
        <v>#NAME?</v>
      </c>
      <c r="F10" s="99" t="e">
        <f t="shared" si="2"/>
        <v>#NAME?</v>
      </c>
    </row>
    <row r="11" spans="1:6">
      <c r="A11" s="91" t="s">
        <v>26</v>
      </c>
      <c r="B11" s="97" t="s">
        <v>365</v>
      </c>
      <c r="C11" s="98">
        <v>16664</v>
      </c>
      <c r="D11" s="99" t="e">
        <f t="shared" si="0"/>
        <v>#NAME?</v>
      </c>
      <c r="E11" s="99" t="e">
        <f t="shared" si="1"/>
        <v>#NAME?</v>
      </c>
      <c r="F11" s="99" t="e">
        <f t="shared" si="2"/>
        <v>#NAME?</v>
      </c>
    </row>
    <row r="12" spans="1:6">
      <c r="A12" s="91" t="s">
        <v>27</v>
      </c>
      <c r="B12" s="97" t="s">
        <v>28</v>
      </c>
      <c r="C12" s="98">
        <v>503</v>
      </c>
      <c r="D12" s="99" t="e">
        <f t="shared" si="0"/>
        <v>#NAME?</v>
      </c>
      <c r="E12" s="99" t="e">
        <f t="shared" si="1"/>
        <v>#NAME?</v>
      </c>
      <c r="F12" s="99" t="e">
        <f t="shared" si="2"/>
        <v>#NAME?</v>
      </c>
    </row>
    <row r="13" spans="1:6">
      <c r="A13" s="91" t="s">
        <v>29</v>
      </c>
      <c r="B13" s="97" t="s">
        <v>366</v>
      </c>
      <c r="C13" s="98">
        <v>8194</v>
      </c>
      <c r="D13" s="99" t="e">
        <f t="shared" si="0"/>
        <v>#NAME?</v>
      </c>
      <c r="E13" s="99" t="e">
        <f t="shared" si="1"/>
        <v>#NAME?</v>
      </c>
      <c r="F13" s="99" t="e">
        <f t="shared" si="2"/>
        <v>#NAME?</v>
      </c>
    </row>
    <row r="14" spans="1:6">
      <c r="A14" s="91" t="s">
        <v>31</v>
      </c>
      <c r="B14" s="97" t="s">
        <v>32</v>
      </c>
      <c r="C14" s="98">
        <v>1029</v>
      </c>
      <c r="D14" s="99" t="e">
        <f t="shared" si="0"/>
        <v>#NAME?</v>
      </c>
      <c r="E14" s="99" t="e">
        <f t="shared" si="1"/>
        <v>#NAME?</v>
      </c>
      <c r="F14" s="99" t="e">
        <f t="shared" si="2"/>
        <v>#NAME?</v>
      </c>
    </row>
    <row r="15" spans="1:6">
      <c r="A15" s="91" t="s">
        <v>33</v>
      </c>
      <c r="B15" s="97" t="s">
        <v>34</v>
      </c>
      <c r="C15" s="98">
        <v>2263</v>
      </c>
      <c r="D15" s="99" t="e">
        <f t="shared" si="0"/>
        <v>#NAME?</v>
      </c>
      <c r="E15" s="99" t="e">
        <f t="shared" si="1"/>
        <v>#NAME?</v>
      </c>
      <c r="F15" s="99" t="e">
        <f t="shared" si="2"/>
        <v>#NAME?</v>
      </c>
    </row>
    <row r="16" spans="1:6">
      <c r="A16" s="91" t="s">
        <v>35</v>
      </c>
      <c r="B16" s="97" t="s">
        <v>36</v>
      </c>
      <c r="C16" s="98">
        <v>4845</v>
      </c>
      <c r="D16" s="99" t="e">
        <f t="shared" si="0"/>
        <v>#NAME?</v>
      </c>
      <c r="E16" s="99" t="e">
        <f t="shared" si="1"/>
        <v>#NAME?</v>
      </c>
      <c r="F16" s="99" t="e">
        <f t="shared" si="2"/>
        <v>#NAME?</v>
      </c>
    </row>
    <row r="17" spans="1:6">
      <c r="A17" s="91" t="s">
        <v>37</v>
      </c>
      <c r="B17" s="97" t="s">
        <v>38</v>
      </c>
      <c r="C17" s="98">
        <v>4116</v>
      </c>
      <c r="D17" s="99" t="e">
        <f t="shared" si="0"/>
        <v>#NAME?</v>
      </c>
      <c r="E17" s="99" t="e">
        <f t="shared" si="1"/>
        <v>#NAME?</v>
      </c>
      <c r="F17" s="99" t="e">
        <f t="shared" si="2"/>
        <v>#NAME?</v>
      </c>
    </row>
    <row r="18" spans="1:6">
      <c r="A18" s="91" t="s">
        <v>39</v>
      </c>
      <c r="B18" s="97" t="s">
        <v>40</v>
      </c>
      <c r="C18" s="98">
        <v>6782</v>
      </c>
      <c r="D18" s="99" t="e">
        <f t="shared" si="0"/>
        <v>#NAME?</v>
      </c>
      <c r="E18" s="99" t="e">
        <f t="shared" si="1"/>
        <v>#NAME?</v>
      </c>
      <c r="F18" s="99" t="e">
        <f t="shared" si="2"/>
        <v>#NAME?</v>
      </c>
    </row>
    <row r="19" spans="1:6">
      <c r="A19" s="91" t="s">
        <v>41</v>
      </c>
      <c r="B19" s="97" t="s">
        <v>42</v>
      </c>
      <c r="C19" s="98">
        <v>2983</v>
      </c>
      <c r="D19" s="99" t="e">
        <f t="shared" si="0"/>
        <v>#NAME?</v>
      </c>
      <c r="E19" s="99" t="e">
        <f t="shared" si="1"/>
        <v>#NAME?</v>
      </c>
      <c r="F19" s="99" t="e">
        <f t="shared" si="2"/>
        <v>#NAME?</v>
      </c>
    </row>
    <row r="20" spans="1:6">
      <c r="A20" s="91" t="s">
        <v>43</v>
      </c>
      <c r="B20" s="97" t="s">
        <v>44</v>
      </c>
      <c r="C20" s="98">
        <v>8789</v>
      </c>
      <c r="D20" s="99" t="e">
        <f t="shared" si="0"/>
        <v>#NAME?</v>
      </c>
      <c r="E20" s="99" t="e">
        <f t="shared" si="1"/>
        <v>#NAME?</v>
      </c>
      <c r="F20" s="99" t="e">
        <f t="shared" si="2"/>
        <v>#NAME?</v>
      </c>
    </row>
    <row r="21" spans="1:6">
      <c r="A21" s="91" t="s">
        <v>45</v>
      </c>
      <c r="B21" s="97" t="s">
        <v>46</v>
      </c>
      <c r="C21" s="98">
        <v>4089</v>
      </c>
      <c r="D21" s="99" t="e">
        <f t="shared" si="0"/>
        <v>#NAME?</v>
      </c>
      <c r="E21" s="99" t="e">
        <f t="shared" si="1"/>
        <v>#NAME?</v>
      </c>
      <c r="F21" s="99" t="e">
        <f t="shared" si="2"/>
        <v>#NAME?</v>
      </c>
    </row>
    <row r="22" spans="1:6">
      <c r="A22" s="91" t="s">
        <v>47</v>
      </c>
      <c r="B22" s="97" t="s">
        <v>48</v>
      </c>
      <c r="C22" s="98">
        <v>6099</v>
      </c>
      <c r="D22" s="99" t="e">
        <f t="shared" si="0"/>
        <v>#NAME?</v>
      </c>
      <c r="E22" s="99" t="e">
        <f t="shared" si="1"/>
        <v>#NAME?</v>
      </c>
      <c r="F22" s="99" t="e">
        <f t="shared" si="2"/>
        <v>#NAME?</v>
      </c>
    </row>
    <row r="23" spans="1:6">
      <c r="A23" s="91" t="s">
        <v>49</v>
      </c>
      <c r="B23" s="97" t="s">
        <v>279</v>
      </c>
      <c r="C23" s="98">
        <v>1026</v>
      </c>
      <c r="D23" s="99" t="e">
        <f t="shared" si="0"/>
        <v>#NAME?</v>
      </c>
      <c r="E23" s="99" t="e">
        <f t="shared" si="1"/>
        <v>#NAME?</v>
      </c>
      <c r="F23" s="99" t="e">
        <f t="shared" si="2"/>
        <v>#NAME?</v>
      </c>
    </row>
    <row r="24" spans="1:6">
      <c r="A24" s="91" t="s">
        <v>51</v>
      </c>
      <c r="B24" s="97" t="s">
        <v>52</v>
      </c>
      <c r="C24" s="98">
        <v>3005</v>
      </c>
      <c r="D24" s="99" t="e">
        <f t="shared" si="0"/>
        <v>#NAME?</v>
      </c>
      <c r="E24" s="99" t="e">
        <f t="shared" si="1"/>
        <v>#NAME?</v>
      </c>
      <c r="F24" s="99" t="e">
        <f t="shared" si="2"/>
        <v>#NAME?</v>
      </c>
    </row>
    <row r="25" spans="1:6">
      <c r="A25" s="91" t="s">
        <v>53</v>
      </c>
      <c r="B25" s="97" t="s">
        <v>54</v>
      </c>
      <c r="C25" s="98">
        <v>6733</v>
      </c>
      <c r="D25" s="99" t="e">
        <f t="shared" si="0"/>
        <v>#NAME?</v>
      </c>
      <c r="E25" s="99" t="e">
        <f t="shared" si="1"/>
        <v>#NAME?</v>
      </c>
      <c r="F25" s="99" t="e">
        <f t="shared" si="2"/>
        <v>#NAME?</v>
      </c>
    </row>
    <row r="26" spans="1:6">
      <c r="A26" s="91" t="s">
        <v>55</v>
      </c>
      <c r="B26" s="97" t="s">
        <v>56</v>
      </c>
      <c r="C26" s="98">
        <v>24491</v>
      </c>
      <c r="D26" s="99" t="e">
        <f t="shared" si="0"/>
        <v>#NAME?</v>
      </c>
      <c r="E26" s="99" t="e">
        <f t="shared" si="1"/>
        <v>#NAME?</v>
      </c>
      <c r="F26" s="99" t="e">
        <f t="shared" si="2"/>
        <v>#NAME?</v>
      </c>
    </row>
    <row r="27" spans="1:6">
      <c r="A27" s="91" t="s">
        <v>57</v>
      </c>
      <c r="B27" s="97" t="s">
        <v>362</v>
      </c>
      <c r="C27" s="98">
        <v>30326</v>
      </c>
      <c r="D27" s="99" t="e">
        <f t="shared" si="0"/>
        <v>#NAME?</v>
      </c>
      <c r="E27" s="99" t="e">
        <f t="shared" si="1"/>
        <v>#NAME?</v>
      </c>
      <c r="F27" s="99" t="e">
        <f t="shared" si="2"/>
        <v>#NAME?</v>
      </c>
    </row>
    <row r="28" spans="1:6">
      <c r="A28" s="91" t="s">
        <v>59</v>
      </c>
      <c r="B28" s="97" t="s">
        <v>60</v>
      </c>
      <c r="C28" s="98">
        <v>986</v>
      </c>
      <c r="D28" s="99" t="e">
        <f t="shared" si="0"/>
        <v>#NAME?</v>
      </c>
      <c r="E28" s="99" t="e">
        <f t="shared" si="1"/>
        <v>#NAME?</v>
      </c>
      <c r="F28" s="99" t="e">
        <f t="shared" si="2"/>
        <v>#NAME?</v>
      </c>
    </row>
    <row r="29" spans="1:6">
      <c r="A29" s="91" t="s">
        <v>61</v>
      </c>
      <c r="B29" s="97" t="s">
        <v>62</v>
      </c>
      <c r="C29" s="98">
        <v>739</v>
      </c>
      <c r="D29" s="99" t="e">
        <f t="shared" si="0"/>
        <v>#NAME?</v>
      </c>
      <c r="E29" s="99" t="e">
        <f t="shared" si="1"/>
        <v>#NAME?</v>
      </c>
      <c r="F29" s="99" t="e">
        <f t="shared" si="2"/>
        <v>#NAME?</v>
      </c>
    </row>
    <row r="30" spans="1:6">
      <c r="A30" s="91" t="s">
        <v>63</v>
      </c>
      <c r="B30" s="97" t="s">
        <v>64</v>
      </c>
      <c r="C30" s="98">
        <v>5420</v>
      </c>
      <c r="D30" s="99" t="e">
        <f t="shared" si="0"/>
        <v>#NAME?</v>
      </c>
      <c r="E30" s="99" t="e">
        <f t="shared" si="1"/>
        <v>#NAME?</v>
      </c>
      <c r="F30" s="99" t="e">
        <f t="shared" si="2"/>
        <v>#NAME?</v>
      </c>
    </row>
    <row r="31" spans="1:6">
      <c r="A31" s="91" t="s">
        <v>65</v>
      </c>
      <c r="B31" s="97" t="s">
        <v>66</v>
      </c>
      <c r="C31" s="98">
        <v>2244</v>
      </c>
      <c r="D31" s="99" t="e">
        <f t="shared" si="0"/>
        <v>#NAME?</v>
      </c>
      <c r="E31" s="99" t="e">
        <f t="shared" si="1"/>
        <v>#NAME?</v>
      </c>
      <c r="F31" s="99" t="e">
        <f t="shared" si="2"/>
        <v>#NAME?</v>
      </c>
    </row>
    <row r="32" spans="1:6">
      <c r="A32" s="91" t="s">
        <v>67</v>
      </c>
      <c r="B32" s="97" t="s">
        <v>68</v>
      </c>
      <c r="C32" s="98">
        <v>13346</v>
      </c>
      <c r="D32" s="99" t="e">
        <f t="shared" si="0"/>
        <v>#NAME?</v>
      </c>
      <c r="E32" s="99" t="e">
        <f t="shared" si="1"/>
        <v>#NAME?</v>
      </c>
      <c r="F32" s="99" t="e">
        <f t="shared" si="2"/>
        <v>#NAME?</v>
      </c>
    </row>
    <row r="33" spans="1:6">
      <c r="A33" s="91" t="s">
        <v>69</v>
      </c>
      <c r="B33" s="97" t="s">
        <v>70</v>
      </c>
      <c r="C33" s="98">
        <v>4742</v>
      </c>
      <c r="D33" s="99" t="e">
        <f t="shared" si="0"/>
        <v>#NAME?</v>
      </c>
      <c r="E33" s="99" t="e">
        <f t="shared" si="1"/>
        <v>#NAME?</v>
      </c>
      <c r="F33" s="99" t="e">
        <f t="shared" si="2"/>
        <v>#NAME?</v>
      </c>
    </row>
    <row r="34" spans="1:6">
      <c r="A34" s="91" t="s">
        <v>71</v>
      </c>
      <c r="B34" s="97" t="s">
        <v>72</v>
      </c>
      <c r="C34" s="98">
        <v>4542</v>
      </c>
      <c r="D34" s="99" t="e">
        <f t="shared" si="0"/>
        <v>#NAME?</v>
      </c>
      <c r="E34" s="99" t="e">
        <f t="shared" si="1"/>
        <v>#NAME?</v>
      </c>
      <c r="F34" s="99" t="e">
        <f t="shared" si="2"/>
        <v>#NAME?</v>
      </c>
    </row>
    <row r="35" spans="1:6">
      <c r="A35" s="91" t="s">
        <v>73</v>
      </c>
      <c r="B35" s="97" t="s">
        <v>74</v>
      </c>
      <c r="C35" s="98">
        <v>2202</v>
      </c>
      <c r="D35" s="99" t="e">
        <f t="shared" ref="D35:D66" si="3">VLOOKUP(B35,_med2008,2,FALSE)</f>
        <v>#NAME?</v>
      </c>
      <c r="E35" s="99" t="e">
        <f t="shared" ref="E35:E66" si="4">VLOOKUP(B35,_med2009,2,FALSE)</f>
        <v>#NAME?</v>
      </c>
      <c r="F35" s="99" t="e">
        <f t="shared" ref="F35:F66" si="5">VLOOKUP(B35,_med2010,2,FALSE)</f>
        <v>#NAME?</v>
      </c>
    </row>
    <row r="36" spans="1:6">
      <c r="A36" s="91" t="s">
        <v>75</v>
      </c>
      <c r="B36" s="97" t="s">
        <v>363</v>
      </c>
      <c r="C36" s="98">
        <v>66005</v>
      </c>
      <c r="D36" s="99" t="e">
        <f t="shared" si="3"/>
        <v>#NAME?</v>
      </c>
      <c r="E36" s="99" t="e">
        <f t="shared" si="4"/>
        <v>#NAME?</v>
      </c>
      <c r="F36" s="99" t="e">
        <f t="shared" si="5"/>
        <v>#NAME?</v>
      </c>
    </row>
    <row r="37" spans="1:6">
      <c r="A37" s="91" t="s">
        <v>77</v>
      </c>
      <c r="B37" s="97" t="s">
        <v>78</v>
      </c>
      <c r="C37" s="98">
        <v>4472</v>
      </c>
      <c r="D37" s="99" t="e">
        <f t="shared" si="3"/>
        <v>#NAME?</v>
      </c>
      <c r="E37" s="99" t="e">
        <f t="shared" si="4"/>
        <v>#NAME?</v>
      </c>
      <c r="F37" s="99" t="e">
        <f t="shared" si="5"/>
        <v>#NAME?</v>
      </c>
    </row>
    <row r="38" spans="1:6">
      <c r="A38" s="91" t="s">
        <v>79</v>
      </c>
      <c r="B38" s="97" t="s">
        <v>80</v>
      </c>
      <c r="C38" s="98">
        <v>2221</v>
      </c>
      <c r="D38" s="99" t="e">
        <f t="shared" si="3"/>
        <v>#NAME?</v>
      </c>
      <c r="E38" s="99" t="e">
        <f t="shared" si="4"/>
        <v>#NAME?</v>
      </c>
      <c r="F38" s="99" t="e">
        <f t="shared" si="5"/>
        <v>#NAME?</v>
      </c>
    </row>
    <row r="39" spans="1:6">
      <c r="A39" s="91" t="s">
        <v>81</v>
      </c>
      <c r="B39" s="97" t="s">
        <v>82</v>
      </c>
      <c r="C39" s="98">
        <v>2055</v>
      </c>
      <c r="D39" s="99" t="e">
        <f t="shared" si="3"/>
        <v>#NAME?</v>
      </c>
      <c r="E39" s="99" t="e">
        <f t="shared" si="4"/>
        <v>#NAME?</v>
      </c>
      <c r="F39" s="99" t="e">
        <f t="shared" si="5"/>
        <v>#NAME?</v>
      </c>
    </row>
    <row r="40" spans="1:6">
      <c r="A40" s="91" t="s">
        <v>83</v>
      </c>
      <c r="B40" s="97" t="s">
        <v>84</v>
      </c>
      <c r="C40" s="98">
        <v>2567</v>
      </c>
      <c r="D40" s="99" t="e">
        <f t="shared" si="3"/>
        <v>#NAME?</v>
      </c>
      <c r="E40" s="99" t="e">
        <f t="shared" si="4"/>
        <v>#NAME?</v>
      </c>
      <c r="F40" s="99" t="e">
        <f t="shared" si="5"/>
        <v>#NAME?</v>
      </c>
    </row>
    <row r="41" spans="1:6">
      <c r="A41" s="91" t="s">
        <v>85</v>
      </c>
      <c r="B41" s="97" t="s">
        <v>86</v>
      </c>
      <c r="C41" s="98">
        <v>7976</v>
      </c>
      <c r="D41" s="99" t="e">
        <f t="shared" si="3"/>
        <v>#NAME?</v>
      </c>
      <c r="E41" s="99" t="e">
        <f t="shared" si="4"/>
        <v>#NAME?</v>
      </c>
      <c r="F41" s="99" t="e">
        <f t="shared" si="5"/>
        <v>#NAME?</v>
      </c>
    </row>
    <row r="42" spans="1:6">
      <c r="A42" s="91" t="s">
        <v>87</v>
      </c>
      <c r="B42" s="97" t="s">
        <v>88</v>
      </c>
      <c r="C42" s="98">
        <v>6545</v>
      </c>
      <c r="D42" s="99" t="e">
        <f t="shared" si="3"/>
        <v>#NAME?</v>
      </c>
      <c r="E42" s="99" t="e">
        <f t="shared" si="4"/>
        <v>#NAME?</v>
      </c>
      <c r="F42" s="99" t="e">
        <f t="shared" si="5"/>
        <v>#NAME?</v>
      </c>
    </row>
    <row r="43" spans="1:6">
      <c r="A43" s="91" t="s">
        <v>89</v>
      </c>
      <c r="B43" s="97" t="s">
        <v>90</v>
      </c>
      <c r="C43" s="98">
        <v>4329</v>
      </c>
      <c r="D43" s="99" t="e">
        <f t="shared" si="3"/>
        <v>#NAME?</v>
      </c>
      <c r="E43" s="99" t="e">
        <f t="shared" si="4"/>
        <v>#NAME?</v>
      </c>
      <c r="F43" s="99" t="e">
        <f t="shared" si="5"/>
        <v>#NAME?</v>
      </c>
    </row>
    <row r="44" spans="1:6">
      <c r="A44" s="91" t="s">
        <v>91</v>
      </c>
      <c r="B44" s="97" t="s">
        <v>92</v>
      </c>
      <c r="C44" s="98">
        <v>2240</v>
      </c>
      <c r="D44" s="99" t="e">
        <f t="shared" si="3"/>
        <v>#NAME?</v>
      </c>
      <c r="E44" s="99" t="e">
        <f t="shared" si="4"/>
        <v>#NAME?</v>
      </c>
      <c r="F44" s="99" t="e">
        <f t="shared" si="5"/>
        <v>#NAME?</v>
      </c>
    </row>
    <row r="45" spans="1:6">
      <c r="A45" s="91" t="s">
        <v>93</v>
      </c>
      <c r="B45" s="97" t="s">
        <v>94</v>
      </c>
      <c r="C45" s="98">
        <v>2917</v>
      </c>
      <c r="D45" s="99" t="e">
        <f t="shared" si="3"/>
        <v>#NAME?</v>
      </c>
      <c r="E45" s="99" t="e">
        <f t="shared" si="4"/>
        <v>#NAME?</v>
      </c>
      <c r="F45" s="99" t="e">
        <f t="shared" si="5"/>
        <v>#NAME?</v>
      </c>
    </row>
    <row r="46" spans="1:6">
      <c r="A46" s="91" t="s">
        <v>95</v>
      </c>
      <c r="B46" s="97" t="s">
        <v>96</v>
      </c>
      <c r="C46" s="98">
        <v>4114</v>
      </c>
      <c r="D46" s="99" t="e">
        <f t="shared" si="3"/>
        <v>#NAME?</v>
      </c>
      <c r="E46" s="99" t="e">
        <f t="shared" si="4"/>
        <v>#NAME?</v>
      </c>
      <c r="F46" s="99" t="e">
        <f t="shared" si="5"/>
        <v>#NAME?</v>
      </c>
    </row>
    <row r="47" spans="1:6">
      <c r="A47" s="91" t="s">
        <v>97</v>
      </c>
      <c r="B47" s="97" t="s">
        <v>98</v>
      </c>
      <c r="C47" s="98">
        <v>1386</v>
      </c>
      <c r="D47" s="99" t="e">
        <f t="shared" si="3"/>
        <v>#NAME?</v>
      </c>
      <c r="E47" s="99" t="e">
        <f t="shared" si="4"/>
        <v>#NAME?</v>
      </c>
      <c r="F47" s="99" t="e">
        <f t="shared" si="5"/>
        <v>#NAME?</v>
      </c>
    </row>
    <row r="48" spans="1:6">
      <c r="A48" s="91" t="s">
        <v>99</v>
      </c>
      <c r="B48" s="97" t="s">
        <v>100</v>
      </c>
      <c r="C48" s="98">
        <v>3759</v>
      </c>
      <c r="D48" s="99" t="e">
        <f t="shared" si="3"/>
        <v>#NAME?</v>
      </c>
      <c r="E48" s="99" t="e">
        <f t="shared" si="4"/>
        <v>#NAME?</v>
      </c>
      <c r="F48" s="99" t="e">
        <f t="shared" si="5"/>
        <v>#NAME?</v>
      </c>
    </row>
    <row r="49" spans="1:6">
      <c r="A49" s="91" t="s">
        <v>101</v>
      </c>
      <c r="B49" s="97" t="s">
        <v>102</v>
      </c>
      <c r="C49" s="98">
        <v>2234</v>
      </c>
      <c r="D49" s="99" t="e">
        <f t="shared" si="3"/>
        <v>#NAME?</v>
      </c>
      <c r="E49" s="99" t="e">
        <f t="shared" si="4"/>
        <v>#NAME?</v>
      </c>
      <c r="F49" s="99" t="e">
        <f t="shared" si="5"/>
        <v>#NAME?</v>
      </c>
    </row>
    <row r="50" spans="1:6">
      <c r="A50" s="91" t="s">
        <v>103</v>
      </c>
      <c r="B50" s="97" t="s">
        <v>329</v>
      </c>
      <c r="C50" s="98">
        <v>4134</v>
      </c>
      <c r="D50" s="99" t="e">
        <f t="shared" si="3"/>
        <v>#NAME?</v>
      </c>
      <c r="E50" s="99" t="e">
        <f t="shared" si="4"/>
        <v>#NAME?</v>
      </c>
      <c r="F50" s="99" t="e">
        <f t="shared" si="5"/>
        <v>#NAME?</v>
      </c>
    </row>
    <row r="51" spans="1:6">
      <c r="A51" s="91" t="s">
        <v>105</v>
      </c>
      <c r="B51" s="97" t="s">
        <v>106</v>
      </c>
      <c r="C51" s="98">
        <v>8414</v>
      </c>
      <c r="D51" s="99" t="e">
        <f t="shared" si="3"/>
        <v>#NAME?</v>
      </c>
      <c r="E51" s="99" t="e">
        <f t="shared" si="4"/>
        <v>#NAME?</v>
      </c>
      <c r="F51" s="99" t="e">
        <f t="shared" si="5"/>
        <v>#NAME?</v>
      </c>
    </row>
    <row r="52" spans="1:6">
      <c r="A52" s="91" t="s">
        <v>107</v>
      </c>
      <c r="B52" s="97" t="s">
        <v>108</v>
      </c>
      <c r="C52" s="98">
        <v>23189</v>
      </c>
      <c r="D52" s="99" t="e">
        <f t="shared" si="3"/>
        <v>#NAME?</v>
      </c>
      <c r="E52" s="99" t="e">
        <f t="shared" si="4"/>
        <v>#NAME?</v>
      </c>
      <c r="F52" s="99" t="e">
        <f t="shared" si="5"/>
        <v>#NAME?</v>
      </c>
    </row>
    <row r="53" spans="1:6">
      <c r="A53" s="91" t="s">
        <v>109</v>
      </c>
      <c r="B53" s="97" t="s">
        <v>110</v>
      </c>
      <c r="C53" s="98">
        <v>6268</v>
      </c>
      <c r="D53" s="99" t="e">
        <f t="shared" si="3"/>
        <v>#NAME?</v>
      </c>
      <c r="E53" s="99" t="e">
        <f t="shared" si="4"/>
        <v>#NAME?</v>
      </c>
      <c r="F53" s="99" t="e">
        <f t="shared" si="5"/>
        <v>#NAME?</v>
      </c>
    </row>
    <row r="54" spans="1:6">
      <c r="A54" s="91" t="s">
        <v>111</v>
      </c>
      <c r="B54" s="97" t="s">
        <v>112</v>
      </c>
      <c r="C54" s="98">
        <v>31176</v>
      </c>
      <c r="D54" s="99" t="e">
        <f t="shared" si="3"/>
        <v>#NAME?</v>
      </c>
      <c r="E54" s="99" t="e">
        <f t="shared" si="4"/>
        <v>#NAME?</v>
      </c>
      <c r="F54" s="99" t="e">
        <f t="shared" si="5"/>
        <v>#NAME?</v>
      </c>
    </row>
    <row r="55" spans="1:6">
      <c r="A55" s="91" t="s">
        <v>113</v>
      </c>
      <c r="B55" s="97" t="s">
        <v>367</v>
      </c>
      <c r="C55" s="98">
        <v>16087</v>
      </c>
      <c r="D55" s="99" t="e">
        <f t="shared" si="3"/>
        <v>#NAME?</v>
      </c>
      <c r="E55" s="99" t="e">
        <f t="shared" si="4"/>
        <v>#NAME?</v>
      </c>
      <c r="F55" s="99" t="e">
        <f t="shared" si="5"/>
        <v>#NAME?</v>
      </c>
    </row>
    <row r="56" spans="1:6">
      <c r="A56" s="91" t="s">
        <v>115</v>
      </c>
      <c r="B56" s="97" t="s">
        <v>116</v>
      </c>
      <c r="C56" s="98">
        <v>290</v>
      </c>
      <c r="D56" s="99" t="e">
        <f t="shared" si="3"/>
        <v>#NAME?</v>
      </c>
      <c r="E56" s="99" t="e">
        <f t="shared" si="4"/>
        <v>#NAME?</v>
      </c>
      <c r="F56" s="99" t="e">
        <f t="shared" si="5"/>
        <v>#NAME?</v>
      </c>
    </row>
    <row r="57" spans="1:6">
      <c r="A57" s="91" t="s">
        <v>117</v>
      </c>
      <c r="B57" s="97" t="s">
        <v>118</v>
      </c>
      <c r="C57" s="98">
        <v>6343</v>
      </c>
      <c r="D57" s="99" t="e">
        <f t="shared" si="3"/>
        <v>#NAME?</v>
      </c>
      <c r="E57" s="99" t="e">
        <f t="shared" si="4"/>
        <v>#NAME?</v>
      </c>
      <c r="F57" s="99" t="e">
        <f t="shared" si="5"/>
        <v>#NAME?</v>
      </c>
    </row>
    <row r="58" spans="1:6">
      <c r="A58" s="91" t="s">
        <v>119</v>
      </c>
      <c r="B58" s="97" t="s">
        <v>283</v>
      </c>
      <c r="C58" s="98">
        <v>4418</v>
      </c>
      <c r="D58" s="99" t="e">
        <f t="shared" si="3"/>
        <v>#NAME?</v>
      </c>
      <c r="E58" s="99" t="e">
        <f t="shared" si="4"/>
        <v>#NAME?</v>
      </c>
      <c r="F58" s="99" t="e">
        <f t="shared" si="5"/>
        <v>#NAME?</v>
      </c>
    </row>
    <row r="59" spans="1:6">
      <c r="A59" s="91" t="s">
        <v>121</v>
      </c>
      <c r="B59" s="97" t="s">
        <v>122</v>
      </c>
      <c r="C59" s="98">
        <v>4708</v>
      </c>
      <c r="D59" s="99" t="e">
        <f t="shared" si="3"/>
        <v>#NAME?</v>
      </c>
      <c r="E59" s="99" t="e">
        <f t="shared" si="4"/>
        <v>#NAME?</v>
      </c>
      <c r="F59" s="99" t="e">
        <f t="shared" si="5"/>
        <v>#NAME?</v>
      </c>
    </row>
    <row r="60" spans="1:6">
      <c r="A60" s="91" t="s">
        <v>123</v>
      </c>
      <c r="B60" s="97" t="s">
        <v>351</v>
      </c>
      <c r="C60" s="98">
        <v>1328</v>
      </c>
      <c r="D60" s="99" t="e">
        <f t="shared" si="3"/>
        <v>#NAME?</v>
      </c>
      <c r="E60" s="99" t="e">
        <f t="shared" si="4"/>
        <v>#NAME?</v>
      </c>
      <c r="F60" s="99" t="e">
        <f t="shared" si="5"/>
        <v>#NAME?</v>
      </c>
    </row>
    <row r="61" spans="1:6">
      <c r="A61" s="91" t="s">
        <v>125</v>
      </c>
      <c r="B61" s="97" t="s">
        <v>126</v>
      </c>
      <c r="C61" s="98">
        <v>2080</v>
      </c>
      <c r="D61" s="99" t="e">
        <f t="shared" si="3"/>
        <v>#NAME?</v>
      </c>
      <c r="E61" s="99" t="e">
        <f t="shared" si="4"/>
        <v>#NAME?</v>
      </c>
      <c r="F61" s="99" t="e">
        <f t="shared" si="5"/>
        <v>#NAME?</v>
      </c>
    </row>
    <row r="62" spans="1:6">
      <c r="A62" s="91" t="s">
        <v>127</v>
      </c>
      <c r="B62" s="97" t="s">
        <v>128</v>
      </c>
      <c r="C62" s="98">
        <v>1653</v>
      </c>
      <c r="D62" s="99" t="e">
        <f t="shared" si="3"/>
        <v>#NAME?</v>
      </c>
      <c r="E62" s="99" t="e">
        <f t="shared" si="4"/>
        <v>#NAME?</v>
      </c>
      <c r="F62" s="99" t="e">
        <f t="shared" si="5"/>
        <v>#NAME?</v>
      </c>
    </row>
    <row r="63" spans="1:6">
      <c r="A63" s="91" t="s">
        <v>129</v>
      </c>
      <c r="B63" s="97" t="s">
        <v>130</v>
      </c>
      <c r="C63" s="98">
        <v>2006</v>
      </c>
      <c r="D63" s="99" t="e">
        <f t="shared" si="3"/>
        <v>#NAME?</v>
      </c>
      <c r="E63" s="99" t="e">
        <f t="shared" si="4"/>
        <v>#NAME?</v>
      </c>
      <c r="F63" s="99" t="e">
        <f t="shared" si="5"/>
        <v>#NAME?</v>
      </c>
    </row>
    <row r="64" spans="1:6">
      <c r="A64" s="91" t="s">
        <v>131</v>
      </c>
      <c r="B64" s="97" t="s">
        <v>132</v>
      </c>
      <c r="C64" s="98">
        <v>7728</v>
      </c>
      <c r="D64" s="99" t="e">
        <f t="shared" si="3"/>
        <v>#NAME?</v>
      </c>
      <c r="E64" s="99" t="e">
        <f t="shared" si="4"/>
        <v>#NAME?</v>
      </c>
      <c r="F64" s="99" t="e">
        <f t="shared" si="5"/>
        <v>#NAME?</v>
      </c>
    </row>
    <row r="65" spans="1:6">
      <c r="A65" s="91" t="s">
        <v>133</v>
      </c>
      <c r="B65" s="97" t="s">
        <v>134</v>
      </c>
      <c r="C65" s="98">
        <v>10860</v>
      </c>
      <c r="D65" s="99" t="e">
        <f t="shared" si="3"/>
        <v>#NAME?</v>
      </c>
      <c r="E65" s="99" t="e">
        <f t="shared" si="4"/>
        <v>#NAME?</v>
      </c>
      <c r="F65" s="99" t="e">
        <f t="shared" si="5"/>
        <v>#NAME?</v>
      </c>
    </row>
    <row r="66" spans="1:6">
      <c r="A66" s="91" t="s">
        <v>135</v>
      </c>
      <c r="B66" s="97" t="s">
        <v>136</v>
      </c>
      <c r="C66" s="98">
        <v>4296</v>
      </c>
      <c r="D66" s="99" t="e">
        <f t="shared" si="3"/>
        <v>#NAME?</v>
      </c>
      <c r="E66" s="99" t="e">
        <f t="shared" si="4"/>
        <v>#NAME?</v>
      </c>
      <c r="F66" s="99" t="e">
        <f t="shared" si="5"/>
        <v>#NAME?</v>
      </c>
    </row>
    <row r="67" spans="1:6">
      <c r="A67" s="91" t="s">
        <v>137</v>
      </c>
      <c r="B67" s="97" t="s">
        <v>138</v>
      </c>
      <c r="C67" s="98">
        <v>2847</v>
      </c>
      <c r="D67" s="99" t="e">
        <f t="shared" ref="D67:D98" si="6">VLOOKUP(B67,_med2008,2,FALSE)</f>
        <v>#NAME?</v>
      </c>
      <c r="E67" s="99" t="e">
        <f t="shared" ref="E67:E98" si="7">VLOOKUP(B67,_med2009,2,FALSE)</f>
        <v>#NAME?</v>
      </c>
      <c r="F67" s="99" t="e">
        <f t="shared" ref="F67:F98" si="8">VLOOKUP(B67,_med2010,2,FALSE)</f>
        <v>#NAME?</v>
      </c>
    </row>
    <row r="68" spans="1:6">
      <c r="A68" s="91" t="s">
        <v>139</v>
      </c>
      <c r="B68" s="97" t="s">
        <v>140</v>
      </c>
      <c r="C68" s="98">
        <v>13893</v>
      </c>
      <c r="D68" s="99" t="e">
        <f t="shared" si="6"/>
        <v>#NAME?</v>
      </c>
      <c r="E68" s="99" t="e">
        <f t="shared" si="7"/>
        <v>#NAME?</v>
      </c>
      <c r="F68" s="99" t="e">
        <f t="shared" si="8"/>
        <v>#NAME?</v>
      </c>
    </row>
    <row r="69" spans="1:6">
      <c r="A69" s="91" t="s">
        <v>141</v>
      </c>
      <c r="B69" s="97" t="s">
        <v>142</v>
      </c>
      <c r="C69" s="98">
        <v>1528</v>
      </c>
      <c r="D69" s="99" t="e">
        <f t="shared" si="6"/>
        <v>#NAME?</v>
      </c>
      <c r="E69" s="99" t="e">
        <f t="shared" si="7"/>
        <v>#NAME?</v>
      </c>
      <c r="F69" s="99" t="e">
        <f t="shared" si="8"/>
        <v>#NAME?</v>
      </c>
    </row>
    <row r="70" spans="1:6">
      <c r="A70" s="91" t="s">
        <v>143</v>
      </c>
      <c r="B70" s="97" t="s">
        <v>144</v>
      </c>
      <c r="C70" s="98">
        <v>5337</v>
      </c>
      <c r="D70" s="99" t="e">
        <f t="shared" si="6"/>
        <v>#NAME?</v>
      </c>
      <c r="E70" s="99" t="e">
        <f t="shared" si="7"/>
        <v>#NAME?</v>
      </c>
      <c r="F70" s="99" t="e">
        <f t="shared" si="8"/>
        <v>#NAME?</v>
      </c>
    </row>
    <row r="71" spans="1:6">
      <c r="A71" s="91" t="s">
        <v>145</v>
      </c>
      <c r="B71" s="97" t="s">
        <v>146</v>
      </c>
      <c r="C71" s="98">
        <v>2146</v>
      </c>
      <c r="D71" s="99" t="e">
        <f t="shared" si="6"/>
        <v>#NAME?</v>
      </c>
      <c r="E71" s="99" t="e">
        <f t="shared" si="7"/>
        <v>#NAME?</v>
      </c>
      <c r="F71" s="99" t="e">
        <f t="shared" si="8"/>
        <v>#NAME?</v>
      </c>
    </row>
    <row r="72" spans="1:6">
      <c r="A72" s="91" t="s">
        <v>147</v>
      </c>
      <c r="B72" s="97" t="s">
        <v>148</v>
      </c>
      <c r="C72" s="98">
        <v>1054</v>
      </c>
      <c r="D72" s="99" t="e">
        <f t="shared" si="6"/>
        <v>#NAME?</v>
      </c>
      <c r="E72" s="99" t="e">
        <f t="shared" si="7"/>
        <v>#NAME?</v>
      </c>
      <c r="F72" s="99" t="e">
        <f t="shared" si="8"/>
        <v>#NAME?</v>
      </c>
    </row>
    <row r="73" spans="1:6">
      <c r="A73" s="91" t="s">
        <v>149</v>
      </c>
      <c r="B73" s="97" t="s">
        <v>150</v>
      </c>
      <c r="C73" s="98">
        <v>6603</v>
      </c>
      <c r="D73" s="99" t="e">
        <f t="shared" si="6"/>
        <v>#NAME?</v>
      </c>
      <c r="E73" s="99" t="e">
        <f t="shared" si="7"/>
        <v>#NAME?</v>
      </c>
      <c r="F73" s="99" t="e">
        <f t="shared" si="8"/>
        <v>#NAME?</v>
      </c>
    </row>
    <row r="74" spans="1:6">
      <c r="A74" s="91" t="s">
        <v>151</v>
      </c>
      <c r="B74" s="97" t="s">
        <v>152</v>
      </c>
      <c r="C74" s="98">
        <v>1464</v>
      </c>
      <c r="D74" s="99" t="e">
        <f t="shared" si="6"/>
        <v>#NAME?</v>
      </c>
      <c r="E74" s="99" t="e">
        <f t="shared" si="7"/>
        <v>#NAME?</v>
      </c>
      <c r="F74" s="99" t="e">
        <f t="shared" si="8"/>
        <v>#NAME?</v>
      </c>
    </row>
    <row r="75" spans="1:6">
      <c r="A75" s="91" t="s">
        <v>153</v>
      </c>
      <c r="B75" s="97" t="s">
        <v>154</v>
      </c>
      <c r="C75" s="98">
        <v>9035</v>
      </c>
      <c r="D75" s="99" t="e">
        <f t="shared" si="6"/>
        <v>#NAME?</v>
      </c>
      <c r="E75" s="99" t="e">
        <f t="shared" si="7"/>
        <v>#NAME?</v>
      </c>
      <c r="F75" s="99" t="e">
        <f t="shared" si="8"/>
        <v>#NAME?</v>
      </c>
    </row>
    <row r="76" spans="1:6">
      <c r="A76" s="91" t="s">
        <v>155</v>
      </c>
      <c r="B76" s="97" t="s">
        <v>156</v>
      </c>
      <c r="C76" s="98">
        <v>2369</v>
      </c>
      <c r="D76" s="99" t="e">
        <f t="shared" si="6"/>
        <v>#NAME?</v>
      </c>
      <c r="E76" s="99" t="e">
        <f t="shared" si="7"/>
        <v>#NAME?</v>
      </c>
      <c r="F76" s="99" t="e">
        <f t="shared" si="8"/>
        <v>#NAME?</v>
      </c>
    </row>
    <row r="77" spans="1:6">
      <c r="A77" s="91" t="s">
        <v>157</v>
      </c>
      <c r="B77" s="97" t="s">
        <v>158</v>
      </c>
      <c r="C77" s="98">
        <v>1076</v>
      </c>
      <c r="D77" s="99" t="e">
        <f t="shared" si="6"/>
        <v>#NAME?</v>
      </c>
      <c r="E77" s="99" t="e">
        <f t="shared" si="7"/>
        <v>#NAME?</v>
      </c>
      <c r="F77" s="99" t="e">
        <f t="shared" si="8"/>
        <v>#NAME?</v>
      </c>
    </row>
    <row r="78" spans="1:6">
      <c r="A78" s="91" t="s">
        <v>159</v>
      </c>
      <c r="B78" s="97" t="s">
        <v>160</v>
      </c>
      <c r="C78" s="98">
        <v>36304</v>
      </c>
      <c r="D78" s="99" t="e">
        <f t="shared" si="6"/>
        <v>#NAME?</v>
      </c>
      <c r="E78" s="99" t="e">
        <f t="shared" si="7"/>
        <v>#NAME?</v>
      </c>
      <c r="F78" s="99" t="e">
        <f t="shared" si="8"/>
        <v>#NAME?</v>
      </c>
    </row>
    <row r="79" spans="1:6">
      <c r="A79" s="91" t="s">
        <v>161</v>
      </c>
      <c r="B79" s="97" t="s">
        <v>162</v>
      </c>
      <c r="C79" s="98">
        <v>50779</v>
      </c>
      <c r="D79" s="99" t="e">
        <f t="shared" si="6"/>
        <v>#NAME?</v>
      </c>
      <c r="E79" s="99" t="e">
        <f t="shared" si="7"/>
        <v>#NAME?</v>
      </c>
      <c r="F79" s="99" t="e">
        <f t="shared" si="8"/>
        <v>#NAME?</v>
      </c>
    </row>
    <row r="80" spans="1:6">
      <c r="A80" s="91" t="s">
        <v>163</v>
      </c>
      <c r="B80" s="97" t="s">
        <v>164</v>
      </c>
      <c r="C80" s="98">
        <v>3609</v>
      </c>
      <c r="D80" s="99" t="e">
        <f t="shared" si="6"/>
        <v>#NAME?</v>
      </c>
      <c r="E80" s="99" t="e">
        <f t="shared" si="7"/>
        <v>#NAME?</v>
      </c>
      <c r="F80" s="99" t="e">
        <f t="shared" si="8"/>
        <v>#NAME?</v>
      </c>
    </row>
    <row r="81" spans="1:6">
      <c r="A81" s="91" t="s">
        <v>165</v>
      </c>
      <c r="B81" s="97" t="s">
        <v>166</v>
      </c>
      <c r="C81" s="98">
        <v>1857</v>
      </c>
      <c r="D81" s="99" t="e">
        <f t="shared" si="6"/>
        <v>#NAME?</v>
      </c>
      <c r="E81" s="99" t="e">
        <f t="shared" si="7"/>
        <v>#NAME?</v>
      </c>
      <c r="F81" s="99" t="e">
        <f t="shared" si="8"/>
        <v>#NAME?</v>
      </c>
    </row>
    <row r="82" spans="1:6">
      <c r="A82" s="91" t="s">
        <v>167</v>
      </c>
      <c r="B82" s="97" t="s">
        <v>168</v>
      </c>
      <c r="C82" s="98">
        <v>1354</v>
      </c>
      <c r="D82" s="99" t="e">
        <f t="shared" si="6"/>
        <v>#NAME?</v>
      </c>
      <c r="E82" s="99" t="e">
        <f t="shared" si="7"/>
        <v>#NAME?</v>
      </c>
      <c r="F82" s="99" t="e">
        <f t="shared" si="8"/>
        <v>#NAME?</v>
      </c>
    </row>
    <row r="83" spans="1:6">
      <c r="A83" s="91" t="s">
        <v>169</v>
      </c>
      <c r="B83" s="97" t="s">
        <v>170</v>
      </c>
      <c r="C83" s="98">
        <v>3392</v>
      </c>
      <c r="D83" s="99" t="e">
        <f t="shared" si="6"/>
        <v>#NAME?</v>
      </c>
      <c r="E83" s="99" t="e">
        <f t="shared" si="7"/>
        <v>#NAME?</v>
      </c>
      <c r="F83" s="99" t="e">
        <f t="shared" si="8"/>
        <v>#NAME?</v>
      </c>
    </row>
    <row r="84" spans="1:6">
      <c r="A84" s="91" t="s">
        <v>171</v>
      </c>
      <c r="B84" s="97" t="s">
        <v>172</v>
      </c>
      <c r="C84" s="98">
        <v>3601</v>
      </c>
      <c r="D84" s="99" t="e">
        <f t="shared" si="6"/>
        <v>#NAME?</v>
      </c>
      <c r="E84" s="99" t="e">
        <f t="shared" si="7"/>
        <v>#NAME?</v>
      </c>
      <c r="F84" s="99" t="e">
        <f t="shared" si="8"/>
        <v>#NAME?</v>
      </c>
    </row>
    <row r="85" spans="1:6">
      <c r="A85" s="91" t="s">
        <v>173</v>
      </c>
      <c r="B85" s="97" t="s">
        <v>174</v>
      </c>
      <c r="C85" s="98">
        <v>4183</v>
      </c>
      <c r="D85" s="99" t="e">
        <f t="shared" si="6"/>
        <v>#NAME?</v>
      </c>
      <c r="E85" s="99" t="e">
        <f t="shared" si="7"/>
        <v>#NAME?</v>
      </c>
      <c r="F85" s="99" t="e">
        <f t="shared" si="8"/>
        <v>#NAME?</v>
      </c>
    </row>
    <row r="86" spans="1:6">
      <c r="A86" s="91" t="s">
        <v>175</v>
      </c>
      <c r="B86" s="97" t="s">
        <v>176</v>
      </c>
      <c r="C86" s="98">
        <v>4149</v>
      </c>
      <c r="D86" s="99" t="e">
        <f t="shared" si="6"/>
        <v>#NAME?</v>
      </c>
      <c r="E86" s="99" t="e">
        <f t="shared" si="7"/>
        <v>#NAME?</v>
      </c>
      <c r="F86" s="99" t="e">
        <f t="shared" si="8"/>
        <v>#NAME?</v>
      </c>
    </row>
    <row r="87" spans="1:6">
      <c r="A87" s="91" t="s">
        <v>177</v>
      </c>
      <c r="B87" s="97" t="s">
        <v>178</v>
      </c>
      <c r="C87" s="98">
        <v>10541</v>
      </c>
      <c r="D87" s="99" t="e">
        <f t="shared" si="6"/>
        <v>#NAME?</v>
      </c>
      <c r="E87" s="99" t="e">
        <f t="shared" si="7"/>
        <v>#NAME?</v>
      </c>
      <c r="F87" s="99" t="e">
        <f t="shared" si="8"/>
        <v>#NAME?</v>
      </c>
    </row>
    <row r="88" spans="1:6">
      <c r="A88" s="91" t="s">
        <v>179</v>
      </c>
      <c r="B88" s="97" t="s">
        <v>180</v>
      </c>
      <c r="C88" s="98">
        <v>11152</v>
      </c>
      <c r="D88" s="99" t="e">
        <f t="shared" si="6"/>
        <v>#NAME?</v>
      </c>
      <c r="E88" s="99" t="e">
        <f t="shared" si="7"/>
        <v>#NAME?</v>
      </c>
      <c r="F88" s="99" t="e">
        <f t="shared" si="8"/>
        <v>#NAME?</v>
      </c>
    </row>
    <row r="89" spans="1:6">
      <c r="A89" s="91" t="s">
        <v>181</v>
      </c>
      <c r="B89" s="97" t="s">
        <v>182</v>
      </c>
      <c r="C89" s="98">
        <v>23485</v>
      </c>
      <c r="D89" s="99" t="e">
        <f t="shared" si="6"/>
        <v>#NAME?</v>
      </c>
      <c r="E89" s="99" t="e">
        <f t="shared" si="7"/>
        <v>#NAME?</v>
      </c>
      <c r="F89" s="99" t="e">
        <f t="shared" si="8"/>
        <v>#NAME?</v>
      </c>
    </row>
    <row r="90" spans="1:6">
      <c r="A90" s="91" t="s">
        <v>183</v>
      </c>
      <c r="B90" s="97" t="s">
        <v>184</v>
      </c>
      <c r="C90" s="98">
        <v>1544</v>
      </c>
      <c r="D90" s="99" t="e">
        <f t="shared" si="6"/>
        <v>#NAME?</v>
      </c>
      <c r="E90" s="99" t="e">
        <f t="shared" si="7"/>
        <v>#NAME?</v>
      </c>
      <c r="F90" s="99" t="e">
        <f t="shared" si="8"/>
        <v>#NAME?</v>
      </c>
    </row>
    <row r="91" spans="1:6">
      <c r="A91" s="91" t="s">
        <v>185</v>
      </c>
      <c r="B91" s="97" t="s">
        <v>186</v>
      </c>
      <c r="C91" s="98">
        <v>4112</v>
      </c>
      <c r="D91" s="99" t="e">
        <f t="shared" si="6"/>
        <v>#NAME?</v>
      </c>
      <c r="E91" s="99" t="e">
        <f t="shared" si="7"/>
        <v>#NAME?</v>
      </c>
      <c r="F91" s="99" t="e">
        <f t="shared" si="8"/>
        <v>#NAME?</v>
      </c>
    </row>
    <row r="92" spans="1:6">
      <c r="A92" s="91" t="s">
        <v>187</v>
      </c>
      <c r="B92" s="97" t="s">
        <v>188</v>
      </c>
      <c r="C92" s="98">
        <v>2880</v>
      </c>
      <c r="D92" s="99" t="e">
        <f t="shared" si="6"/>
        <v>#NAME?</v>
      </c>
      <c r="E92" s="99" t="e">
        <f t="shared" si="7"/>
        <v>#NAME?</v>
      </c>
      <c r="F92" s="99" t="e">
        <f t="shared" si="8"/>
        <v>#NAME?</v>
      </c>
    </row>
    <row r="93" spans="1:6">
      <c r="A93" s="91" t="s">
        <v>189</v>
      </c>
      <c r="B93" s="97" t="s">
        <v>190</v>
      </c>
      <c r="C93" s="98">
        <v>36640</v>
      </c>
      <c r="D93" s="99" t="e">
        <f t="shared" si="6"/>
        <v>#NAME?</v>
      </c>
      <c r="E93" s="99" t="e">
        <f t="shared" si="7"/>
        <v>#NAME?</v>
      </c>
      <c r="F93" s="99" t="e">
        <f t="shared" si="8"/>
        <v>#NAME?</v>
      </c>
    </row>
    <row r="94" spans="1:6">
      <c r="A94" s="91" t="s">
        <v>191</v>
      </c>
      <c r="B94" s="97" t="s">
        <v>192</v>
      </c>
      <c r="C94" s="98">
        <v>6339</v>
      </c>
      <c r="D94" s="99" t="e">
        <f t="shared" si="6"/>
        <v>#NAME?</v>
      </c>
      <c r="E94" s="99" t="e">
        <f t="shared" si="7"/>
        <v>#NAME?</v>
      </c>
      <c r="F94" s="99" t="e">
        <f t="shared" si="8"/>
        <v>#NAME?</v>
      </c>
    </row>
    <row r="95" spans="1:6">
      <c r="A95" s="91" t="s">
        <v>193</v>
      </c>
      <c r="B95" s="97" t="s">
        <v>194</v>
      </c>
      <c r="C95" s="98">
        <v>1886</v>
      </c>
      <c r="D95" s="99" t="e">
        <f t="shared" si="6"/>
        <v>#NAME?</v>
      </c>
      <c r="E95" s="99" t="e">
        <f t="shared" si="7"/>
        <v>#NAME?</v>
      </c>
      <c r="F95" s="99" t="e">
        <f t="shared" si="8"/>
        <v>#NAME?</v>
      </c>
    </row>
    <row r="96" spans="1:6">
      <c r="A96" s="91" t="s">
        <v>195</v>
      </c>
      <c r="B96" s="97" t="s">
        <v>196</v>
      </c>
      <c r="C96" s="98">
        <v>600</v>
      </c>
      <c r="D96" s="99" t="e">
        <f t="shared" si="6"/>
        <v>#NAME?</v>
      </c>
      <c r="E96" s="99" t="e">
        <f t="shared" si="7"/>
        <v>#NAME?</v>
      </c>
      <c r="F96" s="99" t="e">
        <f t="shared" si="8"/>
        <v>#NAME?</v>
      </c>
    </row>
    <row r="97" spans="1:6">
      <c r="A97" s="91" t="s">
        <v>197</v>
      </c>
      <c r="B97" s="97" t="s">
        <v>198</v>
      </c>
      <c r="C97" s="98">
        <v>52734</v>
      </c>
      <c r="D97" s="99" t="e">
        <f t="shared" si="6"/>
        <v>#NAME?</v>
      </c>
      <c r="E97" s="99" t="e">
        <f t="shared" si="7"/>
        <v>#NAME?</v>
      </c>
      <c r="F97" s="99" t="e">
        <f t="shared" si="8"/>
        <v>#NAME?</v>
      </c>
    </row>
    <row r="98" spans="1:6">
      <c r="A98" s="91" t="s">
        <v>199</v>
      </c>
      <c r="B98" s="97" t="s">
        <v>285</v>
      </c>
      <c r="C98" s="98">
        <v>1523</v>
      </c>
      <c r="D98" s="99" t="e">
        <f t="shared" si="6"/>
        <v>#NAME?</v>
      </c>
      <c r="E98" s="99" t="e">
        <f t="shared" si="7"/>
        <v>#NAME?</v>
      </c>
      <c r="F98" s="99" t="e">
        <f t="shared" si="8"/>
        <v>#NAME?</v>
      </c>
    </row>
    <row r="99" spans="1:6">
      <c r="A99" s="91" t="s">
        <v>201</v>
      </c>
      <c r="B99" s="97" t="s">
        <v>202</v>
      </c>
      <c r="C99" s="98">
        <v>23966</v>
      </c>
      <c r="D99" s="99" t="e">
        <f t="shared" ref="D99:D122" si="9">VLOOKUP(B99,_med2008,2,FALSE)</f>
        <v>#NAME?</v>
      </c>
      <c r="E99" s="99" t="e">
        <f t="shared" ref="E99:E122" si="10">VLOOKUP(B99,_med2009,2,FALSE)</f>
        <v>#NAME?</v>
      </c>
      <c r="F99" s="99" t="e">
        <f t="shared" ref="F99:F122" si="11">VLOOKUP(B99,_med2010,2,FALSE)</f>
        <v>#NAME?</v>
      </c>
    </row>
    <row r="100" spans="1:6">
      <c r="A100" s="91" t="s">
        <v>203</v>
      </c>
      <c r="B100" s="97" t="s">
        <v>368</v>
      </c>
      <c r="C100" s="98">
        <v>10237</v>
      </c>
      <c r="D100" s="99" t="e">
        <f t="shared" si="9"/>
        <v>#NAME?</v>
      </c>
      <c r="E100" s="99" t="e">
        <f t="shared" si="10"/>
        <v>#NAME?</v>
      </c>
      <c r="F100" s="99" t="e">
        <f t="shared" si="11"/>
        <v>#NAME?</v>
      </c>
    </row>
    <row r="101" spans="1:6">
      <c r="A101" s="91" t="s">
        <v>205</v>
      </c>
      <c r="B101" s="97" t="s">
        <v>359</v>
      </c>
      <c r="C101" s="98">
        <v>4580</v>
      </c>
      <c r="D101" s="99" t="e">
        <f t="shared" si="9"/>
        <v>#NAME?</v>
      </c>
      <c r="E101" s="99" t="e">
        <f t="shared" si="10"/>
        <v>#NAME?</v>
      </c>
      <c r="F101" s="99" t="e">
        <f t="shared" si="11"/>
        <v>#NAME?</v>
      </c>
    </row>
    <row r="102" spans="1:6">
      <c r="A102" s="91" t="s">
        <v>207</v>
      </c>
      <c r="B102" s="97" t="s">
        <v>360</v>
      </c>
      <c r="C102" s="98">
        <v>14124</v>
      </c>
      <c r="D102" s="99" t="e">
        <f t="shared" si="9"/>
        <v>#NAME?</v>
      </c>
      <c r="E102" s="99" t="e">
        <f t="shared" si="10"/>
        <v>#NAME?</v>
      </c>
      <c r="F102" s="99" t="e">
        <f t="shared" si="11"/>
        <v>#NAME?</v>
      </c>
    </row>
    <row r="103" spans="1:6">
      <c r="A103" s="91" t="s">
        <v>209</v>
      </c>
      <c r="B103" s="97" t="s">
        <v>210</v>
      </c>
      <c r="C103" s="98">
        <v>7462</v>
      </c>
      <c r="D103" s="99" t="e">
        <f t="shared" si="9"/>
        <v>#NAME?</v>
      </c>
      <c r="E103" s="99" t="e">
        <f t="shared" si="10"/>
        <v>#NAME?</v>
      </c>
      <c r="F103" s="99" t="e">
        <f t="shared" si="11"/>
        <v>#NAME?</v>
      </c>
    </row>
    <row r="104" spans="1:6">
      <c r="A104" s="91" t="s">
        <v>211</v>
      </c>
      <c r="B104" s="97" t="s">
        <v>212</v>
      </c>
      <c r="C104" s="98">
        <v>5195</v>
      </c>
      <c r="D104" s="99" t="e">
        <f t="shared" si="9"/>
        <v>#NAME?</v>
      </c>
      <c r="E104" s="99" t="e">
        <f t="shared" si="10"/>
        <v>#NAME?</v>
      </c>
      <c r="F104" s="99" t="e">
        <f t="shared" si="11"/>
        <v>#NAME?</v>
      </c>
    </row>
    <row r="105" spans="1:6">
      <c r="A105" s="91" t="s">
        <v>213</v>
      </c>
      <c r="B105" s="97" t="s">
        <v>214</v>
      </c>
      <c r="C105" s="98">
        <v>5195</v>
      </c>
      <c r="D105" s="99" t="e">
        <f t="shared" si="9"/>
        <v>#NAME?</v>
      </c>
      <c r="E105" s="99" t="e">
        <f t="shared" si="10"/>
        <v>#NAME?</v>
      </c>
      <c r="F105" s="99" t="e">
        <f t="shared" si="11"/>
        <v>#NAME?</v>
      </c>
    </row>
    <row r="106" spans="1:6">
      <c r="A106" s="91" t="s">
        <v>215</v>
      </c>
      <c r="B106" s="97" t="s">
        <v>216</v>
      </c>
      <c r="C106" s="98">
        <v>7096</v>
      </c>
      <c r="D106" s="99" t="e">
        <f t="shared" si="9"/>
        <v>#NAME?</v>
      </c>
      <c r="E106" s="99" t="e">
        <f t="shared" si="10"/>
        <v>#NAME?</v>
      </c>
      <c r="F106" s="99" t="e">
        <f t="shared" si="11"/>
        <v>#NAME?</v>
      </c>
    </row>
    <row r="107" spans="1:6">
      <c r="A107" s="91" t="s">
        <v>217</v>
      </c>
      <c r="B107" s="97" t="s">
        <v>218</v>
      </c>
      <c r="C107" s="98">
        <v>3525</v>
      </c>
      <c r="D107" s="99" t="e">
        <f t="shared" si="9"/>
        <v>#NAME?</v>
      </c>
      <c r="E107" s="99" t="e">
        <f t="shared" si="10"/>
        <v>#NAME?</v>
      </c>
      <c r="F107" s="99" t="e">
        <f t="shared" si="11"/>
        <v>#NAME?</v>
      </c>
    </row>
    <row r="108" spans="1:6">
      <c r="A108" s="91" t="s">
        <v>219</v>
      </c>
      <c r="B108" s="97" t="s">
        <v>220</v>
      </c>
      <c r="C108" s="98">
        <v>10432</v>
      </c>
      <c r="D108" s="99" t="e">
        <f t="shared" si="9"/>
        <v>#NAME?</v>
      </c>
      <c r="E108" s="99" t="e">
        <f t="shared" si="10"/>
        <v>#NAME?</v>
      </c>
      <c r="F108" s="99" t="e">
        <f t="shared" si="11"/>
        <v>#NAME?</v>
      </c>
    </row>
    <row r="109" spans="1:6">
      <c r="A109" s="91" t="s">
        <v>221</v>
      </c>
      <c r="B109" s="97" t="s">
        <v>222</v>
      </c>
      <c r="C109" s="98">
        <v>9491</v>
      </c>
      <c r="D109" s="99" t="e">
        <f t="shared" si="9"/>
        <v>#NAME?</v>
      </c>
      <c r="E109" s="99" t="e">
        <f t="shared" si="10"/>
        <v>#NAME?</v>
      </c>
      <c r="F109" s="99" t="e">
        <f t="shared" si="11"/>
        <v>#NAME?</v>
      </c>
    </row>
    <row r="110" spans="1:6">
      <c r="A110" s="91" t="s">
        <v>223</v>
      </c>
      <c r="B110" s="97" t="s">
        <v>224</v>
      </c>
      <c r="C110" s="98">
        <v>12754</v>
      </c>
      <c r="D110" s="99" t="e">
        <f t="shared" si="9"/>
        <v>#NAME?</v>
      </c>
      <c r="E110" s="99" t="e">
        <f t="shared" si="10"/>
        <v>#NAME?</v>
      </c>
      <c r="F110" s="99" t="e">
        <f t="shared" si="11"/>
        <v>#NAME?</v>
      </c>
    </row>
    <row r="111" spans="1:6">
      <c r="A111" s="91" t="s">
        <v>225</v>
      </c>
      <c r="B111" s="97" t="s">
        <v>226</v>
      </c>
      <c r="C111" s="98">
        <v>1157</v>
      </c>
      <c r="D111" s="99" t="e">
        <f t="shared" si="9"/>
        <v>#NAME?</v>
      </c>
      <c r="E111" s="99" t="e">
        <f t="shared" si="10"/>
        <v>#NAME?</v>
      </c>
      <c r="F111" s="99" t="e">
        <f t="shared" si="11"/>
        <v>#NAME?</v>
      </c>
    </row>
    <row r="112" spans="1:6">
      <c r="A112" s="91" t="s">
        <v>227</v>
      </c>
      <c r="B112" s="97" t="s">
        <v>228</v>
      </c>
      <c r="C112" s="98">
        <v>2285</v>
      </c>
      <c r="D112" s="99" t="e">
        <f t="shared" si="9"/>
        <v>#NAME?</v>
      </c>
      <c r="E112" s="99" t="e">
        <f t="shared" si="10"/>
        <v>#NAME?</v>
      </c>
      <c r="F112" s="99" t="e">
        <f t="shared" si="11"/>
        <v>#NAME?</v>
      </c>
    </row>
    <row r="113" spans="1:6">
      <c r="A113" s="91" t="s">
        <v>229</v>
      </c>
      <c r="B113" s="97" t="s">
        <v>230</v>
      </c>
      <c r="C113" s="98">
        <v>10374</v>
      </c>
      <c r="D113" s="99" t="e">
        <f t="shared" si="9"/>
        <v>#NAME?</v>
      </c>
      <c r="E113" s="99" t="e">
        <f t="shared" si="10"/>
        <v>#NAME?</v>
      </c>
      <c r="F113" s="99" t="e">
        <f t="shared" si="11"/>
        <v>#NAME?</v>
      </c>
    </row>
    <row r="114" spans="1:6">
      <c r="A114" s="91" t="s">
        <v>231</v>
      </c>
      <c r="B114" s="97" t="s">
        <v>232</v>
      </c>
      <c r="C114" s="98">
        <v>37990</v>
      </c>
      <c r="D114" s="99" t="e">
        <f t="shared" si="9"/>
        <v>#NAME?</v>
      </c>
      <c r="E114" s="99" t="e">
        <f t="shared" si="10"/>
        <v>#NAME?</v>
      </c>
      <c r="F114" s="99" t="e">
        <f t="shared" si="11"/>
        <v>#NAME?</v>
      </c>
    </row>
    <row r="115" spans="1:6">
      <c r="A115" s="91" t="s">
        <v>233</v>
      </c>
      <c r="B115" s="97" t="s">
        <v>234</v>
      </c>
      <c r="C115" s="98">
        <v>4412</v>
      </c>
      <c r="D115" s="99" t="e">
        <f t="shared" si="9"/>
        <v>#NAME?</v>
      </c>
      <c r="E115" s="99" t="e">
        <f t="shared" si="10"/>
        <v>#NAME?</v>
      </c>
      <c r="F115" s="99" t="e">
        <f t="shared" si="11"/>
        <v>#NAME?</v>
      </c>
    </row>
    <row r="116" spans="1:6">
      <c r="A116" s="91" t="s">
        <v>235</v>
      </c>
      <c r="B116" s="97" t="s">
        <v>236</v>
      </c>
      <c r="C116" s="98">
        <v>8608</v>
      </c>
      <c r="D116" s="99" t="e">
        <f t="shared" si="9"/>
        <v>#NAME?</v>
      </c>
      <c r="E116" s="99" t="e">
        <f t="shared" si="10"/>
        <v>#NAME?</v>
      </c>
      <c r="F116" s="99" t="e">
        <f t="shared" si="11"/>
        <v>#NAME?</v>
      </c>
    </row>
    <row r="117" spans="1:6">
      <c r="A117" s="91" t="s">
        <v>237</v>
      </c>
      <c r="B117" s="97" t="s">
        <v>238</v>
      </c>
      <c r="C117" s="98">
        <v>3160</v>
      </c>
      <c r="D117" s="99" t="e">
        <f t="shared" si="9"/>
        <v>#NAME?</v>
      </c>
      <c r="E117" s="99" t="e">
        <f t="shared" si="10"/>
        <v>#NAME?</v>
      </c>
      <c r="F117" s="99" t="e">
        <f t="shared" si="11"/>
        <v>#NAME?</v>
      </c>
    </row>
    <row r="118" spans="1:6">
      <c r="A118" s="91" t="s">
        <v>239</v>
      </c>
      <c r="B118" s="97" t="s">
        <v>240</v>
      </c>
      <c r="C118" s="98">
        <v>969</v>
      </c>
      <c r="D118" s="99" t="e">
        <f t="shared" si="9"/>
        <v>#NAME?</v>
      </c>
      <c r="E118" s="99" t="e">
        <f t="shared" si="10"/>
        <v>#NAME?</v>
      </c>
      <c r="F118" s="99" t="e">
        <f t="shared" si="11"/>
        <v>#NAME?</v>
      </c>
    </row>
    <row r="119" spans="1:6">
      <c r="A119" s="91" t="s">
        <v>241</v>
      </c>
      <c r="B119" s="97" t="s">
        <v>242</v>
      </c>
      <c r="C119" s="98">
        <v>4206</v>
      </c>
      <c r="D119" s="99" t="e">
        <f t="shared" si="9"/>
        <v>#NAME?</v>
      </c>
      <c r="E119" s="99" t="e">
        <f t="shared" si="10"/>
        <v>#NAME?</v>
      </c>
      <c r="F119" s="99" t="e">
        <f t="shared" si="11"/>
        <v>#NAME?</v>
      </c>
    </row>
    <row r="120" spans="1:6">
      <c r="A120" s="91" t="s">
        <v>243</v>
      </c>
      <c r="B120" s="97" t="s">
        <v>244</v>
      </c>
      <c r="C120" s="98">
        <v>11327</v>
      </c>
      <c r="D120" s="99" t="e">
        <f t="shared" si="9"/>
        <v>#NAME?</v>
      </c>
      <c r="E120" s="99" t="e">
        <f t="shared" si="10"/>
        <v>#NAME?</v>
      </c>
      <c r="F120" s="99" t="e">
        <f t="shared" si="11"/>
        <v>#NAME?</v>
      </c>
    </row>
    <row r="121" spans="1:6">
      <c r="A121" s="91" t="s">
        <v>245</v>
      </c>
      <c r="B121" s="97" t="s">
        <v>246</v>
      </c>
      <c r="C121" s="98">
        <v>5359</v>
      </c>
      <c r="D121" s="99" t="e">
        <f t="shared" si="9"/>
        <v>#NAME?</v>
      </c>
      <c r="E121" s="99" t="e">
        <f t="shared" si="10"/>
        <v>#NAME?</v>
      </c>
      <c r="F121" s="99" t="e">
        <f t="shared" si="11"/>
        <v>#NAME?</v>
      </c>
    </row>
    <row r="122" spans="1:6">
      <c r="A122" s="91" t="s">
        <v>247</v>
      </c>
      <c r="B122" s="97" t="s">
        <v>248</v>
      </c>
      <c r="C122" s="98">
        <v>3577</v>
      </c>
      <c r="D122" s="99" t="e">
        <f t="shared" si="9"/>
        <v>#NAME?</v>
      </c>
      <c r="E122" s="99" t="e">
        <f t="shared" si="10"/>
        <v>#NAME?</v>
      </c>
      <c r="F122" s="99" t="e">
        <f t="shared" si="11"/>
        <v>#NAME?</v>
      </c>
    </row>
    <row r="123" spans="1:6">
      <c r="B123" s="100"/>
      <c r="C123" s="98">
        <f>SUM(C3:C122)</f>
        <v>983399</v>
      </c>
      <c r="D123" s="98" t="e">
        <f>SUM(D3:D122)</f>
        <v>#NAME?</v>
      </c>
      <c r="E123" s="98" t="e">
        <f>SUM(E3:E122)</f>
        <v>#NAME?</v>
      </c>
      <c r="F123" s="98" t="e">
        <f>SUM(F3:F122)</f>
        <v>#NAME?</v>
      </c>
    </row>
    <row r="124" spans="1:6">
      <c r="B124" s="100"/>
      <c r="C124" s="41"/>
      <c r="D124" s="101"/>
    </row>
    <row r="125" spans="1:6">
      <c r="B125" s="102"/>
      <c r="C125" s="103">
        <v>983399</v>
      </c>
      <c r="D125" s="94" t="e">
        <f>VLOOKUP(B125,_med2008,2,FALSE)</f>
        <v>#NAME?</v>
      </c>
    </row>
    <row r="126" spans="1:6" s="106" customFormat="1">
      <c r="B126" s="104">
        <v>40714</v>
      </c>
      <c r="C126" s="42" t="s">
        <v>774</v>
      </c>
      <c r="D126" s="105">
        <v>0.47415509</v>
      </c>
    </row>
  </sheetData>
  <pageMargins left="0.75" right="0.75" top="1" bottom="1" header="0.5" footer="0.5"/>
  <pageSetup orientation="portrait" r:id="rId1"/>
  <drawing r:id="rId2"/>
</worksheet>
</file>

<file path=xl/worksheets/sheet36.xml><?xml version="1.0" encoding="utf-8"?>
<worksheet xmlns="http://schemas.openxmlformats.org/spreadsheetml/2006/main" xmlns:r="http://schemas.openxmlformats.org/officeDocument/2006/relationships">
  <dimension ref="A1:V129"/>
  <sheetViews>
    <sheetView workbookViewId="0">
      <selection activeCell="B13" sqref="B13"/>
    </sheetView>
  </sheetViews>
  <sheetFormatPr defaultColWidth="9.125" defaultRowHeight="12.75"/>
  <cols>
    <col min="1" max="1" width="6.125" style="184" bestFit="1" customWidth="1"/>
    <col min="2" max="2" width="26.375" style="185" customWidth="1"/>
    <col min="3" max="3" width="9.25" style="185" customWidth="1"/>
    <col min="4" max="5" width="9.75" style="185" customWidth="1"/>
    <col min="6" max="6" width="1.75" style="185" customWidth="1"/>
    <col min="7" max="7" width="9.875" style="185" bestFit="1" customWidth="1"/>
    <col min="8" max="8" width="9.625" style="185" customWidth="1"/>
    <col min="9" max="9" width="1.5" style="185" customWidth="1"/>
    <col min="10" max="10" width="9.875" style="185" bestFit="1" customWidth="1"/>
    <col min="11" max="11" width="9" style="185" bestFit="1" customWidth="1"/>
    <col min="12" max="12" width="1.125" style="185" customWidth="1"/>
    <col min="13" max="13" width="9.875" style="185" bestFit="1" customWidth="1"/>
    <col min="14" max="14" width="9" style="185" bestFit="1" customWidth="1"/>
    <col min="15" max="15" width="1.5" style="185" customWidth="1"/>
    <col min="16" max="16" width="11" style="205" customWidth="1"/>
    <col min="17" max="18" width="9.25" style="183" customWidth="1"/>
    <col min="19" max="19" width="11.125" style="183" bestFit="1" customWidth="1"/>
    <col min="20" max="16384" width="9.125" style="184"/>
  </cols>
  <sheetData>
    <row r="1" spans="1:22" ht="17.25" customHeight="1">
      <c r="A1" s="1367" t="s">
        <v>915</v>
      </c>
      <c r="B1" s="1367"/>
      <c r="C1" s="1367"/>
      <c r="D1" s="1367"/>
      <c r="E1" s="1367"/>
      <c r="F1" s="1367"/>
      <c r="G1" s="1367"/>
      <c r="H1" s="1367"/>
      <c r="I1" s="1367"/>
      <c r="J1" s="1367"/>
      <c r="K1" s="1367"/>
      <c r="L1" s="545"/>
      <c r="M1" s="545"/>
      <c r="N1" s="545"/>
      <c r="O1" s="545"/>
      <c r="P1" s="514"/>
      <c r="Q1" s="514"/>
      <c r="R1" s="514"/>
    </row>
    <row r="2" spans="1:22" ht="17.25" customHeight="1">
      <c r="A2" s="546"/>
      <c r="B2" s="546"/>
      <c r="C2" s="546"/>
      <c r="D2" s="516"/>
      <c r="E2" s="516"/>
      <c r="F2" s="546"/>
      <c r="G2" s="516"/>
      <c r="H2" s="516"/>
      <c r="I2" s="546"/>
      <c r="J2" s="516"/>
      <c r="K2" s="516"/>
      <c r="L2" s="545"/>
      <c r="M2" s="182"/>
      <c r="N2" s="182"/>
      <c r="O2" s="545"/>
      <c r="P2" s="514"/>
      <c r="Q2" s="514"/>
      <c r="R2" s="514"/>
    </row>
    <row r="3" spans="1:22" ht="25.5" customHeight="1">
      <c r="D3" s="1363" t="s">
        <v>916</v>
      </c>
      <c r="E3" s="1363"/>
      <c r="F3" s="514"/>
      <c r="G3" s="1363" t="s">
        <v>2</v>
      </c>
      <c r="H3" s="1363"/>
      <c r="I3" s="514"/>
      <c r="J3" s="1363" t="s">
        <v>917</v>
      </c>
      <c r="K3" s="1363"/>
      <c r="L3" s="186"/>
      <c r="M3" s="1363" t="s">
        <v>918</v>
      </c>
      <c r="N3" s="1363"/>
      <c r="O3" s="514"/>
      <c r="P3" s="1363" t="s">
        <v>919</v>
      </c>
      <c r="Q3" s="1363"/>
      <c r="R3" s="1363"/>
      <c r="S3" s="1363"/>
    </row>
    <row r="4" spans="1:22" ht="38.25">
      <c r="A4" s="187" t="s">
        <v>4</v>
      </c>
      <c r="B4" s="188" t="s">
        <v>5</v>
      </c>
      <c r="C4" s="188" t="s">
        <v>253</v>
      </c>
      <c r="D4" s="560" t="s">
        <v>920</v>
      </c>
      <c r="E4" s="560" t="s">
        <v>328</v>
      </c>
      <c r="F4" s="186"/>
      <c r="G4" s="560" t="s">
        <v>920</v>
      </c>
      <c r="H4" s="560" t="s">
        <v>328</v>
      </c>
      <c r="I4" s="186"/>
      <c r="J4" s="560" t="s">
        <v>920</v>
      </c>
      <c r="K4" s="560" t="s">
        <v>328</v>
      </c>
      <c r="L4" s="186"/>
      <c r="M4" s="560" t="s">
        <v>920</v>
      </c>
      <c r="N4" s="560" t="s">
        <v>328</v>
      </c>
      <c r="O4" s="186"/>
      <c r="P4" s="552" t="s">
        <v>916</v>
      </c>
      <c r="Q4" s="552" t="s">
        <v>2</v>
      </c>
      <c r="R4" s="552" t="s">
        <v>3</v>
      </c>
      <c r="S4" s="552" t="s">
        <v>918</v>
      </c>
    </row>
    <row r="5" spans="1:22">
      <c r="A5" s="547" t="s">
        <v>8</v>
      </c>
      <c r="B5" s="548" t="s">
        <v>9</v>
      </c>
      <c r="C5" s="548"/>
      <c r="D5" s="564">
        <v>444292</v>
      </c>
      <c r="E5" s="565">
        <v>1635360</v>
      </c>
      <c r="F5" s="549"/>
      <c r="G5" s="561">
        <v>203435</v>
      </c>
      <c r="H5" s="561">
        <v>1044656</v>
      </c>
      <c r="I5" s="551"/>
      <c r="J5" s="561">
        <v>178609</v>
      </c>
      <c r="K5" s="561">
        <v>322077</v>
      </c>
      <c r="L5" s="551"/>
      <c r="M5" s="561">
        <v>49259</v>
      </c>
      <c r="N5" s="561">
        <v>173510</v>
      </c>
      <c r="O5" s="550"/>
      <c r="P5" s="553">
        <f>(D5/E5)*100</f>
        <v>27.167840720086094</v>
      </c>
      <c r="Q5" s="553">
        <f>(G5/H5)*100</f>
        <v>19.473874653474446</v>
      </c>
      <c r="R5" s="553">
        <f>(J5/K5)*100</f>
        <v>55.455372473042161</v>
      </c>
      <c r="S5" s="553">
        <f>IF(N5&lt;1,"NA", ((M5/N5)*100))</f>
        <v>28.389718171863294</v>
      </c>
    </row>
    <row r="6" spans="1:22">
      <c r="A6" s="189" t="s">
        <v>10</v>
      </c>
      <c r="B6" s="190" t="s">
        <v>11</v>
      </c>
      <c r="C6" s="191" t="s">
        <v>272</v>
      </c>
      <c r="D6" s="566">
        <v>2089</v>
      </c>
      <c r="E6" s="567">
        <v>5645</v>
      </c>
      <c r="F6" s="192"/>
      <c r="G6" s="562">
        <v>869</v>
      </c>
      <c r="H6" s="562">
        <v>3396</v>
      </c>
      <c r="I6" s="194"/>
      <c r="J6" s="562">
        <v>1026</v>
      </c>
      <c r="K6" s="562">
        <v>1557</v>
      </c>
      <c r="L6" s="195"/>
      <c r="M6" s="562">
        <v>245</v>
      </c>
      <c r="N6" s="562">
        <v>921</v>
      </c>
      <c r="O6" s="193"/>
      <c r="P6" s="554">
        <f t="shared" ref="P6:P69" si="0">(D6/E6)*100</f>
        <v>37.006200177147917</v>
      </c>
      <c r="Q6" s="555">
        <f t="shared" ref="Q6:Q69" si="1">(G6/H6)*100</f>
        <v>25.588928150765604</v>
      </c>
      <c r="R6" s="555">
        <f t="shared" ref="R6:R69" si="2">(J6/K6)*100</f>
        <v>65.895953757225428</v>
      </c>
      <c r="S6" s="554">
        <f t="shared" ref="S6:S69" si="3">IF(N6&lt;1,"NA", ((M6/N6)*100))</f>
        <v>26.601520086862106</v>
      </c>
      <c r="T6" s="196"/>
      <c r="U6" s="197"/>
      <c r="V6" s="197"/>
    </row>
    <row r="7" spans="1:22">
      <c r="A7" s="189" t="s">
        <v>12</v>
      </c>
      <c r="B7" s="190" t="s">
        <v>13</v>
      </c>
      <c r="C7" s="191" t="s">
        <v>273</v>
      </c>
      <c r="D7" s="566">
        <v>4442</v>
      </c>
      <c r="E7" s="567">
        <v>19580</v>
      </c>
      <c r="F7" s="192"/>
      <c r="G7" s="562">
        <v>2663</v>
      </c>
      <c r="H7" s="562">
        <v>15250</v>
      </c>
      <c r="I7" s="195"/>
      <c r="J7" s="562">
        <v>1081</v>
      </c>
      <c r="K7" s="562">
        <v>1788</v>
      </c>
      <c r="L7" s="195"/>
      <c r="M7" s="562">
        <v>461</v>
      </c>
      <c r="N7" s="562">
        <v>1462</v>
      </c>
      <c r="O7" s="193"/>
      <c r="P7" s="554">
        <f t="shared" si="0"/>
        <v>22.68641470888662</v>
      </c>
      <c r="Q7" s="555">
        <f t="shared" si="1"/>
        <v>17.462295081967213</v>
      </c>
      <c r="R7" s="555">
        <f t="shared" si="2"/>
        <v>60.458612975391503</v>
      </c>
      <c r="S7" s="554">
        <f t="shared" si="3"/>
        <v>31.532147742818058</v>
      </c>
      <c r="T7" s="196"/>
      <c r="U7" s="197"/>
      <c r="V7" s="197"/>
    </row>
    <row r="8" spans="1:22">
      <c r="A8" s="189" t="s">
        <v>16</v>
      </c>
      <c r="B8" s="190" t="s">
        <v>868</v>
      </c>
      <c r="C8" s="191" t="s">
        <v>273</v>
      </c>
      <c r="D8" s="566">
        <v>1246</v>
      </c>
      <c r="E8" s="567">
        <v>4119</v>
      </c>
      <c r="F8" s="192"/>
      <c r="G8" s="562">
        <v>970</v>
      </c>
      <c r="H8" s="562">
        <v>3662</v>
      </c>
      <c r="I8" s="195"/>
      <c r="J8" s="562">
        <v>167</v>
      </c>
      <c r="K8" s="562">
        <v>244</v>
      </c>
      <c r="L8" s="195"/>
      <c r="M8" s="562">
        <v>24</v>
      </c>
      <c r="N8" s="562">
        <v>71</v>
      </c>
      <c r="O8" s="193"/>
      <c r="P8" s="554">
        <f t="shared" si="0"/>
        <v>30.25006069434329</v>
      </c>
      <c r="Q8" s="555">
        <f t="shared" si="1"/>
        <v>26.488257782632441</v>
      </c>
      <c r="R8" s="555">
        <f t="shared" si="2"/>
        <v>68.442622950819683</v>
      </c>
      <c r="S8" s="554">
        <f t="shared" si="3"/>
        <v>33.802816901408448</v>
      </c>
      <c r="T8" s="196"/>
      <c r="U8" s="197"/>
      <c r="V8" s="197"/>
    </row>
    <row r="9" spans="1:22">
      <c r="A9" s="189" t="s">
        <v>18</v>
      </c>
      <c r="B9" s="190" t="s">
        <v>19</v>
      </c>
      <c r="C9" s="191" t="s">
        <v>275</v>
      </c>
      <c r="D9" s="566">
        <v>628</v>
      </c>
      <c r="E9" s="567">
        <v>2321</v>
      </c>
      <c r="F9" s="192"/>
      <c r="G9" s="562">
        <v>381</v>
      </c>
      <c r="H9" s="562">
        <v>1778</v>
      </c>
      <c r="I9" s="195"/>
      <c r="J9" s="562">
        <v>210</v>
      </c>
      <c r="K9" s="562">
        <v>413</v>
      </c>
      <c r="L9" s="195"/>
      <c r="M9" s="562">
        <v>19</v>
      </c>
      <c r="N9" s="562">
        <v>79</v>
      </c>
      <c r="O9" s="193"/>
      <c r="P9" s="554">
        <f t="shared" si="0"/>
        <v>27.057302886686774</v>
      </c>
      <c r="Q9" s="555">
        <f t="shared" si="1"/>
        <v>21.428571428571427</v>
      </c>
      <c r="R9" s="555">
        <f t="shared" si="2"/>
        <v>50.847457627118644</v>
      </c>
      <c r="S9" s="554">
        <f t="shared" si="3"/>
        <v>24.050632911392405</v>
      </c>
      <c r="T9" s="196"/>
      <c r="U9" s="197"/>
      <c r="V9" s="197"/>
    </row>
    <row r="10" spans="1:22">
      <c r="A10" s="189" t="s">
        <v>20</v>
      </c>
      <c r="B10" s="190" t="s">
        <v>21</v>
      </c>
      <c r="C10" s="191" t="s">
        <v>273</v>
      </c>
      <c r="D10" s="566">
        <v>1922</v>
      </c>
      <c r="E10" s="567">
        <v>5977</v>
      </c>
      <c r="F10" s="192"/>
      <c r="G10" s="562">
        <v>1150</v>
      </c>
      <c r="H10" s="562">
        <v>4492</v>
      </c>
      <c r="I10" s="195"/>
      <c r="J10" s="562">
        <v>576</v>
      </c>
      <c r="K10" s="562">
        <v>1038</v>
      </c>
      <c r="L10" s="195"/>
      <c r="M10" s="562">
        <v>54</v>
      </c>
      <c r="N10" s="562">
        <v>169</v>
      </c>
      <c r="O10" s="193"/>
      <c r="P10" s="554">
        <f t="shared" si="0"/>
        <v>32.156600301154427</v>
      </c>
      <c r="Q10" s="555">
        <f t="shared" si="1"/>
        <v>25.601068566340164</v>
      </c>
      <c r="R10" s="555">
        <f t="shared" si="2"/>
        <v>55.49132947976878</v>
      </c>
      <c r="S10" s="554">
        <f t="shared" si="3"/>
        <v>31.952662721893493</v>
      </c>
      <c r="T10" s="196"/>
      <c r="U10" s="197"/>
      <c r="V10" s="197"/>
    </row>
    <row r="11" spans="1:22">
      <c r="A11" s="189" t="s">
        <v>22</v>
      </c>
      <c r="B11" s="190" t="s">
        <v>23</v>
      </c>
      <c r="C11" s="191" t="s">
        <v>273</v>
      </c>
      <c r="D11" s="566">
        <v>845</v>
      </c>
      <c r="E11" s="567">
        <v>2826</v>
      </c>
      <c r="F11" s="192"/>
      <c r="G11" s="562">
        <v>448</v>
      </c>
      <c r="H11" s="562">
        <v>2111</v>
      </c>
      <c r="I11" s="195"/>
      <c r="J11" s="562">
        <v>342</v>
      </c>
      <c r="K11" s="562">
        <v>581</v>
      </c>
      <c r="L11" s="195"/>
      <c r="M11" s="562">
        <v>20</v>
      </c>
      <c r="N11" s="562">
        <v>48</v>
      </c>
      <c r="O11" s="193"/>
      <c r="P11" s="554">
        <f t="shared" si="0"/>
        <v>29.900920028308565</v>
      </c>
      <c r="Q11" s="555">
        <f t="shared" si="1"/>
        <v>21.222169587873047</v>
      </c>
      <c r="R11" s="555">
        <f t="shared" si="2"/>
        <v>58.86402753872634</v>
      </c>
      <c r="S11" s="554">
        <f t="shared" si="3"/>
        <v>41.666666666666671</v>
      </c>
      <c r="T11" s="196"/>
      <c r="U11" s="197"/>
      <c r="V11" s="197"/>
    </row>
    <row r="12" spans="1:22">
      <c r="A12" s="189" t="s">
        <v>24</v>
      </c>
      <c r="B12" s="190" t="s">
        <v>25</v>
      </c>
      <c r="C12" s="191" t="s">
        <v>276</v>
      </c>
      <c r="D12" s="566">
        <v>5359</v>
      </c>
      <c r="E12" s="567">
        <v>30162</v>
      </c>
      <c r="F12" s="192"/>
      <c r="G12" s="562">
        <v>2466</v>
      </c>
      <c r="H12" s="562">
        <v>19885</v>
      </c>
      <c r="I12" s="195"/>
      <c r="J12" s="562">
        <v>1226</v>
      </c>
      <c r="K12" s="562">
        <v>2625</v>
      </c>
      <c r="L12" s="195"/>
      <c r="M12" s="562">
        <v>1695</v>
      </c>
      <c r="N12" s="562">
        <v>6108</v>
      </c>
      <c r="O12" s="193"/>
      <c r="P12" s="554">
        <f t="shared" si="0"/>
        <v>17.767389430409125</v>
      </c>
      <c r="Q12" s="555">
        <f t="shared" si="1"/>
        <v>12.401307518229823</v>
      </c>
      <c r="R12" s="555">
        <f t="shared" si="2"/>
        <v>46.704761904761902</v>
      </c>
      <c r="S12" s="554">
        <f t="shared" si="3"/>
        <v>27.75049115913556</v>
      </c>
      <c r="T12" s="196"/>
      <c r="U12" s="197"/>
      <c r="V12" s="197"/>
    </row>
    <row r="13" spans="1:22">
      <c r="A13" s="189" t="s">
        <v>26</v>
      </c>
      <c r="B13" s="190" t="s">
        <v>1114</v>
      </c>
      <c r="C13" s="191" t="s">
        <v>273</v>
      </c>
      <c r="D13" s="566">
        <v>6433</v>
      </c>
      <c r="E13" s="567">
        <v>22064</v>
      </c>
      <c r="F13" s="192"/>
      <c r="G13" s="562">
        <v>4824</v>
      </c>
      <c r="H13" s="562">
        <v>19009</v>
      </c>
      <c r="I13" s="195"/>
      <c r="J13" s="562">
        <v>876</v>
      </c>
      <c r="K13" s="562">
        <v>1361</v>
      </c>
      <c r="L13" s="195"/>
      <c r="M13" s="562">
        <v>359</v>
      </c>
      <c r="N13" s="562">
        <v>1159</v>
      </c>
      <c r="O13" s="193"/>
      <c r="P13" s="554">
        <f t="shared" si="0"/>
        <v>29.156091370558375</v>
      </c>
      <c r="Q13" s="555">
        <f t="shared" si="1"/>
        <v>25.377452785522646</v>
      </c>
      <c r="R13" s="555">
        <f t="shared" si="2"/>
        <v>64.364437913299042</v>
      </c>
      <c r="S13" s="554">
        <f t="shared" si="3"/>
        <v>30.97497842968076</v>
      </c>
      <c r="T13" s="196"/>
      <c r="U13" s="197"/>
      <c r="V13" s="197"/>
    </row>
    <row r="14" spans="1:22">
      <c r="A14" s="189" t="s">
        <v>27</v>
      </c>
      <c r="B14" s="190" t="s">
        <v>28</v>
      </c>
      <c r="C14" s="191" t="s">
        <v>273</v>
      </c>
      <c r="D14" s="566">
        <v>162</v>
      </c>
      <c r="E14" s="567">
        <v>710</v>
      </c>
      <c r="F14" s="192"/>
      <c r="G14" s="562">
        <v>142</v>
      </c>
      <c r="H14" s="562">
        <v>664</v>
      </c>
      <c r="I14" s="195"/>
      <c r="J14" s="562">
        <v>7</v>
      </c>
      <c r="K14" s="562">
        <v>24</v>
      </c>
      <c r="L14" s="195"/>
      <c r="M14" s="562">
        <v>8</v>
      </c>
      <c r="N14" s="562">
        <v>29</v>
      </c>
      <c r="O14" s="193"/>
      <c r="P14" s="554">
        <f t="shared" si="0"/>
        <v>22.816901408450704</v>
      </c>
      <c r="Q14" s="555">
        <f t="shared" si="1"/>
        <v>21.385542168674696</v>
      </c>
      <c r="R14" s="555">
        <f t="shared" si="2"/>
        <v>29.166666666666668</v>
      </c>
      <c r="S14" s="554">
        <f t="shared" si="3"/>
        <v>27.586206896551722</v>
      </c>
      <c r="T14" s="196"/>
      <c r="U14" s="197"/>
      <c r="V14" s="197"/>
    </row>
    <row r="15" spans="1:22">
      <c r="A15" s="189" t="s">
        <v>29</v>
      </c>
      <c r="B15" s="190" t="s">
        <v>886</v>
      </c>
      <c r="C15" s="191" t="s">
        <v>273</v>
      </c>
      <c r="D15" s="566">
        <v>3036</v>
      </c>
      <c r="E15" s="567">
        <v>14897</v>
      </c>
      <c r="F15" s="192"/>
      <c r="G15" s="562">
        <v>2416</v>
      </c>
      <c r="H15" s="562">
        <v>13271</v>
      </c>
      <c r="I15" s="195"/>
      <c r="J15" s="562">
        <v>392</v>
      </c>
      <c r="K15" s="562">
        <v>843</v>
      </c>
      <c r="L15" s="195"/>
      <c r="M15" s="562">
        <v>117</v>
      </c>
      <c r="N15" s="562">
        <v>408</v>
      </c>
      <c r="O15" s="193"/>
      <c r="P15" s="554">
        <f t="shared" si="0"/>
        <v>20.379942270255757</v>
      </c>
      <c r="Q15" s="555">
        <f t="shared" si="1"/>
        <v>18.205108884032853</v>
      </c>
      <c r="R15" s="555">
        <f t="shared" si="2"/>
        <v>46.500593119810205</v>
      </c>
      <c r="S15" s="554">
        <f t="shared" si="3"/>
        <v>28.676470588235293</v>
      </c>
      <c r="T15" s="196"/>
      <c r="U15" s="197"/>
      <c r="V15" s="197"/>
    </row>
    <row r="16" spans="1:22">
      <c r="A16" s="189" t="s">
        <v>31</v>
      </c>
      <c r="B16" s="190" t="s">
        <v>32</v>
      </c>
      <c r="C16" s="191" t="s">
        <v>278</v>
      </c>
      <c r="D16" s="566">
        <v>216</v>
      </c>
      <c r="E16" s="567">
        <v>1053</v>
      </c>
      <c r="F16" s="192"/>
      <c r="G16" s="562">
        <v>211</v>
      </c>
      <c r="H16" s="562">
        <v>1023</v>
      </c>
      <c r="I16" s="195"/>
      <c r="J16" s="562">
        <v>3</v>
      </c>
      <c r="K16" s="562">
        <v>9</v>
      </c>
      <c r="L16" s="195"/>
      <c r="M16" s="562">
        <v>2</v>
      </c>
      <c r="N16" s="562">
        <v>7</v>
      </c>
      <c r="O16" s="193"/>
      <c r="P16" s="554">
        <f t="shared" si="0"/>
        <v>20.512820512820511</v>
      </c>
      <c r="Q16" s="555">
        <f t="shared" si="1"/>
        <v>20.625610948191593</v>
      </c>
      <c r="R16" s="555">
        <f t="shared" si="2"/>
        <v>33.333333333333329</v>
      </c>
      <c r="S16" s="554">
        <f t="shared" si="3"/>
        <v>28.571428571428569</v>
      </c>
      <c r="T16" s="196"/>
      <c r="U16" s="197"/>
      <c r="V16" s="197"/>
    </row>
    <row r="17" spans="1:22">
      <c r="A17" s="189" t="s">
        <v>33</v>
      </c>
      <c r="B17" s="190" t="s">
        <v>34</v>
      </c>
      <c r="C17" s="191" t="s">
        <v>273</v>
      </c>
      <c r="D17" s="566">
        <v>1217</v>
      </c>
      <c r="E17" s="567">
        <v>6697</v>
      </c>
      <c r="F17" s="192"/>
      <c r="G17" s="562">
        <v>1121</v>
      </c>
      <c r="H17" s="562">
        <v>6321</v>
      </c>
      <c r="I17" s="195"/>
      <c r="J17" s="562">
        <v>39</v>
      </c>
      <c r="K17" s="562">
        <v>149</v>
      </c>
      <c r="L17" s="195"/>
      <c r="M17" s="562">
        <v>27</v>
      </c>
      <c r="N17" s="562">
        <v>113</v>
      </c>
      <c r="O17" s="193"/>
      <c r="P17" s="554">
        <f t="shared" si="0"/>
        <v>18.172315962371211</v>
      </c>
      <c r="Q17" s="555">
        <f t="shared" si="1"/>
        <v>17.73453567473501</v>
      </c>
      <c r="R17" s="555">
        <f t="shared" si="2"/>
        <v>26.174496644295303</v>
      </c>
      <c r="S17" s="554">
        <f t="shared" si="3"/>
        <v>23.893805309734514</v>
      </c>
      <c r="T17" s="196"/>
      <c r="U17" s="197"/>
      <c r="V17" s="197"/>
    </row>
    <row r="18" spans="1:22">
      <c r="A18" s="189" t="s">
        <v>37</v>
      </c>
      <c r="B18" s="190" t="s">
        <v>38</v>
      </c>
      <c r="C18" s="191" t="s">
        <v>272</v>
      </c>
      <c r="D18" s="566">
        <v>1326</v>
      </c>
      <c r="E18" s="567">
        <v>2644</v>
      </c>
      <c r="F18" s="192"/>
      <c r="G18" s="562">
        <v>310</v>
      </c>
      <c r="H18" s="562">
        <v>965</v>
      </c>
      <c r="I18" s="195"/>
      <c r="J18" s="562">
        <v>970</v>
      </c>
      <c r="K18" s="562">
        <v>1569</v>
      </c>
      <c r="L18" s="195"/>
      <c r="M18" s="562">
        <v>28</v>
      </c>
      <c r="N18" s="562">
        <v>82</v>
      </c>
      <c r="O18" s="193"/>
      <c r="P18" s="554">
        <f t="shared" si="0"/>
        <v>50.151285930408477</v>
      </c>
      <c r="Q18" s="555">
        <f t="shared" si="1"/>
        <v>32.124352331606218</v>
      </c>
      <c r="R18" s="555">
        <f t="shared" si="2"/>
        <v>61.822817080943274</v>
      </c>
      <c r="S18" s="554">
        <f t="shared" si="3"/>
        <v>34.146341463414636</v>
      </c>
      <c r="T18" s="196"/>
      <c r="U18" s="197"/>
      <c r="V18" s="197"/>
    </row>
    <row r="19" spans="1:22">
      <c r="A19" s="189" t="s">
        <v>39</v>
      </c>
      <c r="B19" s="190" t="s">
        <v>40</v>
      </c>
      <c r="C19" s="191" t="s">
        <v>278</v>
      </c>
      <c r="D19" s="566">
        <v>990</v>
      </c>
      <c r="E19" s="567">
        <v>3681</v>
      </c>
      <c r="F19" s="192"/>
      <c r="G19" s="562">
        <v>972</v>
      </c>
      <c r="H19" s="562">
        <v>3643</v>
      </c>
      <c r="I19" s="195"/>
      <c r="J19" s="562">
        <v>5</v>
      </c>
      <c r="K19" s="562">
        <v>6</v>
      </c>
      <c r="L19" s="195"/>
      <c r="M19" s="562">
        <v>9</v>
      </c>
      <c r="N19" s="562">
        <v>14</v>
      </c>
      <c r="O19" s="193"/>
      <c r="P19" s="554">
        <f t="shared" si="0"/>
        <v>26.894865525672373</v>
      </c>
      <c r="Q19" s="555">
        <f t="shared" si="1"/>
        <v>26.681306615426848</v>
      </c>
      <c r="R19" s="555">
        <f t="shared" si="2"/>
        <v>83.333333333333343</v>
      </c>
      <c r="S19" s="554">
        <f t="shared" si="3"/>
        <v>64.285714285714292</v>
      </c>
      <c r="T19" s="196"/>
      <c r="U19" s="197"/>
      <c r="V19" s="197"/>
    </row>
    <row r="20" spans="1:22">
      <c r="A20" s="189" t="s">
        <v>41</v>
      </c>
      <c r="B20" s="190" t="s">
        <v>42</v>
      </c>
      <c r="C20" s="191" t="s">
        <v>275</v>
      </c>
      <c r="D20" s="566">
        <v>1017</v>
      </c>
      <c r="E20" s="567">
        <v>2708</v>
      </c>
      <c r="F20" s="192"/>
      <c r="G20" s="562">
        <v>480</v>
      </c>
      <c r="H20" s="562">
        <v>1752</v>
      </c>
      <c r="I20" s="195"/>
      <c r="J20" s="562">
        <v>454</v>
      </c>
      <c r="K20" s="562">
        <v>786</v>
      </c>
      <c r="L20" s="195"/>
      <c r="M20" s="562">
        <v>29</v>
      </c>
      <c r="N20" s="562">
        <v>68</v>
      </c>
      <c r="O20" s="193"/>
      <c r="P20" s="554">
        <f t="shared" si="0"/>
        <v>37.55539143279173</v>
      </c>
      <c r="Q20" s="555">
        <f t="shared" si="1"/>
        <v>27.397260273972602</v>
      </c>
      <c r="R20" s="555">
        <f t="shared" si="2"/>
        <v>57.760814249363868</v>
      </c>
      <c r="S20" s="554">
        <f t="shared" si="3"/>
        <v>42.647058823529413</v>
      </c>
      <c r="T20" s="196"/>
      <c r="U20" s="197"/>
      <c r="V20" s="197"/>
    </row>
    <row r="21" spans="1:22">
      <c r="A21" s="189" t="s">
        <v>43</v>
      </c>
      <c r="B21" s="190" t="s">
        <v>44</v>
      </c>
      <c r="C21" s="191" t="s">
        <v>273</v>
      </c>
      <c r="D21" s="566">
        <v>2981</v>
      </c>
      <c r="E21" s="567">
        <v>10559</v>
      </c>
      <c r="F21" s="192"/>
      <c r="G21" s="562">
        <v>1998</v>
      </c>
      <c r="H21" s="562">
        <v>8538</v>
      </c>
      <c r="I21" s="195"/>
      <c r="J21" s="562">
        <v>714</v>
      </c>
      <c r="K21" s="562">
        <v>1322</v>
      </c>
      <c r="L21" s="195"/>
      <c r="M21" s="562">
        <v>93</v>
      </c>
      <c r="N21" s="562">
        <v>248</v>
      </c>
      <c r="O21" s="193"/>
      <c r="P21" s="554">
        <f t="shared" si="0"/>
        <v>28.231840136376551</v>
      </c>
      <c r="Q21" s="555">
        <f t="shared" si="1"/>
        <v>23.401264933239634</v>
      </c>
      <c r="R21" s="555">
        <f t="shared" si="2"/>
        <v>54.0090771558245</v>
      </c>
      <c r="S21" s="554">
        <f t="shared" si="3"/>
        <v>37.5</v>
      </c>
      <c r="T21" s="196"/>
      <c r="U21" s="197"/>
      <c r="V21" s="197"/>
    </row>
    <row r="22" spans="1:22">
      <c r="A22" s="189" t="s">
        <v>45</v>
      </c>
      <c r="B22" s="190" t="s">
        <v>46</v>
      </c>
      <c r="C22" s="191" t="s">
        <v>275</v>
      </c>
      <c r="D22" s="566">
        <v>1585</v>
      </c>
      <c r="E22" s="567">
        <v>5526</v>
      </c>
      <c r="F22" s="192"/>
      <c r="G22" s="562">
        <v>825</v>
      </c>
      <c r="H22" s="562">
        <v>3670</v>
      </c>
      <c r="I22" s="195"/>
      <c r="J22" s="562">
        <v>590</v>
      </c>
      <c r="K22" s="562">
        <v>1349</v>
      </c>
      <c r="L22" s="195"/>
      <c r="M22" s="562">
        <v>81</v>
      </c>
      <c r="N22" s="562">
        <v>311</v>
      </c>
      <c r="O22" s="193"/>
      <c r="P22" s="554">
        <f t="shared" si="0"/>
        <v>28.682591386174451</v>
      </c>
      <c r="Q22" s="555">
        <f t="shared" si="1"/>
        <v>22.479564032697546</v>
      </c>
      <c r="R22" s="555">
        <f t="shared" si="2"/>
        <v>43.73610081541883</v>
      </c>
      <c r="S22" s="554">
        <f t="shared" si="3"/>
        <v>26.04501607717042</v>
      </c>
      <c r="T22" s="196"/>
      <c r="U22" s="197"/>
      <c r="V22" s="197"/>
    </row>
    <row r="23" spans="1:22">
      <c r="A23" s="189" t="s">
        <v>47</v>
      </c>
      <c r="B23" s="190" t="s">
        <v>48</v>
      </c>
      <c r="C23" s="191" t="s">
        <v>278</v>
      </c>
      <c r="D23" s="566">
        <v>1519</v>
      </c>
      <c r="E23" s="567">
        <v>5425</v>
      </c>
      <c r="F23" s="192"/>
      <c r="G23" s="562">
        <v>1414</v>
      </c>
      <c r="H23" s="562">
        <v>5157</v>
      </c>
      <c r="I23" s="195"/>
      <c r="J23" s="562">
        <v>22</v>
      </c>
      <c r="K23" s="562">
        <v>37</v>
      </c>
      <c r="L23" s="195"/>
      <c r="M23" s="562">
        <v>94</v>
      </c>
      <c r="N23" s="562">
        <v>262</v>
      </c>
      <c r="O23" s="193"/>
      <c r="P23" s="554">
        <f t="shared" si="0"/>
        <v>28.000000000000004</v>
      </c>
      <c r="Q23" s="555">
        <f t="shared" si="1"/>
        <v>27.419042078727941</v>
      </c>
      <c r="R23" s="555">
        <f t="shared" si="2"/>
        <v>59.45945945945946</v>
      </c>
      <c r="S23" s="554">
        <f t="shared" si="3"/>
        <v>35.877862595419849</v>
      </c>
      <c r="T23" s="196"/>
      <c r="U23" s="197"/>
      <c r="V23" s="197"/>
    </row>
    <row r="24" spans="1:22">
      <c r="A24" s="189" t="s">
        <v>49</v>
      </c>
      <c r="B24" s="190" t="s">
        <v>279</v>
      </c>
      <c r="C24" s="191" t="s">
        <v>275</v>
      </c>
      <c r="D24" s="566">
        <v>299</v>
      </c>
      <c r="E24" s="567">
        <v>948</v>
      </c>
      <c r="F24" s="192"/>
      <c r="G24" s="562">
        <v>85</v>
      </c>
      <c r="H24" s="562">
        <v>426</v>
      </c>
      <c r="I24" s="195"/>
      <c r="J24" s="562">
        <v>184</v>
      </c>
      <c r="K24" s="562">
        <v>381</v>
      </c>
      <c r="L24" s="195"/>
      <c r="M24" s="562">
        <v>5</v>
      </c>
      <c r="N24" s="562">
        <v>17</v>
      </c>
      <c r="O24" s="193"/>
      <c r="P24" s="554">
        <f t="shared" si="0"/>
        <v>31.540084388185651</v>
      </c>
      <c r="Q24" s="555">
        <f t="shared" si="1"/>
        <v>19.953051643192488</v>
      </c>
      <c r="R24" s="555">
        <f t="shared" si="2"/>
        <v>48.293963254593173</v>
      </c>
      <c r="S24" s="554">
        <f t="shared" si="3"/>
        <v>29.411764705882355</v>
      </c>
      <c r="T24" s="196"/>
      <c r="U24" s="197"/>
      <c r="V24" s="197"/>
    </row>
    <row r="25" spans="1:22">
      <c r="A25" s="189" t="s">
        <v>51</v>
      </c>
      <c r="B25" s="190" t="s">
        <v>52</v>
      </c>
      <c r="C25" s="191" t="s">
        <v>273</v>
      </c>
      <c r="D25" s="566">
        <v>821</v>
      </c>
      <c r="E25" s="567">
        <v>2418</v>
      </c>
      <c r="F25" s="192"/>
      <c r="G25" s="562">
        <v>398</v>
      </c>
      <c r="H25" s="562">
        <v>1615</v>
      </c>
      <c r="I25" s="195"/>
      <c r="J25" s="562">
        <v>375</v>
      </c>
      <c r="K25" s="562">
        <v>687</v>
      </c>
      <c r="L25" s="195"/>
      <c r="M25" s="562">
        <v>34</v>
      </c>
      <c r="N25" s="562">
        <v>66</v>
      </c>
      <c r="O25" s="193"/>
      <c r="P25" s="554">
        <f t="shared" si="0"/>
        <v>33.953680727874271</v>
      </c>
      <c r="Q25" s="555">
        <f t="shared" si="1"/>
        <v>24.643962848297214</v>
      </c>
      <c r="R25" s="555">
        <f t="shared" si="2"/>
        <v>54.585152838427952</v>
      </c>
      <c r="S25" s="554">
        <f t="shared" si="3"/>
        <v>51.515151515151516</v>
      </c>
      <c r="T25" s="196"/>
      <c r="U25" s="197"/>
      <c r="V25" s="197"/>
    </row>
    <row r="26" spans="1:22">
      <c r="A26" s="189" t="s">
        <v>57</v>
      </c>
      <c r="B26" s="190" t="s">
        <v>362</v>
      </c>
      <c r="C26" s="191" t="s">
        <v>275</v>
      </c>
      <c r="D26" s="566">
        <v>20205</v>
      </c>
      <c r="E26" s="567">
        <v>77370</v>
      </c>
      <c r="F26" s="192"/>
      <c r="G26" s="562">
        <v>9324</v>
      </c>
      <c r="H26" s="562">
        <v>49962</v>
      </c>
      <c r="I26" s="195"/>
      <c r="J26" s="562">
        <v>8120</v>
      </c>
      <c r="K26" s="562">
        <v>17070</v>
      </c>
      <c r="L26" s="195"/>
      <c r="M26" s="562">
        <v>2199</v>
      </c>
      <c r="N26" s="562">
        <v>7351</v>
      </c>
      <c r="O26" s="193"/>
      <c r="P26" s="554">
        <f t="shared" si="0"/>
        <v>26.114773167894533</v>
      </c>
      <c r="Q26" s="555">
        <f t="shared" si="1"/>
        <v>18.66218325927705</v>
      </c>
      <c r="R26" s="555">
        <f t="shared" si="2"/>
        <v>47.568834212067955</v>
      </c>
      <c r="S26" s="554">
        <f t="shared" si="3"/>
        <v>29.914297374506869</v>
      </c>
      <c r="T26" s="196"/>
      <c r="U26" s="197"/>
      <c r="V26" s="197"/>
    </row>
    <row r="27" spans="1:22">
      <c r="A27" s="189" t="s">
        <v>59</v>
      </c>
      <c r="B27" s="190" t="s">
        <v>60</v>
      </c>
      <c r="C27" s="191" t="s">
        <v>276</v>
      </c>
      <c r="D27" s="566">
        <v>537</v>
      </c>
      <c r="E27" s="567">
        <v>2896</v>
      </c>
      <c r="F27" s="192"/>
      <c r="G27" s="562">
        <v>447</v>
      </c>
      <c r="H27" s="562">
        <v>2583</v>
      </c>
      <c r="I27" s="195"/>
      <c r="J27" s="562">
        <v>40</v>
      </c>
      <c r="K27" s="562">
        <v>89</v>
      </c>
      <c r="L27" s="195"/>
      <c r="M27" s="562">
        <v>32</v>
      </c>
      <c r="N27" s="562">
        <v>168</v>
      </c>
      <c r="O27" s="193"/>
      <c r="P27" s="554">
        <f t="shared" si="0"/>
        <v>18.542817679558009</v>
      </c>
      <c r="Q27" s="555">
        <f t="shared" si="1"/>
        <v>17.305458768873404</v>
      </c>
      <c r="R27" s="555">
        <f t="shared" si="2"/>
        <v>44.943820224719097</v>
      </c>
      <c r="S27" s="554">
        <f t="shared" si="3"/>
        <v>19.047619047619047</v>
      </c>
      <c r="T27" s="196"/>
      <c r="U27" s="197"/>
      <c r="V27" s="197"/>
    </row>
    <row r="28" spans="1:22">
      <c r="A28" s="189" t="s">
        <v>61</v>
      </c>
      <c r="B28" s="190" t="s">
        <v>62</v>
      </c>
      <c r="C28" s="191" t="s">
        <v>273</v>
      </c>
      <c r="D28" s="566">
        <v>220</v>
      </c>
      <c r="E28" s="567">
        <v>966</v>
      </c>
      <c r="F28" s="192"/>
      <c r="G28" s="562">
        <v>217</v>
      </c>
      <c r="H28" s="562">
        <v>946</v>
      </c>
      <c r="I28" s="195"/>
      <c r="J28" s="562">
        <v>0</v>
      </c>
      <c r="K28" s="562">
        <v>2</v>
      </c>
      <c r="L28" s="195"/>
      <c r="M28" s="562">
        <v>2</v>
      </c>
      <c r="N28" s="562">
        <v>11</v>
      </c>
      <c r="O28" s="193"/>
      <c r="P28" s="554">
        <f t="shared" si="0"/>
        <v>22.77432712215321</v>
      </c>
      <c r="Q28" s="555">
        <f t="shared" si="1"/>
        <v>22.938689217758984</v>
      </c>
      <c r="R28" s="555">
        <f t="shared" si="2"/>
        <v>0</v>
      </c>
      <c r="S28" s="554">
        <f t="shared" si="3"/>
        <v>18.181818181818183</v>
      </c>
      <c r="T28" s="196"/>
      <c r="U28" s="197"/>
      <c r="V28" s="197"/>
    </row>
    <row r="29" spans="1:22">
      <c r="A29" s="189" t="s">
        <v>63</v>
      </c>
      <c r="B29" s="190" t="s">
        <v>64</v>
      </c>
      <c r="C29" s="191" t="s">
        <v>276</v>
      </c>
      <c r="D29" s="566">
        <v>2536</v>
      </c>
      <c r="E29" s="567">
        <v>10317</v>
      </c>
      <c r="F29" s="192"/>
      <c r="G29" s="562">
        <v>1365</v>
      </c>
      <c r="H29" s="562">
        <v>7457</v>
      </c>
      <c r="I29" s="195"/>
      <c r="J29" s="562">
        <v>679</v>
      </c>
      <c r="K29" s="562">
        <v>1310</v>
      </c>
      <c r="L29" s="195"/>
      <c r="M29" s="562">
        <v>341</v>
      </c>
      <c r="N29" s="562">
        <v>1258</v>
      </c>
      <c r="O29" s="193"/>
      <c r="P29" s="554">
        <f t="shared" si="0"/>
        <v>24.580788989047203</v>
      </c>
      <c r="Q29" s="555">
        <f t="shared" si="1"/>
        <v>18.30494837065844</v>
      </c>
      <c r="R29" s="555">
        <f t="shared" si="2"/>
        <v>51.832061068702295</v>
      </c>
      <c r="S29" s="554">
        <f t="shared" si="3"/>
        <v>27.106518282988873</v>
      </c>
      <c r="T29" s="196"/>
      <c r="U29" s="197"/>
      <c r="V29" s="197"/>
    </row>
    <row r="30" spans="1:22">
      <c r="A30" s="189" t="s">
        <v>65</v>
      </c>
      <c r="B30" s="190" t="s">
        <v>66</v>
      </c>
      <c r="C30" s="191" t="s">
        <v>275</v>
      </c>
      <c r="D30" s="566">
        <v>595</v>
      </c>
      <c r="E30" s="567">
        <v>1853</v>
      </c>
      <c r="F30" s="192"/>
      <c r="G30" s="562">
        <v>275</v>
      </c>
      <c r="H30" s="562">
        <v>1211</v>
      </c>
      <c r="I30" s="195"/>
      <c r="J30" s="562">
        <v>287</v>
      </c>
      <c r="K30" s="562">
        <v>529</v>
      </c>
      <c r="L30" s="195"/>
      <c r="M30" s="562">
        <v>16</v>
      </c>
      <c r="N30" s="562">
        <v>67</v>
      </c>
      <c r="O30" s="193"/>
      <c r="P30" s="554">
        <f t="shared" si="0"/>
        <v>32.11009174311927</v>
      </c>
      <c r="Q30" s="555">
        <f t="shared" si="1"/>
        <v>22.708505367464905</v>
      </c>
      <c r="R30" s="555">
        <f t="shared" si="2"/>
        <v>54.253308128544418</v>
      </c>
      <c r="S30" s="554">
        <f t="shared" si="3"/>
        <v>23.880597014925371</v>
      </c>
      <c r="T30" s="196"/>
      <c r="U30" s="197"/>
      <c r="V30" s="197"/>
    </row>
    <row r="31" spans="1:22">
      <c r="A31" s="189" t="s">
        <v>69</v>
      </c>
      <c r="B31" s="190" t="s">
        <v>70</v>
      </c>
      <c r="C31" s="191" t="s">
        <v>278</v>
      </c>
      <c r="D31" s="566">
        <v>713</v>
      </c>
      <c r="E31" s="567">
        <v>2891</v>
      </c>
      <c r="F31" s="192"/>
      <c r="G31" s="562">
        <v>695</v>
      </c>
      <c r="H31" s="562">
        <v>2845</v>
      </c>
      <c r="I31" s="195"/>
      <c r="J31" s="562">
        <v>8</v>
      </c>
      <c r="K31" s="562">
        <v>14</v>
      </c>
      <c r="L31" s="195"/>
      <c r="M31" s="562">
        <v>9</v>
      </c>
      <c r="N31" s="562">
        <v>27</v>
      </c>
      <c r="O31" s="193"/>
      <c r="P31" s="554">
        <f t="shared" si="0"/>
        <v>24.662746454514011</v>
      </c>
      <c r="Q31" s="555">
        <f t="shared" si="1"/>
        <v>24.42882249560633</v>
      </c>
      <c r="R31" s="555">
        <f t="shared" si="2"/>
        <v>57.142857142857139</v>
      </c>
      <c r="S31" s="554">
        <f t="shared" si="3"/>
        <v>33.333333333333329</v>
      </c>
      <c r="T31" s="196"/>
      <c r="U31" s="197"/>
      <c r="V31" s="197"/>
    </row>
    <row r="32" spans="1:22">
      <c r="A32" s="189" t="s">
        <v>71</v>
      </c>
      <c r="B32" s="190" t="s">
        <v>72</v>
      </c>
      <c r="C32" s="191" t="s">
        <v>272</v>
      </c>
      <c r="D32" s="566">
        <v>1785</v>
      </c>
      <c r="E32" s="567">
        <v>5303</v>
      </c>
      <c r="F32" s="192"/>
      <c r="G32" s="562">
        <v>834</v>
      </c>
      <c r="H32" s="562">
        <v>3388</v>
      </c>
      <c r="I32" s="195"/>
      <c r="J32" s="562">
        <v>859</v>
      </c>
      <c r="K32" s="562">
        <v>1628</v>
      </c>
      <c r="L32" s="195"/>
      <c r="M32" s="562">
        <v>50</v>
      </c>
      <c r="N32" s="562">
        <v>239</v>
      </c>
      <c r="O32" s="193"/>
      <c r="P32" s="554">
        <f t="shared" si="0"/>
        <v>33.660192343956254</v>
      </c>
      <c r="Q32" s="555">
        <f t="shared" si="1"/>
        <v>24.61629279811098</v>
      </c>
      <c r="R32" s="555">
        <f t="shared" si="2"/>
        <v>52.764127764127764</v>
      </c>
      <c r="S32" s="554">
        <f t="shared" si="3"/>
        <v>20.920502092050206</v>
      </c>
      <c r="T32" s="196"/>
      <c r="U32" s="197"/>
      <c r="V32" s="197"/>
    </row>
    <row r="33" spans="1:22">
      <c r="A33" s="189" t="s">
        <v>73</v>
      </c>
      <c r="B33" s="190" t="s">
        <v>74</v>
      </c>
      <c r="C33" s="191" t="s">
        <v>275</v>
      </c>
      <c r="D33" s="566">
        <v>825</v>
      </c>
      <c r="E33" s="567">
        <v>1937</v>
      </c>
      <c r="F33" s="192"/>
      <c r="G33" s="562">
        <v>245</v>
      </c>
      <c r="H33" s="562">
        <v>978</v>
      </c>
      <c r="I33" s="195"/>
      <c r="J33" s="562">
        <v>511</v>
      </c>
      <c r="K33" s="562">
        <v>808</v>
      </c>
      <c r="L33" s="195"/>
      <c r="M33" s="562">
        <v>32</v>
      </c>
      <c r="N33" s="562">
        <v>86</v>
      </c>
      <c r="O33" s="193"/>
      <c r="P33" s="554">
        <f t="shared" si="0"/>
        <v>42.591636551368097</v>
      </c>
      <c r="Q33" s="555">
        <f t="shared" si="1"/>
        <v>25.051124744376281</v>
      </c>
      <c r="R33" s="555">
        <f t="shared" si="2"/>
        <v>63.242574257425744</v>
      </c>
      <c r="S33" s="554">
        <f t="shared" si="3"/>
        <v>37.209302325581397</v>
      </c>
      <c r="T33" s="196"/>
      <c r="U33" s="197"/>
      <c r="V33" s="197"/>
    </row>
    <row r="34" spans="1:22">
      <c r="A34" s="189" t="s">
        <v>75</v>
      </c>
      <c r="B34" s="190" t="s">
        <v>885</v>
      </c>
      <c r="C34" s="191" t="s">
        <v>276</v>
      </c>
      <c r="D34" s="566">
        <v>40722</v>
      </c>
      <c r="E34" s="567">
        <v>248438</v>
      </c>
      <c r="F34" s="192"/>
      <c r="G34" s="562">
        <v>19519</v>
      </c>
      <c r="H34" s="562">
        <v>146411</v>
      </c>
      <c r="I34" s="195"/>
      <c r="J34" s="562">
        <v>9151</v>
      </c>
      <c r="K34" s="562">
        <v>23526</v>
      </c>
      <c r="L34" s="195"/>
      <c r="M34" s="562">
        <v>10967</v>
      </c>
      <c r="N34" s="562">
        <v>42015</v>
      </c>
      <c r="O34" s="193"/>
      <c r="P34" s="554">
        <f t="shared" si="0"/>
        <v>16.391212294415507</v>
      </c>
      <c r="Q34" s="555">
        <f t="shared" si="1"/>
        <v>13.331648578317203</v>
      </c>
      <c r="R34" s="555">
        <f t="shared" si="2"/>
        <v>38.897390121567625</v>
      </c>
      <c r="S34" s="554">
        <f t="shared" si="3"/>
        <v>26.102582411043674</v>
      </c>
      <c r="T34" s="196"/>
      <c r="U34" s="197"/>
      <c r="V34" s="197"/>
    </row>
    <row r="35" spans="1:22">
      <c r="A35" s="189" t="s">
        <v>77</v>
      </c>
      <c r="B35" s="190" t="s">
        <v>78</v>
      </c>
      <c r="C35" s="191" t="s">
        <v>276</v>
      </c>
      <c r="D35" s="566">
        <v>2535</v>
      </c>
      <c r="E35" s="567">
        <v>14530</v>
      </c>
      <c r="F35" s="192"/>
      <c r="G35" s="562">
        <v>1880</v>
      </c>
      <c r="H35" s="562">
        <v>12201</v>
      </c>
      <c r="I35" s="195"/>
      <c r="J35" s="562">
        <v>352</v>
      </c>
      <c r="K35" s="562">
        <v>898</v>
      </c>
      <c r="L35" s="195"/>
      <c r="M35" s="562">
        <v>201</v>
      </c>
      <c r="N35" s="562">
        <v>1361</v>
      </c>
      <c r="O35" s="193"/>
      <c r="P35" s="554">
        <f t="shared" si="0"/>
        <v>17.44666207845836</v>
      </c>
      <c r="Q35" s="555">
        <f t="shared" si="1"/>
        <v>15.408573067781328</v>
      </c>
      <c r="R35" s="555">
        <f t="shared" si="2"/>
        <v>39.198218262806236</v>
      </c>
      <c r="S35" s="554">
        <f t="shared" si="3"/>
        <v>14.768552534900808</v>
      </c>
      <c r="T35" s="196"/>
      <c r="U35" s="197"/>
      <c r="V35" s="197"/>
    </row>
    <row r="36" spans="1:22">
      <c r="A36" s="189" t="s">
        <v>79</v>
      </c>
      <c r="B36" s="190" t="s">
        <v>80</v>
      </c>
      <c r="C36" s="191" t="s">
        <v>278</v>
      </c>
      <c r="D36" s="566">
        <v>695</v>
      </c>
      <c r="E36" s="567">
        <v>2996</v>
      </c>
      <c r="F36" s="192"/>
      <c r="G36" s="562">
        <v>644</v>
      </c>
      <c r="H36" s="562">
        <v>2859</v>
      </c>
      <c r="I36" s="195"/>
      <c r="J36" s="562">
        <v>18</v>
      </c>
      <c r="K36" s="562">
        <v>28</v>
      </c>
      <c r="L36" s="195"/>
      <c r="M36" s="562">
        <v>36</v>
      </c>
      <c r="N36" s="562">
        <v>119</v>
      </c>
      <c r="O36" s="193"/>
      <c r="P36" s="554">
        <f t="shared" si="0"/>
        <v>23.197596795727637</v>
      </c>
      <c r="Q36" s="555">
        <f t="shared" si="1"/>
        <v>22.525358516963973</v>
      </c>
      <c r="R36" s="555">
        <f t="shared" si="2"/>
        <v>64.285714285714292</v>
      </c>
      <c r="S36" s="554">
        <f t="shared" si="3"/>
        <v>30.252100840336134</v>
      </c>
      <c r="T36" s="196"/>
      <c r="U36" s="197"/>
      <c r="V36" s="197"/>
    </row>
    <row r="37" spans="1:22">
      <c r="A37" s="189" t="s">
        <v>81</v>
      </c>
      <c r="B37" s="190" t="s">
        <v>82</v>
      </c>
      <c r="C37" s="191" t="s">
        <v>275</v>
      </c>
      <c r="D37" s="566">
        <v>1133</v>
      </c>
      <c r="E37" s="567">
        <v>5255</v>
      </c>
      <c r="F37" s="192"/>
      <c r="G37" s="562">
        <v>741</v>
      </c>
      <c r="H37" s="562">
        <v>4246</v>
      </c>
      <c r="I37" s="195"/>
      <c r="J37" s="562">
        <v>270</v>
      </c>
      <c r="K37" s="562">
        <v>607</v>
      </c>
      <c r="L37" s="195"/>
      <c r="M37" s="562">
        <v>53</v>
      </c>
      <c r="N37" s="562">
        <v>259</v>
      </c>
      <c r="O37" s="193"/>
      <c r="P37" s="554">
        <f t="shared" si="0"/>
        <v>21.560418648905806</v>
      </c>
      <c r="Q37" s="555">
        <f t="shared" si="1"/>
        <v>17.451719265190768</v>
      </c>
      <c r="R37" s="555">
        <f t="shared" si="2"/>
        <v>44.481054365733115</v>
      </c>
      <c r="S37" s="554">
        <f t="shared" si="3"/>
        <v>20.463320463320464</v>
      </c>
      <c r="T37" s="196"/>
      <c r="U37" s="197"/>
      <c r="V37" s="197"/>
    </row>
    <row r="38" spans="1:22">
      <c r="A38" s="189" t="s">
        <v>85</v>
      </c>
      <c r="B38" s="190" t="s">
        <v>387</v>
      </c>
      <c r="C38" s="191" t="s">
        <v>273</v>
      </c>
      <c r="D38" s="566">
        <v>2881</v>
      </c>
      <c r="E38" s="567">
        <v>10070</v>
      </c>
      <c r="F38" s="192"/>
      <c r="G38" s="562">
        <v>2240</v>
      </c>
      <c r="H38" s="562">
        <v>8784</v>
      </c>
      <c r="I38" s="195"/>
      <c r="J38" s="562">
        <v>401</v>
      </c>
      <c r="K38" s="562">
        <v>661</v>
      </c>
      <c r="L38" s="195"/>
      <c r="M38" s="562">
        <v>131</v>
      </c>
      <c r="N38" s="562">
        <v>461</v>
      </c>
      <c r="O38" s="193"/>
      <c r="P38" s="554">
        <f t="shared" si="0"/>
        <v>28.609731876861964</v>
      </c>
      <c r="Q38" s="555">
        <f t="shared" si="1"/>
        <v>25.500910746812387</v>
      </c>
      <c r="R38" s="555">
        <f t="shared" si="2"/>
        <v>60.665658093797283</v>
      </c>
      <c r="S38" s="554">
        <f t="shared" si="3"/>
        <v>28.416485900216919</v>
      </c>
      <c r="T38" s="196"/>
      <c r="U38" s="197"/>
      <c r="V38" s="197"/>
    </row>
    <row r="39" spans="1:22">
      <c r="A39" s="189" t="s">
        <v>87</v>
      </c>
      <c r="B39" s="190" t="s">
        <v>88</v>
      </c>
      <c r="C39" s="191" t="s">
        <v>276</v>
      </c>
      <c r="D39" s="566">
        <v>3866</v>
      </c>
      <c r="E39" s="567">
        <v>17412</v>
      </c>
      <c r="F39" s="192"/>
      <c r="G39" s="562">
        <v>3103</v>
      </c>
      <c r="H39" s="562">
        <v>14783</v>
      </c>
      <c r="I39" s="195"/>
      <c r="J39" s="562">
        <v>311</v>
      </c>
      <c r="K39" s="562">
        <v>793</v>
      </c>
      <c r="L39" s="195"/>
      <c r="M39" s="562">
        <v>412</v>
      </c>
      <c r="N39" s="562">
        <v>1766</v>
      </c>
      <c r="O39" s="193"/>
      <c r="P39" s="554">
        <f t="shared" si="0"/>
        <v>22.203078336779232</v>
      </c>
      <c r="Q39" s="555">
        <f t="shared" si="1"/>
        <v>20.990326726645474</v>
      </c>
      <c r="R39" s="555">
        <f t="shared" si="2"/>
        <v>39.218158890290042</v>
      </c>
      <c r="S39" s="554">
        <f t="shared" si="3"/>
        <v>23.32955832389581</v>
      </c>
      <c r="T39" s="196"/>
      <c r="U39" s="197"/>
      <c r="V39" s="197"/>
    </row>
    <row r="40" spans="1:22">
      <c r="A40" s="189" t="s">
        <v>93</v>
      </c>
      <c r="B40" s="190" t="s">
        <v>94</v>
      </c>
      <c r="C40" s="191" t="s">
        <v>278</v>
      </c>
      <c r="D40" s="566">
        <v>847</v>
      </c>
      <c r="E40" s="567">
        <v>3246</v>
      </c>
      <c r="F40" s="192"/>
      <c r="G40" s="562">
        <v>781</v>
      </c>
      <c r="H40" s="562">
        <v>3112</v>
      </c>
      <c r="I40" s="195"/>
      <c r="J40" s="562">
        <v>22</v>
      </c>
      <c r="K40" s="562">
        <v>36</v>
      </c>
      <c r="L40" s="195"/>
      <c r="M40" s="562">
        <v>27</v>
      </c>
      <c r="N40" s="562">
        <v>70</v>
      </c>
      <c r="O40" s="193"/>
      <c r="P40" s="554">
        <f t="shared" si="0"/>
        <v>26.093653727664819</v>
      </c>
      <c r="Q40" s="555">
        <f t="shared" si="1"/>
        <v>25.096401028277636</v>
      </c>
      <c r="R40" s="555">
        <f t="shared" si="2"/>
        <v>61.111111111111114</v>
      </c>
      <c r="S40" s="554">
        <f t="shared" si="3"/>
        <v>38.571428571428577</v>
      </c>
      <c r="T40" s="196"/>
      <c r="U40" s="197"/>
      <c r="V40" s="197"/>
    </row>
    <row r="41" spans="1:22">
      <c r="A41" s="189" t="s">
        <v>95</v>
      </c>
      <c r="B41" s="190" t="s">
        <v>96</v>
      </c>
      <c r="C41" s="191" t="s">
        <v>272</v>
      </c>
      <c r="D41" s="566">
        <v>1686</v>
      </c>
      <c r="E41" s="567">
        <v>7025</v>
      </c>
      <c r="F41" s="192"/>
      <c r="G41" s="562">
        <v>1328</v>
      </c>
      <c r="H41" s="562">
        <v>6082</v>
      </c>
      <c r="I41" s="195"/>
      <c r="J41" s="562">
        <v>196</v>
      </c>
      <c r="K41" s="562">
        <v>458</v>
      </c>
      <c r="L41" s="195"/>
      <c r="M41" s="562">
        <v>58</v>
      </c>
      <c r="N41" s="562">
        <v>278</v>
      </c>
      <c r="O41" s="193"/>
      <c r="P41" s="554">
        <f t="shared" si="0"/>
        <v>24</v>
      </c>
      <c r="Q41" s="555">
        <f t="shared" si="1"/>
        <v>21.834922722788555</v>
      </c>
      <c r="R41" s="555">
        <f t="shared" si="2"/>
        <v>42.79475982532751</v>
      </c>
      <c r="S41" s="554">
        <f t="shared" si="3"/>
        <v>20.863309352517987</v>
      </c>
      <c r="T41" s="196"/>
      <c r="U41" s="197"/>
      <c r="V41" s="197"/>
    </row>
    <row r="42" spans="1:22">
      <c r="A42" s="189" t="s">
        <v>97</v>
      </c>
      <c r="B42" s="190" t="s">
        <v>98</v>
      </c>
      <c r="C42" s="191" t="s">
        <v>275</v>
      </c>
      <c r="D42" s="566">
        <v>632</v>
      </c>
      <c r="E42" s="567">
        <v>3924</v>
      </c>
      <c r="F42" s="192"/>
      <c r="G42" s="562">
        <v>424</v>
      </c>
      <c r="H42" s="562">
        <v>3245</v>
      </c>
      <c r="I42" s="195"/>
      <c r="J42" s="562">
        <v>179</v>
      </c>
      <c r="K42" s="562">
        <v>468</v>
      </c>
      <c r="L42" s="195"/>
      <c r="M42" s="562">
        <v>17</v>
      </c>
      <c r="N42" s="562">
        <v>133</v>
      </c>
      <c r="O42" s="193"/>
      <c r="P42" s="554">
        <f t="shared" si="0"/>
        <v>16.106014271151885</v>
      </c>
      <c r="Q42" s="555">
        <f t="shared" si="1"/>
        <v>13.066255778120183</v>
      </c>
      <c r="R42" s="555">
        <f t="shared" si="2"/>
        <v>38.247863247863243</v>
      </c>
      <c r="S42" s="554">
        <f t="shared" si="3"/>
        <v>12.781954887218044</v>
      </c>
      <c r="T42" s="196"/>
      <c r="U42" s="197"/>
      <c r="V42" s="197"/>
    </row>
    <row r="43" spans="1:22">
      <c r="A43" s="189" t="s">
        <v>99</v>
      </c>
      <c r="B43" s="190" t="s">
        <v>100</v>
      </c>
      <c r="C43" s="191" t="s">
        <v>278</v>
      </c>
      <c r="D43" s="566">
        <v>750</v>
      </c>
      <c r="E43" s="567">
        <v>2547</v>
      </c>
      <c r="F43" s="192"/>
      <c r="G43" s="562">
        <v>663</v>
      </c>
      <c r="H43" s="562">
        <v>2360</v>
      </c>
      <c r="I43" s="195"/>
      <c r="J43" s="562">
        <v>40</v>
      </c>
      <c r="K43" s="562">
        <v>62</v>
      </c>
      <c r="L43" s="195"/>
      <c r="M43" s="562">
        <v>46</v>
      </c>
      <c r="N43" s="562">
        <v>134</v>
      </c>
      <c r="O43" s="193"/>
      <c r="P43" s="554">
        <f t="shared" si="0"/>
        <v>29.446407538280329</v>
      </c>
      <c r="Q43" s="555">
        <f t="shared" si="1"/>
        <v>28.093220338983048</v>
      </c>
      <c r="R43" s="555">
        <f t="shared" si="2"/>
        <v>64.516129032258064</v>
      </c>
      <c r="S43" s="554">
        <f t="shared" si="3"/>
        <v>34.328358208955223</v>
      </c>
      <c r="T43" s="196"/>
      <c r="U43" s="197"/>
      <c r="V43" s="197"/>
    </row>
    <row r="44" spans="1:22">
      <c r="A44" s="189" t="s">
        <v>101</v>
      </c>
      <c r="B44" s="190" t="s">
        <v>102</v>
      </c>
      <c r="C44" s="191" t="s">
        <v>276</v>
      </c>
      <c r="D44" s="566">
        <v>910</v>
      </c>
      <c r="E44" s="567">
        <v>4007</v>
      </c>
      <c r="F44" s="192"/>
      <c r="G44" s="562">
        <v>665</v>
      </c>
      <c r="H44" s="562">
        <v>3341</v>
      </c>
      <c r="I44" s="195"/>
      <c r="J44" s="562">
        <v>135</v>
      </c>
      <c r="K44" s="562">
        <v>241</v>
      </c>
      <c r="L44" s="195"/>
      <c r="M44" s="562">
        <v>52</v>
      </c>
      <c r="N44" s="562">
        <v>275</v>
      </c>
      <c r="O44" s="193"/>
      <c r="P44" s="554">
        <f t="shared" si="0"/>
        <v>22.710257050162216</v>
      </c>
      <c r="Q44" s="555">
        <f t="shared" si="1"/>
        <v>19.904220293325352</v>
      </c>
      <c r="R44" s="555">
        <f t="shared" si="2"/>
        <v>56.016597510373444</v>
      </c>
      <c r="S44" s="554">
        <f t="shared" si="3"/>
        <v>18.90909090909091</v>
      </c>
      <c r="T44" s="196"/>
      <c r="U44" s="197"/>
      <c r="V44" s="197"/>
    </row>
    <row r="45" spans="1:22">
      <c r="A45" s="189" t="s">
        <v>103</v>
      </c>
      <c r="B45" s="190" t="s">
        <v>329</v>
      </c>
      <c r="C45" s="191" t="s">
        <v>272</v>
      </c>
      <c r="D45" s="566">
        <v>1510</v>
      </c>
      <c r="E45" s="567">
        <v>2790</v>
      </c>
      <c r="F45" s="192"/>
      <c r="G45" s="562">
        <v>235</v>
      </c>
      <c r="H45" s="562">
        <v>856</v>
      </c>
      <c r="I45" s="195"/>
      <c r="J45" s="562">
        <v>1206</v>
      </c>
      <c r="K45" s="562">
        <v>1787</v>
      </c>
      <c r="L45" s="195"/>
      <c r="M45" s="562">
        <v>36</v>
      </c>
      <c r="N45" s="562">
        <v>102</v>
      </c>
      <c r="O45" s="193"/>
      <c r="P45" s="554">
        <f t="shared" si="0"/>
        <v>54.121863799283155</v>
      </c>
      <c r="Q45" s="555">
        <f t="shared" si="1"/>
        <v>27.453271028037385</v>
      </c>
      <c r="R45" s="555">
        <f t="shared" si="2"/>
        <v>67.48740906547286</v>
      </c>
      <c r="S45" s="554">
        <f t="shared" si="3"/>
        <v>35.294117647058826</v>
      </c>
      <c r="T45" s="196"/>
      <c r="U45" s="197"/>
      <c r="V45" s="197"/>
    </row>
    <row r="46" spans="1:22">
      <c r="A46" s="189" t="s">
        <v>105</v>
      </c>
      <c r="B46" s="190" t="s">
        <v>871</v>
      </c>
      <c r="C46" s="191" t="s">
        <v>273</v>
      </c>
      <c r="D46" s="566">
        <v>2563</v>
      </c>
      <c r="E46" s="567">
        <v>6631</v>
      </c>
      <c r="F46" s="192"/>
      <c r="G46" s="562">
        <v>994</v>
      </c>
      <c r="H46" s="562">
        <v>3899</v>
      </c>
      <c r="I46" s="195"/>
      <c r="J46" s="562">
        <v>1411</v>
      </c>
      <c r="K46" s="562">
        <v>2392</v>
      </c>
      <c r="L46" s="195"/>
      <c r="M46" s="562">
        <v>62</v>
      </c>
      <c r="N46" s="562">
        <v>206</v>
      </c>
      <c r="O46" s="193"/>
      <c r="P46" s="554">
        <f t="shared" si="0"/>
        <v>38.651787060775142</v>
      </c>
      <c r="Q46" s="555">
        <f t="shared" si="1"/>
        <v>25.493716337522443</v>
      </c>
      <c r="R46" s="555">
        <f t="shared" si="2"/>
        <v>58.988294314381271</v>
      </c>
      <c r="S46" s="554">
        <f t="shared" si="3"/>
        <v>30.097087378640776</v>
      </c>
      <c r="T46" s="196"/>
      <c r="U46" s="197"/>
      <c r="V46" s="197"/>
    </row>
    <row r="47" spans="1:22">
      <c r="A47" s="189" t="s">
        <v>109</v>
      </c>
      <c r="B47" s="190" t="s">
        <v>110</v>
      </c>
      <c r="C47" s="191" t="s">
        <v>275</v>
      </c>
      <c r="D47" s="566">
        <v>4332</v>
      </c>
      <c r="E47" s="567">
        <v>22831</v>
      </c>
      <c r="F47" s="192"/>
      <c r="G47" s="562">
        <v>3249</v>
      </c>
      <c r="H47" s="562">
        <v>19794</v>
      </c>
      <c r="I47" s="195"/>
      <c r="J47" s="562">
        <v>789</v>
      </c>
      <c r="K47" s="562">
        <v>1668</v>
      </c>
      <c r="L47" s="195"/>
      <c r="M47" s="562">
        <v>140</v>
      </c>
      <c r="N47" s="562">
        <v>662</v>
      </c>
      <c r="O47" s="193"/>
      <c r="P47" s="554">
        <f t="shared" si="0"/>
        <v>18.974201743243835</v>
      </c>
      <c r="Q47" s="555">
        <f t="shared" si="1"/>
        <v>16.41406486814186</v>
      </c>
      <c r="R47" s="555">
        <f t="shared" si="2"/>
        <v>47.302158273381295</v>
      </c>
      <c r="S47" s="554">
        <f t="shared" si="3"/>
        <v>21.148036253776432</v>
      </c>
      <c r="T47" s="196"/>
      <c r="U47" s="197"/>
      <c r="V47" s="197"/>
    </row>
    <row r="48" spans="1:22">
      <c r="A48" s="189" t="s">
        <v>111</v>
      </c>
      <c r="B48" s="190" t="s">
        <v>112</v>
      </c>
      <c r="C48" s="191" t="s">
        <v>275</v>
      </c>
      <c r="D48" s="566">
        <v>21007</v>
      </c>
      <c r="E48" s="567">
        <v>66860</v>
      </c>
      <c r="F48" s="192"/>
      <c r="G48" s="562">
        <v>6461</v>
      </c>
      <c r="H48" s="562">
        <v>35579</v>
      </c>
      <c r="I48" s="195"/>
      <c r="J48" s="562">
        <v>12349</v>
      </c>
      <c r="K48" s="562">
        <v>21013</v>
      </c>
      <c r="L48" s="198"/>
      <c r="M48" s="562">
        <v>1505</v>
      </c>
      <c r="N48" s="562">
        <v>4354</v>
      </c>
      <c r="O48" s="193"/>
      <c r="P48" s="556">
        <f t="shared" si="0"/>
        <v>31.419383787017647</v>
      </c>
      <c r="Q48" s="555">
        <f t="shared" si="1"/>
        <v>18.159588521318756</v>
      </c>
      <c r="R48" s="555">
        <f t="shared" si="2"/>
        <v>58.768381478132582</v>
      </c>
      <c r="S48" s="554">
        <f t="shared" si="3"/>
        <v>34.565916398713824</v>
      </c>
      <c r="T48" s="196"/>
      <c r="U48" s="197"/>
      <c r="V48" s="197"/>
    </row>
    <row r="49" spans="1:22">
      <c r="A49" s="189" t="s">
        <v>113</v>
      </c>
      <c r="B49" s="190" t="s">
        <v>367</v>
      </c>
      <c r="C49" s="191" t="s">
        <v>273</v>
      </c>
      <c r="D49" s="566">
        <v>4636</v>
      </c>
      <c r="E49" s="567">
        <v>11572</v>
      </c>
      <c r="F49" s="192"/>
      <c r="G49" s="562">
        <v>2149</v>
      </c>
      <c r="H49" s="562">
        <v>7196</v>
      </c>
      <c r="I49" s="195"/>
      <c r="J49" s="562">
        <v>1907</v>
      </c>
      <c r="K49" s="562">
        <v>3041</v>
      </c>
      <c r="L49" s="198"/>
      <c r="M49" s="562">
        <v>415</v>
      </c>
      <c r="N49" s="562">
        <v>1164</v>
      </c>
      <c r="O49" s="193"/>
      <c r="P49" s="556">
        <f t="shared" si="0"/>
        <v>40.06221914967162</v>
      </c>
      <c r="Q49" s="555">
        <f t="shared" si="1"/>
        <v>29.863813229571985</v>
      </c>
      <c r="R49" s="555">
        <f t="shared" si="2"/>
        <v>62.709634988490627</v>
      </c>
      <c r="S49" s="554">
        <f t="shared" si="3"/>
        <v>35.65292096219931</v>
      </c>
      <c r="T49" s="196"/>
      <c r="U49" s="197"/>
      <c r="V49" s="197"/>
    </row>
    <row r="50" spans="1:22">
      <c r="A50" s="189" t="s">
        <v>115</v>
      </c>
      <c r="B50" s="190" t="s">
        <v>116</v>
      </c>
      <c r="C50" s="191" t="s">
        <v>273</v>
      </c>
      <c r="D50" s="566">
        <v>57</v>
      </c>
      <c r="E50" s="567">
        <v>311</v>
      </c>
      <c r="F50" s="192"/>
      <c r="G50" s="562">
        <v>55</v>
      </c>
      <c r="H50" s="562">
        <v>309</v>
      </c>
      <c r="I50" s="195"/>
      <c r="J50" s="562">
        <v>2</v>
      </c>
      <c r="K50" s="562">
        <v>2</v>
      </c>
      <c r="L50" s="198"/>
      <c r="M50" s="562">
        <v>0</v>
      </c>
      <c r="N50" s="562">
        <v>0</v>
      </c>
      <c r="O50" s="193"/>
      <c r="P50" s="556">
        <f t="shared" si="0"/>
        <v>18.327974276527332</v>
      </c>
      <c r="Q50" s="555">
        <f t="shared" si="1"/>
        <v>17.79935275080906</v>
      </c>
      <c r="R50" s="555">
        <f t="shared" si="2"/>
        <v>100</v>
      </c>
      <c r="S50" s="554" t="str">
        <f t="shared" si="3"/>
        <v>NA</v>
      </c>
      <c r="T50" s="196"/>
      <c r="U50" s="197"/>
      <c r="V50" s="197"/>
    </row>
    <row r="51" spans="1:22">
      <c r="A51" s="189" t="s">
        <v>119</v>
      </c>
      <c r="B51" s="190" t="s">
        <v>120</v>
      </c>
      <c r="C51" s="191" t="s">
        <v>272</v>
      </c>
      <c r="D51" s="566">
        <v>1834</v>
      </c>
      <c r="E51" s="567">
        <v>6991</v>
      </c>
      <c r="F51" s="192"/>
      <c r="G51" s="562">
        <v>879</v>
      </c>
      <c r="H51" s="562">
        <v>4950</v>
      </c>
      <c r="I51" s="195"/>
      <c r="J51" s="562">
        <v>846</v>
      </c>
      <c r="K51" s="562">
        <v>1612</v>
      </c>
      <c r="L51" s="198"/>
      <c r="M51" s="562">
        <v>61</v>
      </c>
      <c r="N51" s="562">
        <v>221</v>
      </c>
      <c r="O51" s="193"/>
      <c r="P51" s="556">
        <f t="shared" si="0"/>
        <v>26.233729080246032</v>
      </c>
      <c r="Q51" s="555">
        <f t="shared" si="1"/>
        <v>17.757575757575758</v>
      </c>
      <c r="R51" s="555">
        <f t="shared" si="2"/>
        <v>52.481389578163771</v>
      </c>
      <c r="S51" s="554">
        <f t="shared" si="3"/>
        <v>27.601809954751133</v>
      </c>
      <c r="T51" s="196"/>
      <c r="U51" s="197"/>
      <c r="V51" s="197"/>
    </row>
    <row r="52" spans="1:22">
      <c r="A52" s="189" t="s">
        <v>121</v>
      </c>
      <c r="B52" s="190" t="s">
        <v>122</v>
      </c>
      <c r="C52" s="191" t="s">
        <v>272</v>
      </c>
      <c r="D52" s="566">
        <v>3017</v>
      </c>
      <c r="E52" s="567">
        <v>13018</v>
      </c>
      <c r="F52" s="192"/>
      <c r="G52" s="562">
        <v>1657</v>
      </c>
      <c r="H52" s="562">
        <v>9918</v>
      </c>
      <c r="I52" s="195"/>
      <c r="J52" s="562">
        <v>936</v>
      </c>
      <c r="K52" s="562">
        <v>1676</v>
      </c>
      <c r="L52" s="198"/>
      <c r="M52" s="562">
        <v>291</v>
      </c>
      <c r="N52" s="562">
        <v>917</v>
      </c>
      <c r="O52" s="193"/>
      <c r="P52" s="556">
        <f t="shared" si="0"/>
        <v>23.175603011215241</v>
      </c>
      <c r="Q52" s="555">
        <f t="shared" si="1"/>
        <v>16.706997378503729</v>
      </c>
      <c r="R52" s="555">
        <f t="shared" si="2"/>
        <v>55.847255369928405</v>
      </c>
      <c r="S52" s="554">
        <f t="shared" si="3"/>
        <v>31.733914940021812</v>
      </c>
      <c r="T52" s="196"/>
      <c r="U52" s="197"/>
      <c r="V52" s="197"/>
    </row>
    <row r="53" spans="1:22">
      <c r="A53" s="189" t="s">
        <v>123</v>
      </c>
      <c r="B53" s="190" t="s">
        <v>284</v>
      </c>
      <c r="C53" s="191" t="s">
        <v>275</v>
      </c>
      <c r="D53" s="566">
        <v>341</v>
      </c>
      <c r="E53" s="567">
        <v>1202</v>
      </c>
      <c r="F53" s="192"/>
      <c r="G53" s="562">
        <v>185</v>
      </c>
      <c r="H53" s="562">
        <v>850</v>
      </c>
      <c r="I53" s="195"/>
      <c r="J53" s="562">
        <v>123</v>
      </c>
      <c r="K53" s="562">
        <v>259</v>
      </c>
      <c r="L53" s="198"/>
      <c r="M53" s="562">
        <v>11</v>
      </c>
      <c r="N53" s="562">
        <v>72</v>
      </c>
      <c r="O53" s="193"/>
      <c r="P53" s="556">
        <f t="shared" si="0"/>
        <v>28.369384359401</v>
      </c>
      <c r="Q53" s="555">
        <f t="shared" si="1"/>
        <v>21.764705882352942</v>
      </c>
      <c r="R53" s="555">
        <f t="shared" si="2"/>
        <v>47.490347490347489</v>
      </c>
      <c r="S53" s="554">
        <f t="shared" si="3"/>
        <v>15.277777777777779</v>
      </c>
      <c r="T53" s="196"/>
      <c r="U53" s="197"/>
      <c r="V53" s="197"/>
    </row>
    <row r="54" spans="1:22">
      <c r="A54" s="189" t="s">
        <v>125</v>
      </c>
      <c r="B54" s="190" t="s">
        <v>126</v>
      </c>
      <c r="C54" s="191" t="s">
        <v>276</v>
      </c>
      <c r="D54" s="566">
        <v>1214</v>
      </c>
      <c r="E54" s="567">
        <v>5771</v>
      </c>
      <c r="F54" s="192"/>
      <c r="G54" s="562">
        <v>732</v>
      </c>
      <c r="H54" s="562">
        <v>4347</v>
      </c>
      <c r="I54" s="195"/>
      <c r="J54" s="562">
        <v>375</v>
      </c>
      <c r="K54" s="562">
        <v>931</v>
      </c>
      <c r="L54" s="198"/>
      <c r="M54" s="562">
        <v>56</v>
      </c>
      <c r="N54" s="562">
        <v>292</v>
      </c>
      <c r="O54" s="193"/>
      <c r="P54" s="556">
        <f t="shared" si="0"/>
        <v>21.036215560561427</v>
      </c>
      <c r="Q54" s="555">
        <f t="shared" si="1"/>
        <v>16.839199447895101</v>
      </c>
      <c r="R54" s="555">
        <f t="shared" si="2"/>
        <v>40.27926960257787</v>
      </c>
      <c r="S54" s="554">
        <f t="shared" si="3"/>
        <v>19.17808219178082</v>
      </c>
      <c r="T54" s="196"/>
      <c r="U54" s="197"/>
      <c r="V54" s="197"/>
    </row>
    <row r="55" spans="1:22">
      <c r="A55" s="189" t="s">
        <v>127</v>
      </c>
      <c r="B55" s="190" t="s">
        <v>128</v>
      </c>
      <c r="C55" s="191" t="s">
        <v>275</v>
      </c>
      <c r="D55" s="566">
        <v>814</v>
      </c>
      <c r="E55" s="567">
        <v>3459</v>
      </c>
      <c r="F55" s="192"/>
      <c r="G55" s="562">
        <v>571</v>
      </c>
      <c r="H55" s="562">
        <v>2797</v>
      </c>
      <c r="I55" s="195"/>
      <c r="J55" s="562">
        <v>169</v>
      </c>
      <c r="K55" s="562">
        <v>400</v>
      </c>
      <c r="L55" s="198"/>
      <c r="M55" s="562">
        <v>27</v>
      </c>
      <c r="N55" s="562">
        <v>99</v>
      </c>
      <c r="O55" s="193"/>
      <c r="P55" s="556">
        <f t="shared" si="0"/>
        <v>23.53281295172015</v>
      </c>
      <c r="Q55" s="555">
        <f t="shared" si="1"/>
        <v>20.414730067929927</v>
      </c>
      <c r="R55" s="555">
        <f t="shared" si="2"/>
        <v>42.25</v>
      </c>
      <c r="S55" s="554">
        <f t="shared" si="3"/>
        <v>27.27272727272727</v>
      </c>
      <c r="T55" s="196"/>
      <c r="U55" s="197"/>
      <c r="V55" s="197"/>
    </row>
    <row r="56" spans="1:22">
      <c r="A56" s="189" t="s">
        <v>129</v>
      </c>
      <c r="B56" s="190" t="s">
        <v>130</v>
      </c>
      <c r="C56" s="191" t="s">
        <v>275</v>
      </c>
      <c r="D56" s="566">
        <v>634</v>
      </c>
      <c r="E56" s="567">
        <v>1540</v>
      </c>
      <c r="F56" s="192"/>
      <c r="G56" s="562">
        <v>197</v>
      </c>
      <c r="H56" s="562">
        <v>855</v>
      </c>
      <c r="I56" s="195"/>
      <c r="J56" s="562">
        <v>405</v>
      </c>
      <c r="K56" s="562">
        <v>607</v>
      </c>
      <c r="L56" s="198"/>
      <c r="M56" s="562">
        <v>12</v>
      </c>
      <c r="N56" s="562">
        <v>34</v>
      </c>
      <c r="O56" s="193"/>
      <c r="P56" s="556">
        <f t="shared" si="0"/>
        <v>41.168831168831169</v>
      </c>
      <c r="Q56" s="555">
        <f t="shared" si="1"/>
        <v>23.040935672514621</v>
      </c>
      <c r="R56" s="555">
        <f t="shared" si="2"/>
        <v>66.721581548599673</v>
      </c>
      <c r="S56" s="554">
        <f t="shared" si="3"/>
        <v>35.294117647058826</v>
      </c>
      <c r="T56" s="196"/>
      <c r="U56" s="197"/>
      <c r="V56" s="197"/>
    </row>
    <row r="57" spans="1:22">
      <c r="A57" s="189" t="s">
        <v>131</v>
      </c>
      <c r="B57" s="190" t="s">
        <v>132</v>
      </c>
      <c r="C57" s="191" t="s">
        <v>278</v>
      </c>
      <c r="D57" s="566">
        <v>1233</v>
      </c>
      <c r="E57" s="567">
        <v>4423</v>
      </c>
      <c r="F57" s="192"/>
      <c r="G57" s="562">
        <v>1193</v>
      </c>
      <c r="H57" s="562">
        <v>4329</v>
      </c>
      <c r="I57" s="195"/>
      <c r="J57" s="562">
        <v>7</v>
      </c>
      <c r="K57" s="562">
        <v>21</v>
      </c>
      <c r="L57" s="198"/>
      <c r="M57" s="562">
        <v>25</v>
      </c>
      <c r="N57" s="562">
        <v>48</v>
      </c>
      <c r="O57" s="193"/>
      <c r="P57" s="556">
        <f t="shared" si="0"/>
        <v>27.87700655663577</v>
      </c>
      <c r="Q57" s="555">
        <f t="shared" si="1"/>
        <v>27.558327558327562</v>
      </c>
      <c r="R57" s="555">
        <f t="shared" si="2"/>
        <v>33.333333333333329</v>
      </c>
      <c r="S57" s="554">
        <f t="shared" si="3"/>
        <v>52.083333333333336</v>
      </c>
      <c r="T57" s="196"/>
      <c r="U57" s="197"/>
      <c r="V57" s="197"/>
    </row>
    <row r="58" spans="1:22">
      <c r="A58" s="189" t="s">
        <v>133</v>
      </c>
      <c r="B58" s="190" t="s">
        <v>134</v>
      </c>
      <c r="C58" s="191" t="s">
        <v>276</v>
      </c>
      <c r="D58" s="566">
        <v>11869</v>
      </c>
      <c r="E58" s="567">
        <v>90189</v>
      </c>
      <c r="F58" s="192"/>
      <c r="G58" s="562">
        <v>7177</v>
      </c>
      <c r="H58" s="562">
        <v>59927</v>
      </c>
      <c r="I58" s="195"/>
      <c r="J58" s="562">
        <v>1805</v>
      </c>
      <c r="K58" s="562">
        <v>5736</v>
      </c>
      <c r="L58" s="198"/>
      <c r="M58" s="562">
        <v>2403</v>
      </c>
      <c r="N58" s="562">
        <v>11322</v>
      </c>
      <c r="O58" s="193"/>
      <c r="P58" s="556">
        <f t="shared" si="0"/>
        <v>13.160141480668376</v>
      </c>
      <c r="Q58" s="555">
        <f t="shared" si="1"/>
        <v>11.976237755936388</v>
      </c>
      <c r="R58" s="555">
        <f t="shared" si="2"/>
        <v>31.467921896792188</v>
      </c>
      <c r="S58" s="554">
        <f t="shared" si="3"/>
        <v>21.224165341812402</v>
      </c>
      <c r="T58" s="196"/>
      <c r="U58" s="197"/>
      <c r="V58" s="197"/>
    </row>
    <row r="59" spans="1:22">
      <c r="A59" s="189" t="s">
        <v>135</v>
      </c>
      <c r="B59" s="190" t="s">
        <v>136</v>
      </c>
      <c r="C59" s="191" t="s">
        <v>276</v>
      </c>
      <c r="D59" s="566">
        <v>1576</v>
      </c>
      <c r="E59" s="567">
        <v>6209</v>
      </c>
      <c r="F59" s="192"/>
      <c r="G59" s="562">
        <v>969</v>
      </c>
      <c r="H59" s="562">
        <v>4816</v>
      </c>
      <c r="I59" s="195"/>
      <c r="J59" s="562">
        <v>447</v>
      </c>
      <c r="K59" s="562">
        <v>915</v>
      </c>
      <c r="L59" s="198"/>
      <c r="M59" s="562">
        <v>49</v>
      </c>
      <c r="N59" s="562">
        <v>238</v>
      </c>
      <c r="O59" s="193"/>
      <c r="P59" s="556">
        <f t="shared" si="0"/>
        <v>25.382509260750524</v>
      </c>
      <c r="Q59" s="555">
        <f t="shared" si="1"/>
        <v>20.120431893687709</v>
      </c>
      <c r="R59" s="555">
        <f t="shared" si="2"/>
        <v>48.852459016393439</v>
      </c>
      <c r="S59" s="554">
        <f t="shared" si="3"/>
        <v>20.588235294117645</v>
      </c>
      <c r="T59" s="196"/>
      <c r="U59" s="197"/>
      <c r="V59" s="197"/>
    </row>
    <row r="60" spans="1:22">
      <c r="A60" s="189" t="s">
        <v>137</v>
      </c>
      <c r="B60" s="190" t="s">
        <v>138</v>
      </c>
      <c r="C60" s="191" t="s">
        <v>275</v>
      </c>
      <c r="D60" s="566">
        <v>702</v>
      </c>
      <c r="E60" s="567">
        <v>2032</v>
      </c>
      <c r="F60" s="192"/>
      <c r="G60" s="562">
        <v>310</v>
      </c>
      <c r="H60" s="562">
        <v>1308</v>
      </c>
      <c r="I60" s="195"/>
      <c r="J60" s="562">
        <v>310</v>
      </c>
      <c r="K60" s="562">
        <v>544</v>
      </c>
      <c r="L60" s="198"/>
      <c r="M60" s="562">
        <v>51</v>
      </c>
      <c r="N60" s="562">
        <v>125</v>
      </c>
      <c r="O60" s="193"/>
      <c r="P60" s="556">
        <f t="shared" si="0"/>
        <v>34.547244094488185</v>
      </c>
      <c r="Q60" s="555">
        <f t="shared" si="1"/>
        <v>23.700305810397555</v>
      </c>
      <c r="R60" s="555">
        <f t="shared" si="2"/>
        <v>56.985294117647058</v>
      </c>
      <c r="S60" s="554">
        <f t="shared" si="3"/>
        <v>40.799999999999997</v>
      </c>
      <c r="T60" s="196"/>
      <c r="U60" s="197"/>
      <c r="V60" s="197"/>
    </row>
    <row r="61" spans="1:22">
      <c r="A61" s="189" t="s">
        <v>141</v>
      </c>
      <c r="B61" s="190" t="s">
        <v>142</v>
      </c>
      <c r="C61" s="191" t="s">
        <v>276</v>
      </c>
      <c r="D61" s="566">
        <v>551</v>
      </c>
      <c r="E61" s="567">
        <v>2527</v>
      </c>
      <c r="F61" s="192"/>
      <c r="G61" s="562">
        <v>442</v>
      </c>
      <c r="H61" s="562">
        <v>2181</v>
      </c>
      <c r="I61" s="195"/>
      <c r="J61" s="562">
        <v>60</v>
      </c>
      <c r="K61" s="562">
        <v>180</v>
      </c>
      <c r="L61" s="198"/>
      <c r="M61" s="562">
        <v>17</v>
      </c>
      <c r="N61" s="562">
        <v>78</v>
      </c>
      <c r="O61" s="193"/>
      <c r="P61" s="556">
        <f t="shared" si="0"/>
        <v>21.804511278195488</v>
      </c>
      <c r="Q61" s="555">
        <f t="shared" si="1"/>
        <v>20.265933058230171</v>
      </c>
      <c r="R61" s="555">
        <f t="shared" si="2"/>
        <v>33.333333333333329</v>
      </c>
      <c r="S61" s="554">
        <f t="shared" si="3"/>
        <v>21.794871794871796</v>
      </c>
      <c r="T61" s="196"/>
      <c r="U61" s="197"/>
      <c r="V61" s="197"/>
    </row>
    <row r="62" spans="1:22">
      <c r="A62" s="189" t="s">
        <v>147</v>
      </c>
      <c r="B62" s="190" t="s">
        <v>148</v>
      </c>
      <c r="C62" s="191" t="s">
        <v>272</v>
      </c>
      <c r="D62" s="566">
        <v>306</v>
      </c>
      <c r="E62" s="567">
        <v>1399</v>
      </c>
      <c r="F62" s="192"/>
      <c r="G62" s="562">
        <v>236</v>
      </c>
      <c r="H62" s="562">
        <v>1218</v>
      </c>
      <c r="I62" s="195"/>
      <c r="J62" s="562">
        <v>51</v>
      </c>
      <c r="K62" s="562">
        <v>119</v>
      </c>
      <c r="L62" s="198"/>
      <c r="M62" s="562">
        <v>5</v>
      </c>
      <c r="N62" s="562">
        <v>33</v>
      </c>
      <c r="O62" s="193"/>
      <c r="P62" s="556">
        <f t="shared" si="0"/>
        <v>21.872766261615439</v>
      </c>
      <c r="Q62" s="555">
        <f t="shared" si="1"/>
        <v>19.376026272577999</v>
      </c>
      <c r="R62" s="555">
        <f t="shared" si="2"/>
        <v>42.857142857142854</v>
      </c>
      <c r="S62" s="554">
        <f t="shared" si="3"/>
        <v>15.151515151515152</v>
      </c>
      <c r="T62" s="196"/>
      <c r="U62" s="197"/>
      <c r="V62" s="197"/>
    </row>
    <row r="63" spans="1:22">
      <c r="A63" s="189" t="s">
        <v>149</v>
      </c>
      <c r="B63" s="190" t="s">
        <v>150</v>
      </c>
      <c r="C63" s="191" t="s">
        <v>273</v>
      </c>
      <c r="D63" s="566">
        <v>2155</v>
      </c>
      <c r="E63" s="567">
        <v>5216</v>
      </c>
      <c r="F63" s="192"/>
      <c r="G63" s="562">
        <v>756</v>
      </c>
      <c r="H63" s="562">
        <v>2955</v>
      </c>
      <c r="I63" s="195"/>
      <c r="J63" s="562">
        <v>1255</v>
      </c>
      <c r="K63" s="562">
        <v>1903</v>
      </c>
      <c r="L63" s="198"/>
      <c r="M63" s="562">
        <v>52</v>
      </c>
      <c r="N63" s="562">
        <v>199</v>
      </c>
      <c r="O63" s="193"/>
      <c r="P63" s="556">
        <f t="shared" si="0"/>
        <v>41.315184049079754</v>
      </c>
      <c r="Q63" s="555">
        <f t="shared" si="1"/>
        <v>25.583756345177665</v>
      </c>
      <c r="R63" s="555">
        <f t="shared" si="2"/>
        <v>65.948502364687329</v>
      </c>
      <c r="S63" s="554">
        <f t="shared" si="3"/>
        <v>26.13065326633166</v>
      </c>
      <c r="T63" s="196"/>
      <c r="U63" s="197"/>
      <c r="V63" s="197"/>
    </row>
    <row r="64" spans="1:22">
      <c r="A64" s="189" t="s">
        <v>151</v>
      </c>
      <c r="B64" s="190" t="s">
        <v>152</v>
      </c>
      <c r="C64" s="191" t="s">
        <v>275</v>
      </c>
      <c r="D64" s="566">
        <v>430</v>
      </c>
      <c r="E64" s="567">
        <v>1466</v>
      </c>
      <c r="F64" s="192"/>
      <c r="G64" s="562">
        <v>300</v>
      </c>
      <c r="H64" s="562">
        <v>1152</v>
      </c>
      <c r="I64" s="195"/>
      <c r="J64" s="562">
        <v>108</v>
      </c>
      <c r="K64" s="562">
        <v>232</v>
      </c>
      <c r="L64" s="198"/>
      <c r="M64" s="562">
        <v>6</v>
      </c>
      <c r="N64" s="562">
        <v>42</v>
      </c>
      <c r="O64" s="193"/>
      <c r="P64" s="556">
        <f t="shared" si="0"/>
        <v>29.331514324693043</v>
      </c>
      <c r="Q64" s="555">
        <f t="shared" si="1"/>
        <v>26.041666666666668</v>
      </c>
      <c r="R64" s="555">
        <f t="shared" si="2"/>
        <v>46.551724137931032</v>
      </c>
      <c r="S64" s="554">
        <f t="shared" si="3"/>
        <v>14.285714285714285</v>
      </c>
      <c r="T64" s="196"/>
      <c r="U64" s="197"/>
      <c r="V64" s="197"/>
    </row>
    <row r="65" spans="1:22">
      <c r="A65" s="189" t="s">
        <v>153</v>
      </c>
      <c r="B65" s="190" t="s">
        <v>154</v>
      </c>
      <c r="C65" s="191" t="s">
        <v>278</v>
      </c>
      <c r="D65" s="566">
        <v>3395</v>
      </c>
      <c r="E65" s="567">
        <v>13668</v>
      </c>
      <c r="F65" s="192"/>
      <c r="G65" s="562">
        <v>2763</v>
      </c>
      <c r="H65" s="562">
        <v>11839</v>
      </c>
      <c r="I65" s="195"/>
      <c r="J65" s="562">
        <v>331</v>
      </c>
      <c r="K65" s="562">
        <v>574</v>
      </c>
      <c r="L65" s="198"/>
      <c r="M65" s="562">
        <v>146</v>
      </c>
      <c r="N65" s="562">
        <v>478</v>
      </c>
      <c r="O65" s="193"/>
      <c r="P65" s="556">
        <f t="shared" si="0"/>
        <v>24.839040093649402</v>
      </c>
      <c r="Q65" s="555">
        <f t="shared" si="1"/>
        <v>23.338119773629529</v>
      </c>
      <c r="R65" s="555">
        <f t="shared" si="2"/>
        <v>57.665505226480839</v>
      </c>
      <c r="S65" s="554">
        <f t="shared" si="3"/>
        <v>30.543933054393307</v>
      </c>
      <c r="T65" s="196"/>
      <c r="U65" s="197"/>
      <c r="V65" s="197"/>
    </row>
    <row r="66" spans="1:22">
      <c r="A66" s="189" t="s">
        <v>155</v>
      </c>
      <c r="B66" s="190" t="s">
        <v>156</v>
      </c>
      <c r="C66" s="191" t="s">
        <v>273</v>
      </c>
      <c r="D66" s="566">
        <v>697</v>
      </c>
      <c r="E66" s="567">
        <v>2438</v>
      </c>
      <c r="F66" s="192"/>
      <c r="G66" s="562">
        <v>477</v>
      </c>
      <c r="H66" s="562">
        <v>1992</v>
      </c>
      <c r="I66" s="195"/>
      <c r="J66" s="562">
        <v>149</v>
      </c>
      <c r="K66" s="562">
        <v>263</v>
      </c>
      <c r="L66" s="198"/>
      <c r="M66" s="562">
        <v>33</v>
      </c>
      <c r="N66" s="562">
        <v>141</v>
      </c>
      <c r="O66" s="193"/>
      <c r="P66" s="556">
        <f t="shared" si="0"/>
        <v>28.589007383100899</v>
      </c>
      <c r="Q66" s="555">
        <f t="shared" si="1"/>
        <v>23.945783132530121</v>
      </c>
      <c r="R66" s="555">
        <f t="shared" si="2"/>
        <v>56.653992395437257</v>
      </c>
      <c r="S66" s="554">
        <f t="shared" si="3"/>
        <v>23.404255319148938</v>
      </c>
      <c r="T66" s="196"/>
      <c r="U66" s="197"/>
      <c r="V66" s="197"/>
    </row>
    <row r="67" spans="1:22">
      <c r="A67" s="189" t="s">
        <v>157</v>
      </c>
      <c r="B67" s="190" t="s">
        <v>158</v>
      </c>
      <c r="C67" s="191" t="s">
        <v>275</v>
      </c>
      <c r="D67" s="566">
        <v>700</v>
      </c>
      <c r="E67" s="567">
        <v>3565</v>
      </c>
      <c r="F67" s="192"/>
      <c r="G67" s="562">
        <v>550</v>
      </c>
      <c r="H67" s="562">
        <v>2983</v>
      </c>
      <c r="I67" s="195"/>
      <c r="J67" s="562">
        <v>102</v>
      </c>
      <c r="K67" s="562">
        <v>317</v>
      </c>
      <c r="L67" s="198"/>
      <c r="M67" s="562">
        <v>19</v>
      </c>
      <c r="N67" s="562">
        <v>136</v>
      </c>
      <c r="O67" s="193"/>
      <c r="P67" s="556">
        <f t="shared" si="0"/>
        <v>19.635343618513325</v>
      </c>
      <c r="Q67" s="555">
        <f t="shared" si="1"/>
        <v>18.437814280925245</v>
      </c>
      <c r="R67" s="555">
        <f t="shared" si="2"/>
        <v>32.176656151419557</v>
      </c>
      <c r="S67" s="554">
        <f t="shared" si="3"/>
        <v>13.970588235294118</v>
      </c>
      <c r="T67" s="196"/>
      <c r="U67" s="197"/>
      <c r="V67" s="197"/>
    </row>
    <row r="68" spans="1:22">
      <c r="A68" s="189" t="s">
        <v>163</v>
      </c>
      <c r="B68" s="190" t="s">
        <v>164</v>
      </c>
      <c r="C68" s="191" t="s">
        <v>272</v>
      </c>
      <c r="D68" s="566">
        <v>887</v>
      </c>
      <c r="E68" s="567">
        <v>2010</v>
      </c>
      <c r="F68" s="192"/>
      <c r="G68" s="562">
        <v>283</v>
      </c>
      <c r="H68" s="562">
        <v>1078</v>
      </c>
      <c r="I68" s="195"/>
      <c r="J68" s="562">
        <v>508</v>
      </c>
      <c r="K68" s="562">
        <v>710</v>
      </c>
      <c r="L68" s="198"/>
      <c r="M68" s="562">
        <v>113</v>
      </c>
      <c r="N68" s="562">
        <v>283</v>
      </c>
      <c r="O68" s="193"/>
      <c r="P68" s="556">
        <f t="shared" si="0"/>
        <v>44.129353233830848</v>
      </c>
      <c r="Q68" s="555">
        <f t="shared" si="1"/>
        <v>26.252319109461968</v>
      </c>
      <c r="R68" s="555">
        <f t="shared" si="2"/>
        <v>71.549295774647888</v>
      </c>
      <c r="S68" s="554">
        <f t="shared" si="3"/>
        <v>39.929328621908127</v>
      </c>
      <c r="T68" s="196"/>
      <c r="U68" s="197"/>
      <c r="V68" s="197"/>
    </row>
    <row r="69" spans="1:22">
      <c r="A69" s="189" t="s">
        <v>165</v>
      </c>
      <c r="B69" s="190" t="s">
        <v>166</v>
      </c>
      <c r="C69" s="191" t="s">
        <v>275</v>
      </c>
      <c r="D69" s="566">
        <v>579</v>
      </c>
      <c r="E69" s="567">
        <v>1628</v>
      </c>
      <c r="F69" s="192"/>
      <c r="G69" s="562">
        <v>237</v>
      </c>
      <c r="H69" s="562">
        <v>999</v>
      </c>
      <c r="I69" s="195"/>
      <c r="J69" s="562">
        <v>297</v>
      </c>
      <c r="K69" s="562">
        <v>521</v>
      </c>
      <c r="L69" s="198"/>
      <c r="M69" s="562">
        <v>34</v>
      </c>
      <c r="N69" s="562">
        <v>112</v>
      </c>
      <c r="O69" s="193"/>
      <c r="P69" s="556">
        <f t="shared" si="0"/>
        <v>35.565110565110565</v>
      </c>
      <c r="Q69" s="555">
        <f t="shared" si="1"/>
        <v>23.723723723723726</v>
      </c>
      <c r="R69" s="555">
        <f t="shared" si="2"/>
        <v>57.005758157389629</v>
      </c>
      <c r="S69" s="554">
        <f t="shared" si="3"/>
        <v>30.357142857142854</v>
      </c>
      <c r="T69" s="196"/>
      <c r="U69" s="197"/>
      <c r="V69" s="197"/>
    </row>
    <row r="70" spans="1:22">
      <c r="A70" s="189" t="s">
        <v>169</v>
      </c>
      <c r="B70" s="190" t="s">
        <v>170</v>
      </c>
      <c r="C70" s="191" t="s">
        <v>275</v>
      </c>
      <c r="D70" s="566">
        <v>997</v>
      </c>
      <c r="E70" s="567">
        <v>2678</v>
      </c>
      <c r="F70" s="192"/>
      <c r="G70" s="562">
        <v>421</v>
      </c>
      <c r="H70" s="562">
        <v>1585</v>
      </c>
      <c r="I70" s="195"/>
      <c r="J70" s="562">
        <v>506</v>
      </c>
      <c r="K70" s="562">
        <v>908</v>
      </c>
      <c r="L70" s="198"/>
      <c r="M70" s="562">
        <v>33</v>
      </c>
      <c r="N70" s="562">
        <v>158</v>
      </c>
      <c r="O70" s="193"/>
      <c r="P70" s="556">
        <f t="shared" ref="P70:P125" si="4">(D70/E70)*100</f>
        <v>37.229275578790144</v>
      </c>
      <c r="Q70" s="555">
        <f t="shared" ref="Q70:Q125" si="5">(G70/H70)*100</f>
        <v>26.561514195583598</v>
      </c>
      <c r="R70" s="555">
        <f t="shared" ref="R70:R125" si="6">(J70/K70)*100</f>
        <v>55.726872246696033</v>
      </c>
      <c r="S70" s="554">
        <f t="shared" ref="S70:S125" si="7">IF(N70&lt;1,"NA", ((M70/N70)*100))</f>
        <v>20.88607594936709</v>
      </c>
      <c r="T70" s="196"/>
      <c r="U70" s="197"/>
      <c r="V70" s="197"/>
    </row>
    <row r="71" spans="1:22">
      <c r="A71" s="189" t="s">
        <v>171</v>
      </c>
      <c r="B71" s="190" t="s">
        <v>172</v>
      </c>
      <c r="C71" s="191" t="s">
        <v>276</v>
      </c>
      <c r="D71" s="566">
        <v>1664</v>
      </c>
      <c r="E71" s="567">
        <v>6621</v>
      </c>
      <c r="F71" s="192"/>
      <c r="G71" s="562">
        <v>1104</v>
      </c>
      <c r="H71" s="562">
        <v>5261</v>
      </c>
      <c r="I71" s="195"/>
      <c r="J71" s="562">
        <v>363</v>
      </c>
      <c r="K71" s="562">
        <v>777</v>
      </c>
      <c r="L71" s="198"/>
      <c r="M71" s="562">
        <v>99</v>
      </c>
      <c r="N71" s="562">
        <v>366</v>
      </c>
      <c r="O71" s="193"/>
      <c r="P71" s="556">
        <f t="shared" si="4"/>
        <v>25.132155263555354</v>
      </c>
      <c r="Q71" s="555">
        <f t="shared" si="5"/>
        <v>20.984603687511878</v>
      </c>
      <c r="R71" s="555">
        <f t="shared" si="6"/>
        <v>46.71814671814672</v>
      </c>
      <c r="S71" s="554">
        <f t="shared" si="7"/>
        <v>27.049180327868854</v>
      </c>
      <c r="T71" s="196"/>
      <c r="U71" s="197"/>
      <c r="V71" s="197"/>
    </row>
    <row r="72" spans="1:22">
      <c r="A72" s="189" t="s">
        <v>173</v>
      </c>
      <c r="B72" s="190" t="s">
        <v>174</v>
      </c>
      <c r="C72" s="191" t="s">
        <v>276</v>
      </c>
      <c r="D72" s="566">
        <v>1301</v>
      </c>
      <c r="E72" s="567">
        <v>4462</v>
      </c>
      <c r="F72" s="192"/>
      <c r="G72" s="562">
        <v>1205</v>
      </c>
      <c r="H72" s="562">
        <v>4233</v>
      </c>
      <c r="I72" s="195"/>
      <c r="J72" s="562">
        <v>40</v>
      </c>
      <c r="K72" s="562">
        <v>69</v>
      </c>
      <c r="L72" s="198"/>
      <c r="M72" s="562">
        <v>54</v>
      </c>
      <c r="N72" s="562">
        <v>128</v>
      </c>
      <c r="O72" s="193"/>
      <c r="P72" s="556">
        <f t="shared" si="4"/>
        <v>29.157328552218736</v>
      </c>
      <c r="Q72" s="555">
        <f t="shared" si="5"/>
        <v>28.466808410111032</v>
      </c>
      <c r="R72" s="555">
        <f t="shared" si="6"/>
        <v>57.971014492753625</v>
      </c>
      <c r="S72" s="554">
        <f t="shared" si="7"/>
        <v>42.1875</v>
      </c>
      <c r="T72" s="196"/>
      <c r="U72" s="197"/>
      <c r="V72" s="197"/>
    </row>
    <row r="73" spans="1:22">
      <c r="A73" s="189" t="s">
        <v>175</v>
      </c>
      <c r="B73" s="190" t="s">
        <v>176</v>
      </c>
      <c r="C73" s="191" t="s">
        <v>278</v>
      </c>
      <c r="D73" s="566">
        <v>892</v>
      </c>
      <c r="E73" s="567">
        <v>3154</v>
      </c>
      <c r="F73" s="192"/>
      <c r="G73" s="562">
        <v>738</v>
      </c>
      <c r="H73" s="562">
        <v>2803</v>
      </c>
      <c r="I73" s="195"/>
      <c r="J73" s="562">
        <v>97</v>
      </c>
      <c r="K73" s="562">
        <v>159</v>
      </c>
      <c r="L73" s="198"/>
      <c r="M73" s="562">
        <v>48</v>
      </c>
      <c r="N73" s="562">
        <v>159</v>
      </c>
      <c r="O73" s="193"/>
      <c r="P73" s="556">
        <f t="shared" si="4"/>
        <v>28.28154724159797</v>
      </c>
      <c r="Q73" s="555">
        <f t="shared" si="5"/>
        <v>26.328933285765249</v>
      </c>
      <c r="R73" s="555">
        <f t="shared" si="6"/>
        <v>61.0062893081761</v>
      </c>
      <c r="S73" s="554">
        <f t="shared" si="7"/>
        <v>30.188679245283019</v>
      </c>
      <c r="T73" s="196"/>
      <c r="U73" s="197"/>
      <c r="V73" s="197"/>
    </row>
    <row r="74" spans="1:22">
      <c r="A74" s="189" t="s">
        <v>179</v>
      </c>
      <c r="B74" s="190" t="s">
        <v>180</v>
      </c>
      <c r="C74" s="191" t="s">
        <v>273</v>
      </c>
      <c r="D74" s="566">
        <v>3561</v>
      </c>
      <c r="E74" s="567">
        <v>11424</v>
      </c>
      <c r="F74" s="192"/>
      <c r="G74" s="562">
        <v>2288</v>
      </c>
      <c r="H74" s="562">
        <v>8821</v>
      </c>
      <c r="I74" s="195"/>
      <c r="J74" s="562">
        <v>1066</v>
      </c>
      <c r="K74" s="562">
        <v>2044</v>
      </c>
      <c r="L74" s="198"/>
      <c r="M74" s="562">
        <v>164</v>
      </c>
      <c r="N74" s="562">
        <v>419</v>
      </c>
      <c r="O74" s="193"/>
      <c r="P74" s="556">
        <f t="shared" si="4"/>
        <v>31.17121848739496</v>
      </c>
      <c r="Q74" s="555">
        <f t="shared" si="5"/>
        <v>25.938102255980048</v>
      </c>
      <c r="R74" s="555">
        <f t="shared" si="6"/>
        <v>52.152641878669279</v>
      </c>
      <c r="S74" s="554">
        <f t="shared" si="7"/>
        <v>39.140811455847256</v>
      </c>
      <c r="T74" s="196"/>
      <c r="U74" s="197"/>
      <c r="V74" s="197"/>
    </row>
    <row r="75" spans="1:22">
      <c r="A75" s="189" t="s">
        <v>183</v>
      </c>
      <c r="B75" s="190" t="s">
        <v>184</v>
      </c>
      <c r="C75" s="191" t="s">
        <v>275</v>
      </c>
      <c r="D75" s="566">
        <v>894</v>
      </c>
      <c r="E75" s="567">
        <v>5676</v>
      </c>
      <c r="F75" s="192"/>
      <c r="G75" s="562">
        <v>705</v>
      </c>
      <c r="H75" s="562">
        <v>5098</v>
      </c>
      <c r="I75" s="195"/>
      <c r="J75" s="562">
        <v>126</v>
      </c>
      <c r="K75" s="562">
        <v>331</v>
      </c>
      <c r="L75" s="198"/>
      <c r="M75" s="562">
        <v>31</v>
      </c>
      <c r="N75" s="562">
        <v>150</v>
      </c>
      <c r="O75" s="193"/>
      <c r="P75" s="556">
        <f t="shared" si="4"/>
        <v>15.750528541226217</v>
      </c>
      <c r="Q75" s="555">
        <f t="shared" si="5"/>
        <v>13.828952530404079</v>
      </c>
      <c r="R75" s="555">
        <f t="shared" si="6"/>
        <v>38.066465256797585</v>
      </c>
      <c r="S75" s="554">
        <f t="shared" si="7"/>
        <v>20.666666666666668</v>
      </c>
      <c r="T75" s="196"/>
      <c r="U75" s="197"/>
      <c r="V75" s="197"/>
    </row>
    <row r="76" spans="1:22">
      <c r="A76" s="189" t="s">
        <v>185</v>
      </c>
      <c r="B76" s="190" t="s">
        <v>186</v>
      </c>
      <c r="C76" s="191" t="s">
        <v>275</v>
      </c>
      <c r="D76" s="566">
        <v>1369</v>
      </c>
      <c r="E76" s="567">
        <v>3375</v>
      </c>
      <c r="F76" s="192"/>
      <c r="G76" s="562">
        <v>434</v>
      </c>
      <c r="H76" s="562">
        <v>1775</v>
      </c>
      <c r="I76" s="195"/>
      <c r="J76" s="562">
        <v>840</v>
      </c>
      <c r="K76" s="562">
        <v>1364</v>
      </c>
      <c r="L76" s="198"/>
      <c r="M76" s="562">
        <v>27</v>
      </c>
      <c r="N76" s="562">
        <v>99</v>
      </c>
      <c r="O76" s="193"/>
      <c r="P76" s="556">
        <f t="shared" si="4"/>
        <v>40.562962962962963</v>
      </c>
      <c r="Q76" s="555">
        <f t="shared" si="5"/>
        <v>24.450704225352112</v>
      </c>
      <c r="R76" s="555">
        <f t="shared" si="6"/>
        <v>61.583577712609973</v>
      </c>
      <c r="S76" s="554">
        <f t="shared" si="7"/>
        <v>27.27272727272727</v>
      </c>
      <c r="T76" s="196"/>
      <c r="U76" s="197"/>
      <c r="V76" s="197"/>
    </row>
    <row r="77" spans="1:22">
      <c r="A77" s="189" t="s">
        <v>187</v>
      </c>
      <c r="B77" s="190" t="s">
        <v>188</v>
      </c>
      <c r="C77" s="191" t="s">
        <v>272</v>
      </c>
      <c r="D77" s="566">
        <v>1977</v>
      </c>
      <c r="E77" s="567">
        <v>7077</v>
      </c>
      <c r="F77" s="192"/>
      <c r="G77" s="562">
        <v>897</v>
      </c>
      <c r="H77" s="562">
        <v>4149</v>
      </c>
      <c r="I77" s="195"/>
      <c r="J77" s="562">
        <v>877</v>
      </c>
      <c r="K77" s="562">
        <v>2141</v>
      </c>
      <c r="L77" s="198"/>
      <c r="M77" s="562">
        <v>144</v>
      </c>
      <c r="N77" s="562">
        <v>601</v>
      </c>
      <c r="O77" s="193"/>
      <c r="P77" s="556">
        <f t="shared" si="4"/>
        <v>27.935565917761764</v>
      </c>
      <c r="Q77" s="555">
        <f t="shared" si="5"/>
        <v>21.619667389732466</v>
      </c>
      <c r="R77" s="555">
        <f t="shared" si="6"/>
        <v>40.96216721158337</v>
      </c>
      <c r="S77" s="554">
        <f t="shared" si="7"/>
        <v>23.960066555740433</v>
      </c>
      <c r="T77" s="196"/>
      <c r="U77" s="197"/>
      <c r="V77" s="197"/>
    </row>
    <row r="78" spans="1:22">
      <c r="A78" s="189" t="s">
        <v>189</v>
      </c>
      <c r="B78" s="190" t="s">
        <v>190</v>
      </c>
      <c r="C78" s="191" t="s">
        <v>276</v>
      </c>
      <c r="D78" s="566">
        <v>21749</v>
      </c>
      <c r="E78" s="567">
        <v>103118</v>
      </c>
      <c r="F78" s="192"/>
      <c r="G78" s="562">
        <v>8234</v>
      </c>
      <c r="H78" s="562">
        <v>55019</v>
      </c>
      <c r="I78" s="195"/>
      <c r="J78" s="562">
        <v>8089</v>
      </c>
      <c r="K78" s="562">
        <v>20838</v>
      </c>
      <c r="L78" s="198"/>
      <c r="M78" s="562">
        <v>5636</v>
      </c>
      <c r="N78" s="562">
        <v>24344</v>
      </c>
      <c r="O78" s="193"/>
      <c r="P78" s="556">
        <f t="shared" si="4"/>
        <v>21.091371050641015</v>
      </c>
      <c r="Q78" s="555">
        <f t="shared" si="5"/>
        <v>14.965739108308037</v>
      </c>
      <c r="R78" s="555">
        <f t="shared" si="6"/>
        <v>38.818504654957295</v>
      </c>
      <c r="S78" s="554">
        <f t="shared" si="7"/>
        <v>23.151495234965495</v>
      </c>
      <c r="T78" s="196"/>
      <c r="U78" s="197"/>
      <c r="V78" s="197"/>
    </row>
    <row r="79" spans="1:22">
      <c r="A79" s="189" t="s">
        <v>191</v>
      </c>
      <c r="B79" s="190" t="s">
        <v>192</v>
      </c>
      <c r="C79" s="191" t="s">
        <v>278</v>
      </c>
      <c r="D79" s="566">
        <v>1787</v>
      </c>
      <c r="E79" s="567">
        <v>5721</v>
      </c>
      <c r="F79" s="192"/>
      <c r="G79" s="562">
        <v>1480</v>
      </c>
      <c r="H79" s="562">
        <v>5198</v>
      </c>
      <c r="I79" s="195"/>
      <c r="J79" s="562">
        <v>152</v>
      </c>
      <c r="K79" s="562">
        <v>245</v>
      </c>
      <c r="L79" s="198"/>
      <c r="M79" s="562">
        <v>43</v>
      </c>
      <c r="N79" s="562">
        <v>127</v>
      </c>
      <c r="O79" s="193"/>
      <c r="P79" s="556">
        <f t="shared" si="4"/>
        <v>31.235797937423527</v>
      </c>
      <c r="Q79" s="555">
        <f t="shared" si="5"/>
        <v>28.472489419007314</v>
      </c>
      <c r="R79" s="555">
        <f t="shared" si="6"/>
        <v>62.04081632653061</v>
      </c>
      <c r="S79" s="554">
        <f t="shared" si="7"/>
        <v>33.858267716535437</v>
      </c>
      <c r="T79" s="196"/>
      <c r="U79" s="197"/>
      <c r="V79" s="197"/>
    </row>
    <row r="80" spans="1:22">
      <c r="A80" s="189" t="s">
        <v>195</v>
      </c>
      <c r="B80" s="190" t="s">
        <v>196</v>
      </c>
      <c r="C80" s="191" t="s">
        <v>276</v>
      </c>
      <c r="D80" s="566">
        <v>320</v>
      </c>
      <c r="E80" s="567">
        <v>1265</v>
      </c>
      <c r="F80" s="192"/>
      <c r="G80" s="562">
        <v>269</v>
      </c>
      <c r="H80" s="562">
        <v>1157</v>
      </c>
      <c r="I80" s="195"/>
      <c r="J80" s="562">
        <v>23</v>
      </c>
      <c r="K80" s="562">
        <v>42</v>
      </c>
      <c r="L80" s="198"/>
      <c r="M80" s="562">
        <v>22</v>
      </c>
      <c r="N80" s="562">
        <v>71</v>
      </c>
      <c r="O80" s="193"/>
      <c r="P80" s="556">
        <f t="shared" si="4"/>
        <v>25.296442687747035</v>
      </c>
      <c r="Q80" s="555">
        <f t="shared" si="5"/>
        <v>23.249783923941227</v>
      </c>
      <c r="R80" s="555">
        <f t="shared" si="6"/>
        <v>54.761904761904766</v>
      </c>
      <c r="S80" s="554">
        <f t="shared" si="7"/>
        <v>30.985915492957744</v>
      </c>
      <c r="T80" s="196"/>
      <c r="U80" s="197"/>
      <c r="V80" s="197"/>
    </row>
    <row r="81" spans="1:22">
      <c r="A81" s="189" t="s">
        <v>199</v>
      </c>
      <c r="B81" s="190" t="s">
        <v>200</v>
      </c>
      <c r="C81" s="191" t="s">
        <v>275</v>
      </c>
      <c r="D81" s="566">
        <v>416</v>
      </c>
      <c r="E81" s="567">
        <v>1302</v>
      </c>
      <c r="F81" s="192"/>
      <c r="G81" s="562">
        <v>202</v>
      </c>
      <c r="H81" s="562">
        <v>875</v>
      </c>
      <c r="I81" s="195"/>
      <c r="J81" s="562">
        <v>175</v>
      </c>
      <c r="K81" s="562">
        <v>276</v>
      </c>
      <c r="L81" s="198"/>
      <c r="M81" s="562">
        <v>24</v>
      </c>
      <c r="N81" s="562">
        <v>125</v>
      </c>
      <c r="O81" s="193"/>
      <c r="P81" s="556">
        <f t="shared" si="4"/>
        <v>31.95084485407066</v>
      </c>
      <c r="Q81" s="555">
        <f t="shared" si="5"/>
        <v>23.085714285714285</v>
      </c>
      <c r="R81" s="555">
        <f t="shared" si="6"/>
        <v>63.405797101449281</v>
      </c>
      <c r="S81" s="554">
        <f t="shared" si="7"/>
        <v>19.2</v>
      </c>
      <c r="T81" s="196"/>
      <c r="U81" s="197"/>
      <c r="V81" s="197"/>
    </row>
    <row r="82" spans="1:22">
      <c r="A82" s="189" t="s">
        <v>203</v>
      </c>
      <c r="B82" s="190" t="s">
        <v>887</v>
      </c>
      <c r="C82" s="191" t="s">
        <v>273</v>
      </c>
      <c r="D82" s="566">
        <v>5421</v>
      </c>
      <c r="E82" s="567">
        <v>22594</v>
      </c>
      <c r="F82" s="192"/>
      <c r="G82" s="562">
        <v>4101</v>
      </c>
      <c r="H82" s="562">
        <v>19297</v>
      </c>
      <c r="I82" s="195"/>
      <c r="J82" s="562">
        <v>784</v>
      </c>
      <c r="K82" s="562">
        <v>1384</v>
      </c>
      <c r="L82" s="198"/>
      <c r="M82" s="562">
        <v>238</v>
      </c>
      <c r="N82" s="562">
        <v>833</v>
      </c>
      <c r="O82" s="193"/>
      <c r="P82" s="556">
        <f t="shared" si="4"/>
        <v>23.993095512082853</v>
      </c>
      <c r="Q82" s="555">
        <f t="shared" si="5"/>
        <v>21.25200808415816</v>
      </c>
      <c r="R82" s="555">
        <f t="shared" si="6"/>
        <v>56.647398843930638</v>
      </c>
      <c r="S82" s="554">
        <f t="shared" si="7"/>
        <v>28.571428571428569</v>
      </c>
      <c r="T82" s="196"/>
      <c r="U82" s="197"/>
      <c r="V82" s="197"/>
    </row>
    <row r="83" spans="1:22">
      <c r="A83" s="189" t="s">
        <v>205</v>
      </c>
      <c r="B83" s="190" t="s">
        <v>359</v>
      </c>
      <c r="C83" s="191" t="s">
        <v>273</v>
      </c>
      <c r="D83" s="566">
        <v>1602</v>
      </c>
      <c r="E83" s="567">
        <v>5638</v>
      </c>
      <c r="F83" s="192"/>
      <c r="G83" s="562">
        <v>1357</v>
      </c>
      <c r="H83" s="562">
        <v>5119</v>
      </c>
      <c r="I83" s="195"/>
      <c r="J83" s="562">
        <v>137</v>
      </c>
      <c r="K83" s="562">
        <v>227</v>
      </c>
      <c r="L83" s="198"/>
      <c r="M83" s="562">
        <v>53</v>
      </c>
      <c r="N83" s="562">
        <v>160</v>
      </c>
      <c r="O83" s="193"/>
      <c r="P83" s="556">
        <f t="shared" si="4"/>
        <v>28.414331323164244</v>
      </c>
      <c r="Q83" s="555">
        <f t="shared" si="5"/>
        <v>26.509083805430748</v>
      </c>
      <c r="R83" s="555">
        <f t="shared" si="6"/>
        <v>60.352422907488986</v>
      </c>
      <c r="S83" s="554">
        <f t="shared" si="7"/>
        <v>33.125</v>
      </c>
      <c r="T83" s="196"/>
      <c r="U83" s="197"/>
      <c r="V83" s="197"/>
    </row>
    <row r="84" spans="1:22">
      <c r="A84" s="189" t="s">
        <v>207</v>
      </c>
      <c r="B84" s="190" t="s">
        <v>360</v>
      </c>
      <c r="C84" s="191" t="s">
        <v>276</v>
      </c>
      <c r="D84" s="566">
        <v>5746</v>
      </c>
      <c r="E84" s="567">
        <v>22670</v>
      </c>
      <c r="F84" s="192"/>
      <c r="G84" s="562">
        <v>4074</v>
      </c>
      <c r="H84" s="562">
        <v>18481</v>
      </c>
      <c r="I84" s="195"/>
      <c r="J84" s="562">
        <v>513</v>
      </c>
      <c r="K84" s="562">
        <v>877</v>
      </c>
      <c r="L84" s="198"/>
      <c r="M84" s="562">
        <v>1366</v>
      </c>
      <c r="N84" s="562">
        <v>3697</v>
      </c>
      <c r="O84" s="193"/>
      <c r="P84" s="556">
        <f t="shared" si="4"/>
        <v>25.34627260696956</v>
      </c>
      <c r="Q84" s="555">
        <f t="shared" si="5"/>
        <v>22.044261674151834</v>
      </c>
      <c r="R84" s="555">
        <f t="shared" si="6"/>
        <v>58.494868871151652</v>
      </c>
      <c r="S84" s="554">
        <f t="shared" si="7"/>
        <v>36.948877468217475</v>
      </c>
      <c r="T84" s="196"/>
      <c r="U84" s="197"/>
      <c r="V84" s="197"/>
    </row>
    <row r="85" spans="1:22">
      <c r="A85" s="189" t="s">
        <v>209</v>
      </c>
      <c r="B85" s="190" t="s">
        <v>210</v>
      </c>
      <c r="C85" s="191" t="s">
        <v>278</v>
      </c>
      <c r="D85" s="566">
        <v>1191</v>
      </c>
      <c r="E85" s="567">
        <v>5014</v>
      </c>
      <c r="F85" s="192"/>
      <c r="G85" s="562">
        <v>1138</v>
      </c>
      <c r="H85" s="562">
        <v>4887</v>
      </c>
      <c r="I85" s="195"/>
      <c r="J85" s="562">
        <v>6</v>
      </c>
      <c r="K85" s="562">
        <v>24</v>
      </c>
      <c r="L85" s="198"/>
      <c r="M85" s="562">
        <v>34</v>
      </c>
      <c r="N85" s="562">
        <v>83</v>
      </c>
      <c r="O85" s="193"/>
      <c r="P85" s="556">
        <f t="shared" si="4"/>
        <v>23.753490227363383</v>
      </c>
      <c r="Q85" s="555">
        <f t="shared" si="5"/>
        <v>23.286269695109475</v>
      </c>
      <c r="R85" s="555">
        <f t="shared" si="6"/>
        <v>25</v>
      </c>
      <c r="S85" s="554">
        <f t="shared" si="7"/>
        <v>40.963855421686745</v>
      </c>
      <c r="T85" s="196"/>
      <c r="U85" s="197"/>
      <c r="V85" s="197"/>
    </row>
    <row r="86" spans="1:22">
      <c r="A86" s="189" t="s">
        <v>211</v>
      </c>
      <c r="B86" s="190" t="s">
        <v>212</v>
      </c>
      <c r="C86" s="191" t="s">
        <v>278</v>
      </c>
      <c r="D86" s="566">
        <v>959</v>
      </c>
      <c r="E86" s="567">
        <v>3843</v>
      </c>
      <c r="F86" s="192"/>
      <c r="G86" s="562">
        <v>910</v>
      </c>
      <c r="H86" s="562">
        <v>3735</v>
      </c>
      <c r="I86" s="195"/>
      <c r="J86" s="562">
        <v>6</v>
      </c>
      <c r="K86" s="562">
        <v>16</v>
      </c>
      <c r="L86" s="198"/>
      <c r="M86" s="562">
        <v>36</v>
      </c>
      <c r="N86" s="562">
        <v>76</v>
      </c>
      <c r="O86" s="193"/>
      <c r="P86" s="556">
        <f t="shared" si="4"/>
        <v>24.954462659380692</v>
      </c>
      <c r="Q86" s="555">
        <f t="shared" si="5"/>
        <v>24.364123159303883</v>
      </c>
      <c r="R86" s="555">
        <f t="shared" si="6"/>
        <v>37.5</v>
      </c>
      <c r="S86" s="554">
        <f t="shared" si="7"/>
        <v>47.368421052631575</v>
      </c>
      <c r="T86" s="196"/>
      <c r="U86" s="197"/>
      <c r="V86" s="197"/>
    </row>
    <row r="87" spans="1:22">
      <c r="A87" s="189" t="s">
        <v>213</v>
      </c>
      <c r="B87" s="190" t="s">
        <v>214</v>
      </c>
      <c r="C87" s="191" t="s">
        <v>276</v>
      </c>
      <c r="D87" s="566">
        <v>2330</v>
      </c>
      <c r="E87" s="567">
        <v>8141</v>
      </c>
      <c r="F87" s="192"/>
      <c r="G87" s="562">
        <v>2035</v>
      </c>
      <c r="H87" s="562">
        <v>7261</v>
      </c>
      <c r="I87" s="195"/>
      <c r="J87" s="562">
        <v>66</v>
      </c>
      <c r="K87" s="562">
        <v>133</v>
      </c>
      <c r="L87" s="198"/>
      <c r="M87" s="562">
        <v>300</v>
      </c>
      <c r="N87" s="562">
        <v>869</v>
      </c>
      <c r="O87" s="193"/>
      <c r="P87" s="556">
        <f t="shared" si="4"/>
        <v>28.620562584449083</v>
      </c>
      <c r="Q87" s="555">
        <f t="shared" si="5"/>
        <v>28.026442638754993</v>
      </c>
      <c r="R87" s="555">
        <f t="shared" si="6"/>
        <v>49.624060150375939</v>
      </c>
      <c r="S87" s="554">
        <f t="shared" si="7"/>
        <v>34.522439585730723</v>
      </c>
      <c r="T87" s="196"/>
      <c r="U87" s="197"/>
      <c r="V87" s="197"/>
    </row>
    <row r="88" spans="1:22">
      <c r="A88" s="189" t="s">
        <v>215</v>
      </c>
      <c r="B88" s="190" t="s">
        <v>216</v>
      </c>
      <c r="C88" s="191" t="s">
        <v>278</v>
      </c>
      <c r="D88" s="566">
        <v>1901</v>
      </c>
      <c r="E88" s="567">
        <v>5684</v>
      </c>
      <c r="F88" s="192"/>
      <c r="G88" s="562">
        <v>1714</v>
      </c>
      <c r="H88" s="562">
        <v>5361</v>
      </c>
      <c r="I88" s="195"/>
      <c r="J88" s="562">
        <v>65</v>
      </c>
      <c r="K88" s="562">
        <v>92</v>
      </c>
      <c r="L88" s="198"/>
      <c r="M88" s="562">
        <v>83</v>
      </c>
      <c r="N88" s="562">
        <v>166</v>
      </c>
      <c r="O88" s="193"/>
      <c r="P88" s="556">
        <f t="shared" si="4"/>
        <v>33.444757213230119</v>
      </c>
      <c r="Q88" s="555">
        <f t="shared" si="5"/>
        <v>31.971647080768513</v>
      </c>
      <c r="R88" s="555">
        <f t="shared" si="6"/>
        <v>70.652173913043484</v>
      </c>
      <c r="S88" s="554">
        <f t="shared" si="7"/>
        <v>50</v>
      </c>
      <c r="T88" s="196"/>
      <c r="U88" s="197"/>
      <c r="V88" s="197"/>
    </row>
    <row r="89" spans="1:22">
      <c r="A89" s="189" t="s">
        <v>217</v>
      </c>
      <c r="B89" s="190" t="s">
        <v>218</v>
      </c>
      <c r="C89" s="191" t="s">
        <v>272</v>
      </c>
      <c r="D89" s="566">
        <v>1022</v>
      </c>
      <c r="E89" s="567">
        <v>3228</v>
      </c>
      <c r="F89" s="192"/>
      <c r="G89" s="562">
        <v>421</v>
      </c>
      <c r="H89" s="562">
        <v>2128</v>
      </c>
      <c r="I89" s="195"/>
      <c r="J89" s="562">
        <v>534</v>
      </c>
      <c r="K89" s="562">
        <v>937</v>
      </c>
      <c r="L89" s="198"/>
      <c r="M89" s="562">
        <v>29</v>
      </c>
      <c r="N89" s="562">
        <v>75</v>
      </c>
      <c r="O89" s="193"/>
      <c r="P89" s="556">
        <f t="shared" si="4"/>
        <v>31.660470879801732</v>
      </c>
      <c r="Q89" s="555">
        <f t="shared" si="5"/>
        <v>19.783834586466163</v>
      </c>
      <c r="R89" s="555">
        <f t="shared" si="6"/>
        <v>56.990394877267882</v>
      </c>
      <c r="S89" s="554">
        <f t="shared" si="7"/>
        <v>38.666666666666664</v>
      </c>
      <c r="T89" s="196"/>
      <c r="U89" s="197"/>
      <c r="V89" s="197"/>
    </row>
    <row r="90" spans="1:22">
      <c r="A90" s="189" t="s">
        <v>219</v>
      </c>
      <c r="B90" s="190" t="s">
        <v>220</v>
      </c>
      <c r="C90" s="191" t="s">
        <v>276</v>
      </c>
      <c r="D90" s="566">
        <v>6530</v>
      </c>
      <c r="E90" s="567">
        <v>29736</v>
      </c>
      <c r="F90" s="192"/>
      <c r="G90" s="562">
        <v>3861</v>
      </c>
      <c r="H90" s="562">
        <v>21338</v>
      </c>
      <c r="I90" s="195"/>
      <c r="J90" s="562">
        <v>1756</v>
      </c>
      <c r="K90" s="562">
        <v>4503</v>
      </c>
      <c r="L90" s="198"/>
      <c r="M90" s="562">
        <v>686</v>
      </c>
      <c r="N90" s="562">
        <v>2924</v>
      </c>
      <c r="O90" s="193"/>
      <c r="P90" s="556">
        <f t="shared" si="4"/>
        <v>21.959913909066451</v>
      </c>
      <c r="Q90" s="555">
        <f t="shared" si="5"/>
        <v>18.094479332645982</v>
      </c>
      <c r="R90" s="555">
        <f t="shared" si="6"/>
        <v>38.996224739062846</v>
      </c>
      <c r="S90" s="554">
        <f t="shared" si="7"/>
        <v>23.461012311901506</v>
      </c>
      <c r="T90" s="196"/>
      <c r="U90" s="197"/>
      <c r="V90" s="197"/>
    </row>
    <row r="91" spans="1:22">
      <c r="A91" s="189" t="s">
        <v>221</v>
      </c>
      <c r="B91" s="190" t="s">
        <v>222</v>
      </c>
      <c r="C91" s="191" t="s">
        <v>276</v>
      </c>
      <c r="D91" s="566">
        <v>6789</v>
      </c>
      <c r="E91" s="567">
        <v>33357</v>
      </c>
      <c r="F91" s="192"/>
      <c r="G91" s="562">
        <v>3655</v>
      </c>
      <c r="H91" s="562">
        <v>22763</v>
      </c>
      <c r="I91" s="195"/>
      <c r="J91" s="562">
        <v>2028</v>
      </c>
      <c r="K91" s="562">
        <v>5715</v>
      </c>
      <c r="L91" s="198"/>
      <c r="M91" s="562">
        <v>841</v>
      </c>
      <c r="N91" s="562">
        <v>4030</v>
      </c>
      <c r="O91" s="193"/>
      <c r="P91" s="556">
        <f t="shared" si="4"/>
        <v>20.352549689720298</v>
      </c>
      <c r="Q91" s="555">
        <f t="shared" si="5"/>
        <v>16.056758775205378</v>
      </c>
      <c r="R91" s="555">
        <f t="shared" si="6"/>
        <v>35.485564304461938</v>
      </c>
      <c r="S91" s="554">
        <f t="shared" si="7"/>
        <v>20.868486352357323</v>
      </c>
      <c r="T91" s="196"/>
      <c r="U91" s="197"/>
      <c r="V91" s="197"/>
    </row>
    <row r="92" spans="1:22">
      <c r="A92" s="189" t="s">
        <v>225</v>
      </c>
      <c r="B92" s="190" t="s">
        <v>226</v>
      </c>
      <c r="C92" s="191" t="s">
        <v>272</v>
      </c>
      <c r="D92" s="566">
        <v>346</v>
      </c>
      <c r="E92" s="567">
        <v>1149</v>
      </c>
      <c r="F92" s="192"/>
      <c r="G92" s="562">
        <v>122</v>
      </c>
      <c r="H92" s="562">
        <v>613</v>
      </c>
      <c r="I92" s="195"/>
      <c r="J92" s="562">
        <v>194</v>
      </c>
      <c r="K92" s="562">
        <v>484</v>
      </c>
      <c r="L92" s="198"/>
      <c r="M92" s="562">
        <v>12</v>
      </c>
      <c r="N92" s="562">
        <v>19</v>
      </c>
      <c r="O92" s="193"/>
      <c r="P92" s="556">
        <f t="shared" si="4"/>
        <v>30.113141862489123</v>
      </c>
      <c r="Q92" s="555">
        <f t="shared" si="5"/>
        <v>19.902120717781401</v>
      </c>
      <c r="R92" s="555">
        <f t="shared" si="6"/>
        <v>40.082644628099175</v>
      </c>
      <c r="S92" s="554">
        <f t="shared" si="7"/>
        <v>63.157894736842103</v>
      </c>
      <c r="T92" s="196"/>
      <c r="U92" s="197"/>
      <c r="V92" s="197"/>
    </row>
    <row r="93" spans="1:22">
      <c r="A93" s="189" t="s">
        <v>227</v>
      </c>
      <c r="B93" s="190" t="s">
        <v>228</v>
      </c>
      <c r="C93" s="191" t="s">
        <v>272</v>
      </c>
      <c r="D93" s="566">
        <v>725</v>
      </c>
      <c r="E93" s="567">
        <v>1634</v>
      </c>
      <c r="F93" s="192"/>
      <c r="G93" s="562">
        <v>174</v>
      </c>
      <c r="H93" s="562">
        <v>692</v>
      </c>
      <c r="I93" s="195"/>
      <c r="J93" s="562">
        <v>530</v>
      </c>
      <c r="K93" s="562">
        <v>881</v>
      </c>
      <c r="L93" s="198"/>
      <c r="M93" s="562">
        <v>18</v>
      </c>
      <c r="N93" s="562">
        <v>56</v>
      </c>
      <c r="O93" s="193"/>
      <c r="P93" s="556">
        <f t="shared" si="4"/>
        <v>44.369645042839657</v>
      </c>
      <c r="Q93" s="555">
        <f t="shared" si="5"/>
        <v>25.144508670520231</v>
      </c>
      <c r="R93" s="555">
        <f t="shared" si="6"/>
        <v>60.158910329171398</v>
      </c>
      <c r="S93" s="554">
        <f t="shared" si="7"/>
        <v>32.142857142857146</v>
      </c>
      <c r="T93" s="196"/>
      <c r="U93" s="197"/>
      <c r="V93" s="197"/>
    </row>
    <row r="94" spans="1:22">
      <c r="A94" s="189" t="s">
        <v>229</v>
      </c>
      <c r="B94" s="190" t="s">
        <v>230</v>
      </c>
      <c r="C94" s="191" t="s">
        <v>278</v>
      </c>
      <c r="D94" s="566">
        <v>2116</v>
      </c>
      <c r="E94" s="567">
        <v>7837</v>
      </c>
      <c r="F94" s="192"/>
      <c r="G94" s="562">
        <v>1916</v>
      </c>
      <c r="H94" s="562">
        <v>7392</v>
      </c>
      <c r="I94" s="195"/>
      <c r="J94" s="562">
        <v>88</v>
      </c>
      <c r="K94" s="562">
        <v>160</v>
      </c>
      <c r="L94" s="198"/>
      <c r="M94" s="562">
        <v>19</v>
      </c>
      <c r="N94" s="562">
        <v>75</v>
      </c>
      <c r="O94" s="193"/>
      <c r="P94" s="556">
        <f t="shared" si="4"/>
        <v>27.000127599846881</v>
      </c>
      <c r="Q94" s="555">
        <f t="shared" si="5"/>
        <v>25.919913419913421</v>
      </c>
      <c r="R94" s="555">
        <f t="shared" si="6"/>
        <v>55.000000000000007</v>
      </c>
      <c r="S94" s="554">
        <f t="shared" si="7"/>
        <v>25.333333333333336</v>
      </c>
      <c r="T94" s="196"/>
      <c r="U94" s="197"/>
      <c r="V94" s="197"/>
    </row>
    <row r="95" spans="1:22">
      <c r="A95" s="189" t="s">
        <v>233</v>
      </c>
      <c r="B95" s="190" t="s">
        <v>234</v>
      </c>
      <c r="C95" s="191" t="s">
        <v>276</v>
      </c>
      <c r="D95" s="566">
        <v>2070</v>
      </c>
      <c r="E95" s="567">
        <v>7925</v>
      </c>
      <c r="F95" s="192"/>
      <c r="G95" s="562">
        <v>1704</v>
      </c>
      <c r="H95" s="562">
        <v>7018</v>
      </c>
      <c r="I95" s="195"/>
      <c r="J95" s="562">
        <v>144</v>
      </c>
      <c r="K95" s="562">
        <v>291</v>
      </c>
      <c r="L95" s="198"/>
      <c r="M95" s="562">
        <v>143</v>
      </c>
      <c r="N95" s="562">
        <v>441</v>
      </c>
      <c r="O95" s="193"/>
      <c r="P95" s="556">
        <f t="shared" si="4"/>
        <v>26.119873817034701</v>
      </c>
      <c r="Q95" s="555">
        <f t="shared" si="5"/>
        <v>24.280421772584781</v>
      </c>
      <c r="R95" s="555">
        <f t="shared" si="6"/>
        <v>49.484536082474229</v>
      </c>
      <c r="S95" s="554">
        <f t="shared" si="7"/>
        <v>32.426303854875286</v>
      </c>
      <c r="T95" s="196"/>
      <c r="U95" s="197"/>
      <c r="V95" s="197"/>
    </row>
    <row r="96" spans="1:22">
      <c r="A96" s="189" t="s">
        <v>235</v>
      </c>
      <c r="B96" s="190" t="s">
        <v>236</v>
      </c>
      <c r="C96" s="191" t="s">
        <v>278</v>
      </c>
      <c r="D96" s="566">
        <v>2248</v>
      </c>
      <c r="E96" s="567">
        <v>9297</v>
      </c>
      <c r="F96" s="192"/>
      <c r="G96" s="562">
        <v>2095</v>
      </c>
      <c r="H96" s="562">
        <v>8962</v>
      </c>
      <c r="I96" s="195"/>
      <c r="J96" s="562">
        <v>53</v>
      </c>
      <c r="K96" s="562">
        <v>84</v>
      </c>
      <c r="L96" s="198"/>
      <c r="M96" s="562">
        <v>79</v>
      </c>
      <c r="N96" s="562">
        <v>201</v>
      </c>
      <c r="O96" s="193"/>
      <c r="P96" s="556">
        <f t="shared" si="4"/>
        <v>24.179842960094653</v>
      </c>
      <c r="Q96" s="555">
        <f t="shared" si="5"/>
        <v>23.37647846462843</v>
      </c>
      <c r="R96" s="555">
        <f t="shared" si="6"/>
        <v>63.095238095238095</v>
      </c>
      <c r="S96" s="554">
        <f t="shared" si="7"/>
        <v>39.303482587064678</v>
      </c>
      <c r="T96" s="196"/>
      <c r="U96" s="197"/>
      <c r="V96" s="197"/>
    </row>
    <row r="97" spans="1:22">
      <c r="A97" s="189" t="s">
        <v>237</v>
      </c>
      <c r="B97" s="190" t="s">
        <v>238</v>
      </c>
      <c r="C97" s="191" t="s">
        <v>275</v>
      </c>
      <c r="D97" s="566">
        <v>1006</v>
      </c>
      <c r="E97" s="567">
        <v>2739</v>
      </c>
      <c r="F97" s="192"/>
      <c r="G97" s="562">
        <v>433</v>
      </c>
      <c r="H97" s="562">
        <v>1603</v>
      </c>
      <c r="I97" s="195"/>
      <c r="J97" s="562">
        <v>458</v>
      </c>
      <c r="K97" s="562">
        <v>793</v>
      </c>
      <c r="L97" s="198"/>
      <c r="M97" s="562">
        <v>68</v>
      </c>
      <c r="N97" s="562">
        <v>302</v>
      </c>
      <c r="O97" s="193"/>
      <c r="P97" s="556">
        <f t="shared" si="4"/>
        <v>36.728733114275279</v>
      </c>
      <c r="Q97" s="555">
        <f t="shared" si="5"/>
        <v>27.011852776044915</v>
      </c>
      <c r="R97" s="555">
        <f t="shared" si="6"/>
        <v>57.755359394703653</v>
      </c>
      <c r="S97" s="554">
        <f t="shared" si="7"/>
        <v>22.516556291390728</v>
      </c>
      <c r="T97" s="196"/>
      <c r="U97" s="197"/>
      <c r="V97" s="197"/>
    </row>
    <row r="98" spans="1:22">
      <c r="A98" s="189" t="s">
        <v>243</v>
      </c>
      <c r="B98" s="190" t="s">
        <v>244</v>
      </c>
      <c r="C98" s="191" t="s">
        <v>278</v>
      </c>
      <c r="D98" s="566">
        <v>2271</v>
      </c>
      <c r="E98" s="567">
        <v>7274</v>
      </c>
      <c r="F98" s="192"/>
      <c r="G98" s="562">
        <v>2128</v>
      </c>
      <c r="H98" s="562">
        <v>6976</v>
      </c>
      <c r="I98" s="195"/>
      <c r="J98" s="562">
        <v>47</v>
      </c>
      <c r="K98" s="562">
        <v>89</v>
      </c>
      <c r="L98" s="198"/>
      <c r="M98" s="562">
        <v>41</v>
      </c>
      <c r="N98" s="562">
        <v>121</v>
      </c>
      <c r="O98" s="193"/>
      <c r="P98" s="556">
        <f t="shared" si="4"/>
        <v>31.220786362386583</v>
      </c>
      <c r="Q98" s="555">
        <f t="shared" si="5"/>
        <v>30.504587155963304</v>
      </c>
      <c r="R98" s="555">
        <f t="shared" si="6"/>
        <v>52.80898876404494</v>
      </c>
      <c r="S98" s="554">
        <f t="shared" si="7"/>
        <v>33.884297520661157</v>
      </c>
      <c r="T98" s="196"/>
      <c r="U98" s="197"/>
      <c r="V98" s="197"/>
    </row>
    <row r="99" spans="1:22">
      <c r="A99" s="189" t="s">
        <v>245</v>
      </c>
      <c r="B99" s="190" t="s">
        <v>246</v>
      </c>
      <c r="C99" s="191" t="s">
        <v>278</v>
      </c>
      <c r="D99" s="566">
        <v>1508</v>
      </c>
      <c r="E99" s="567">
        <v>5325</v>
      </c>
      <c r="F99" s="192"/>
      <c r="G99" s="562">
        <v>1326</v>
      </c>
      <c r="H99" s="562">
        <v>4963</v>
      </c>
      <c r="I99" s="195"/>
      <c r="J99" s="562">
        <v>94</v>
      </c>
      <c r="K99" s="562">
        <v>149</v>
      </c>
      <c r="L99" s="198"/>
      <c r="M99" s="562">
        <v>22</v>
      </c>
      <c r="N99" s="562">
        <v>83</v>
      </c>
      <c r="O99" s="193"/>
      <c r="P99" s="556">
        <f t="shared" si="4"/>
        <v>28.319248826291084</v>
      </c>
      <c r="Q99" s="555">
        <f t="shared" si="5"/>
        <v>26.717711061857745</v>
      </c>
      <c r="R99" s="555">
        <f t="shared" si="6"/>
        <v>63.087248322147651</v>
      </c>
      <c r="S99" s="554">
        <f t="shared" si="7"/>
        <v>26.506024096385545</v>
      </c>
      <c r="T99" s="196"/>
      <c r="U99" s="197"/>
      <c r="V99" s="197"/>
    </row>
    <row r="100" spans="1:22">
      <c r="A100" s="189" t="s">
        <v>247</v>
      </c>
      <c r="B100" s="190" t="s">
        <v>248</v>
      </c>
      <c r="C100" s="191" t="s">
        <v>272</v>
      </c>
      <c r="D100" s="566">
        <v>3643</v>
      </c>
      <c r="E100" s="567">
        <v>18746</v>
      </c>
      <c r="F100" s="192"/>
      <c r="G100" s="562">
        <v>2415</v>
      </c>
      <c r="H100" s="562">
        <v>14197</v>
      </c>
      <c r="I100" s="195"/>
      <c r="J100" s="562">
        <v>762</v>
      </c>
      <c r="K100" s="562">
        <v>1988</v>
      </c>
      <c r="L100" s="198"/>
      <c r="M100" s="562">
        <v>268</v>
      </c>
      <c r="N100" s="562">
        <v>1170</v>
      </c>
      <c r="O100" s="193"/>
      <c r="P100" s="556">
        <f t="shared" si="4"/>
        <v>19.433479142217006</v>
      </c>
      <c r="Q100" s="555">
        <f t="shared" si="5"/>
        <v>17.010636049869689</v>
      </c>
      <c r="R100" s="555">
        <f t="shared" si="6"/>
        <v>38.329979879275655</v>
      </c>
      <c r="S100" s="554">
        <f t="shared" si="7"/>
        <v>22.905982905982906</v>
      </c>
      <c r="T100" s="196"/>
      <c r="U100" s="197"/>
      <c r="V100" s="197"/>
    </row>
    <row r="101" spans="1:22">
      <c r="A101" s="189" t="s">
        <v>14</v>
      </c>
      <c r="B101" s="190" t="s">
        <v>15</v>
      </c>
      <c r="C101" s="191" t="s">
        <v>276</v>
      </c>
      <c r="D101" s="566">
        <v>6099</v>
      </c>
      <c r="E101" s="567">
        <v>21259</v>
      </c>
      <c r="F101" s="192"/>
      <c r="G101" s="562">
        <v>1819</v>
      </c>
      <c r="H101" s="562">
        <v>11110</v>
      </c>
      <c r="I101" s="195"/>
      <c r="J101" s="562">
        <v>2819</v>
      </c>
      <c r="K101" s="562">
        <v>5285</v>
      </c>
      <c r="L101" s="198"/>
      <c r="M101" s="562">
        <v>1768</v>
      </c>
      <c r="N101" s="562">
        <v>4639</v>
      </c>
      <c r="O101" s="193"/>
      <c r="P101" s="556">
        <f t="shared" si="4"/>
        <v>28.689025824356744</v>
      </c>
      <c r="Q101" s="555">
        <f t="shared" si="5"/>
        <v>16.372637263726372</v>
      </c>
      <c r="R101" s="555">
        <f t="shared" si="6"/>
        <v>53.33964049195837</v>
      </c>
      <c r="S101" s="554">
        <f t="shared" si="7"/>
        <v>38.111661996119857</v>
      </c>
      <c r="T101" s="196"/>
      <c r="U101" s="197"/>
      <c r="V101" s="197"/>
    </row>
    <row r="102" spans="1:22">
      <c r="A102" s="189" t="s">
        <v>35</v>
      </c>
      <c r="B102" s="190" t="s">
        <v>36</v>
      </c>
      <c r="C102" s="191" t="s">
        <v>278</v>
      </c>
      <c r="D102" s="566">
        <v>1324</v>
      </c>
      <c r="E102" s="567">
        <v>3160</v>
      </c>
      <c r="F102" s="192"/>
      <c r="G102" s="562">
        <v>1051</v>
      </c>
      <c r="H102" s="562">
        <v>2720</v>
      </c>
      <c r="I102" s="195"/>
      <c r="J102" s="562">
        <v>138</v>
      </c>
      <c r="K102" s="562">
        <v>212</v>
      </c>
      <c r="L102" s="198"/>
      <c r="M102" s="562">
        <v>44</v>
      </c>
      <c r="N102" s="562">
        <v>67</v>
      </c>
      <c r="O102" s="193"/>
      <c r="P102" s="556">
        <f t="shared" si="4"/>
        <v>41.898734177215189</v>
      </c>
      <c r="Q102" s="555">
        <f t="shared" si="5"/>
        <v>38.639705882352942</v>
      </c>
      <c r="R102" s="555">
        <f t="shared" si="6"/>
        <v>65.094339622641513</v>
      </c>
      <c r="S102" s="554">
        <f t="shared" si="7"/>
        <v>65.671641791044777</v>
      </c>
      <c r="T102" s="196"/>
      <c r="U102" s="197"/>
      <c r="V102" s="197"/>
    </row>
    <row r="103" spans="1:22">
      <c r="A103" s="189" t="s">
        <v>53</v>
      </c>
      <c r="B103" s="190" t="s">
        <v>54</v>
      </c>
      <c r="C103" s="191" t="s">
        <v>273</v>
      </c>
      <c r="D103" s="566">
        <v>2163</v>
      </c>
      <c r="E103" s="567">
        <v>5586</v>
      </c>
      <c r="F103" s="192"/>
      <c r="G103" s="562">
        <v>660</v>
      </c>
      <c r="H103" s="562">
        <v>3177</v>
      </c>
      <c r="I103" s="195"/>
      <c r="J103" s="562">
        <v>1258</v>
      </c>
      <c r="K103" s="562">
        <v>1629</v>
      </c>
      <c r="L103" s="198"/>
      <c r="M103" s="562">
        <v>160</v>
      </c>
      <c r="N103" s="562">
        <v>429</v>
      </c>
      <c r="O103" s="193"/>
      <c r="P103" s="556">
        <f t="shared" si="4"/>
        <v>38.721804511278194</v>
      </c>
      <c r="Q103" s="555">
        <f t="shared" si="5"/>
        <v>20.774315391879131</v>
      </c>
      <c r="R103" s="555">
        <f t="shared" si="6"/>
        <v>77.225291589932482</v>
      </c>
      <c r="S103" s="554">
        <f t="shared" si="7"/>
        <v>37.296037296037298</v>
      </c>
      <c r="T103" s="196"/>
      <c r="U103" s="197"/>
      <c r="V103" s="197"/>
    </row>
    <row r="104" spans="1:22">
      <c r="A104" s="189" t="s">
        <v>55</v>
      </c>
      <c r="B104" s="190" t="s">
        <v>56</v>
      </c>
      <c r="C104" s="191" t="s">
        <v>272</v>
      </c>
      <c r="D104" s="566">
        <v>14601</v>
      </c>
      <c r="E104" s="567">
        <v>50056</v>
      </c>
      <c r="F104" s="192"/>
      <c r="G104" s="562">
        <v>5508</v>
      </c>
      <c r="H104" s="562">
        <v>29895</v>
      </c>
      <c r="I104" s="195"/>
      <c r="J104" s="562">
        <v>7658</v>
      </c>
      <c r="K104" s="562">
        <v>14588</v>
      </c>
      <c r="L104" s="198"/>
      <c r="M104" s="562">
        <v>917</v>
      </c>
      <c r="N104" s="562">
        <v>3205</v>
      </c>
      <c r="O104" s="193"/>
      <c r="P104" s="556">
        <f t="shared" si="4"/>
        <v>29.169330350007993</v>
      </c>
      <c r="Q104" s="555">
        <f t="shared" si="5"/>
        <v>18.424485699949823</v>
      </c>
      <c r="R104" s="555">
        <f t="shared" si="6"/>
        <v>52.495201535508642</v>
      </c>
      <c r="S104" s="554">
        <f t="shared" si="7"/>
        <v>28.611544461778472</v>
      </c>
      <c r="T104" s="196"/>
      <c r="U104" s="197"/>
      <c r="V104" s="197"/>
    </row>
    <row r="105" spans="1:22">
      <c r="A105" s="189" t="s">
        <v>67</v>
      </c>
      <c r="B105" s="190" t="s">
        <v>68</v>
      </c>
      <c r="C105" s="191" t="s">
        <v>273</v>
      </c>
      <c r="D105" s="566">
        <v>4439</v>
      </c>
      <c r="E105" s="567">
        <v>7583</v>
      </c>
      <c r="F105" s="192"/>
      <c r="G105" s="562">
        <v>870</v>
      </c>
      <c r="H105" s="562">
        <v>2468</v>
      </c>
      <c r="I105" s="195"/>
      <c r="J105" s="562">
        <v>3318</v>
      </c>
      <c r="K105" s="562">
        <v>4519</v>
      </c>
      <c r="L105" s="198"/>
      <c r="M105" s="562">
        <v>139</v>
      </c>
      <c r="N105" s="562">
        <v>421</v>
      </c>
      <c r="O105" s="193"/>
      <c r="P105" s="556">
        <f t="shared" si="4"/>
        <v>58.538836871950416</v>
      </c>
      <c r="Q105" s="555">
        <f t="shared" si="5"/>
        <v>35.25121555915721</v>
      </c>
      <c r="R105" s="555">
        <f t="shared" si="6"/>
        <v>73.423323744191194</v>
      </c>
      <c r="S105" s="554">
        <f t="shared" si="7"/>
        <v>33.016627078384801</v>
      </c>
      <c r="T105" s="196"/>
      <c r="U105" s="197"/>
      <c r="V105" s="197"/>
    </row>
    <row r="106" spans="1:22">
      <c r="A106" s="189" t="s">
        <v>83</v>
      </c>
      <c r="B106" s="190" t="s">
        <v>390</v>
      </c>
      <c r="C106" s="191" t="s">
        <v>272</v>
      </c>
      <c r="D106" s="566">
        <v>919</v>
      </c>
      <c r="E106" s="567">
        <v>1745</v>
      </c>
      <c r="F106" s="192"/>
      <c r="G106" s="562">
        <v>104</v>
      </c>
      <c r="H106" s="562">
        <v>535</v>
      </c>
      <c r="I106" s="195"/>
      <c r="J106" s="562">
        <v>767</v>
      </c>
      <c r="K106" s="562">
        <v>1085</v>
      </c>
      <c r="L106" s="198"/>
      <c r="M106" s="562">
        <v>17</v>
      </c>
      <c r="N106" s="562">
        <v>51</v>
      </c>
      <c r="O106" s="193"/>
      <c r="P106" s="556">
        <f t="shared" si="4"/>
        <v>52.664756446991404</v>
      </c>
      <c r="Q106" s="555">
        <f t="shared" si="5"/>
        <v>19.439252336448597</v>
      </c>
      <c r="R106" s="555">
        <f t="shared" si="6"/>
        <v>70.691244239631331</v>
      </c>
      <c r="S106" s="554">
        <f t="shared" si="7"/>
        <v>33.333333333333329</v>
      </c>
      <c r="T106" s="196"/>
      <c r="U106" s="197"/>
      <c r="V106" s="197"/>
    </row>
    <row r="107" spans="1:22">
      <c r="A107" s="189" t="s">
        <v>89</v>
      </c>
      <c r="B107" s="190" t="s">
        <v>90</v>
      </c>
      <c r="C107" s="191" t="s">
        <v>276</v>
      </c>
      <c r="D107" s="566">
        <v>1818</v>
      </c>
      <c r="E107" s="567">
        <v>4129</v>
      </c>
      <c r="F107" s="192"/>
      <c r="G107" s="562">
        <v>613</v>
      </c>
      <c r="H107" s="562">
        <v>1974</v>
      </c>
      <c r="I107" s="195"/>
      <c r="J107" s="562">
        <v>857</v>
      </c>
      <c r="K107" s="562">
        <v>1294</v>
      </c>
      <c r="L107" s="198"/>
      <c r="M107" s="562">
        <v>282</v>
      </c>
      <c r="N107" s="562">
        <v>689</v>
      </c>
      <c r="O107" s="193"/>
      <c r="P107" s="556">
        <f t="shared" si="4"/>
        <v>44.030031484620977</v>
      </c>
      <c r="Q107" s="555">
        <f t="shared" si="5"/>
        <v>31.053698074974672</v>
      </c>
      <c r="R107" s="555">
        <f t="shared" si="6"/>
        <v>66.228748068006183</v>
      </c>
      <c r="S107" s="554">
        <f t="shared" si="7"/>
        <v>40.9288824383164</v>
      </c>
      <c r="T107" s="196"/>
      <c r="U107" s="197"/>
      <c r="V107" s="197"/>
    </row>
    <row r="108" spans="1:22">
      <c r="A108" s="189" t="s">
        <v>91</v>
      </c>
      <c r="B108" s="190" t="s">
        <v>92</v>
      </c>
      <c r="C108" s="191" t="s">
        <v>278</v>
      </c>
      <c r="D108" s="566">
        <v>524</v>
      </c>
      <c r="E108" s="567">
        <v>1339</v>
      </c>
      <c r="F108" s="192"/>
      <c r="G108" s="562">
        <v>356</v>
      </c>
      <c r="H108" s="562">
        <v>1010</v>
      </c>
      <c r="I108" s="195"/>
      <c r="J108" s="562">
        <v>67</v>
      </c>
      <c r="K108" s="562">
        <v>104</v>
      </c>
      <c r="L108" s="198"/>
      <c r="M108" s="562">
        <v>156</v>
      </c>
      <c r="N108" s="562">
        <v>385</v>
      </c>
      <c r="O108" s="193"/>
      <c r="P108" s="556">
        <f t="shared" si="4"/>
        <v>39.133681852128454</v>
      </c>
      <c r="Q108" s="555">
        <f t="shared" si="5"/>
        <v>35.247524752475243</v>
      </c>
      <c r="R108" s="555">
        <f t="shared" si="6"/>
        <v>64.423076923076934</v>
      </c>
      <c r="S108" s="554">
        <f t="shared" si="7"/>
        <v>40.519480519480524</v>
      </c>
      <c r="T108" s="196"/>
      <c r="U108" s="197"/>
      <c r="V108" s="197"/>
    </row>
    <row r="109" spans="1:22">
      <c r="A109" s="189" t="s">
        <v>107</v>
      </c>
      <c r="B109" s="190" t="s">
        <v>108</v>
      </c>
      <c r="C109" s="191" t="s">
        <v>272</v>
      </c>
      <c r="D109" s="566">
        <v>11547</v>
      </c>
      <c r="E109" s="567">
        <v>26282</v>
      </c>
      <c r="F109" s="192"/>
      <c r="G109" s="562">
        <v>2332</v>
      </c>
      <c r="H109" s="562">
        <v>9333</v>
      </c>
      <c r="I109" s="195"/>
      <c r="J109" s="562">
        <v>8024</v>
      </c>
      <c r="K109" s="562">
        <v>13815</v>
      </c>
      <c r="L109" s="198"/>
      <c r="M109" s="562">
        <v>695</v>
      </c>
      <c r="N109" s="562">
        <v>1857</v>
      </c>
      <c r="O109" s="193"/>
      <c r="P109" s="556">
        <f t="shared" si="4"/>
        <v>43.935012556122061</v>
      </c>
      <c r="Q109" s="555">
        <f t="shared" si="5"/>
        <v>24.986606664523734</v>
      </c>
      <c r="R109" s="555">
        <f t="shared" si="6"/>
        <v>58.081795150199056</v>
      </c>
      <c r="S109" s="554">
        <f t="shared" si="7"/>
        <v>37.425955842757133</v>
      </c>
      <c r="T109" s="196"/>
      <c r="U109" s="197"/>
      <c r="V109" s="197"/>
    </row>
    <row r="110" spans="1:22">
      <c r="A110" s="189" t="s">
        <v>117</v>
      </c>
      <c r="B110" s="190" t="s">
        <v>118</v>
      </c>
      <c r="C110" s="191" t="s">
        <v>275</v>
      </c>
      <c r="D110" s="566">
        <v>2546</v>
      </c>
      <c r="E110" s="567">
        <v>4601</v>
      </c>
      <c r="F110" s="192"/>
      <c r="G110" s="562">
        <v>722</v>
      </c>
      <c r="H110" s="562">
        <v>1938</v>
      </c>
      <c r="I110" s="195"/>
      <c r="J110" s="562">
        <v>1574</v>
      </c>
      <c r="K110" s="562">
        <v>2141</v>
      </c>
      <c r="L110" s="198"/>
      <c r="M110" s="562">
        <v>162</v>
      </c>
      <c r="N110" s="562">
        <v>417</v>
      </c>
      <c r="O110" s="193"/>
      <c r="P110" s="556">
        <f t="shared" si="4"/>
        <v>55.335796565963925</v>
      </c>
      <c r="Q110" s="555">
        <f t="shared" si="5"/>
        <v>37.254901960784316</v>
      </c>
      <c r="R110" s="555">
        <f t="shared" si="6"/>
        <v>73.517048108360584</v>
      </c>
      <c r="S110" s="554">
        <f t="shared" si="7"/>
        <v>38.848920863309353</v>
      </c>
      <c r="T110" s="196"/>
      <c r="U110" s="197"/>
      <c r="V110" s="197"/>
    </row>
    <row r="111" spans="1:22">
      <c r="A111" s="189" t="s">
        <v>139</v>
      </c>
      <c r="B111" s="190" t="s">
        <v>140</v>
      </c>
      <c r="C111" s="191" t="s">
        <v>273</v>
      </c>
      <c r="D111" s="566">
        <v>5474</v>
      </c>
      <c r="E111" s="567">
        <v>12801</v>
      </c>
      <c r="F111" s="192"/>
      <c r="G111" s="562">
        <v>1492</v>
      </c>
      <c r="H111" s="562">
        <v>6542</v>
      </c>
      <c r="I111" s="195"/>
      <c r="J111" s="562">
        <v>3493</v>
      </c>
      <c r="K111" s="562">
        <v>4881</v>
      </c>
      <c r="L111" s="198"/>
      <c r="M111" s="562">
        <v>194</v>
      </c>
      <c r="N111" s="562">
        <v>518</v>
      </c>
      <c r="O111" s="193"/>
      <c r="P111" s="556">
        <f t="shared" si="4"/>
        <v>42.762284196547142</v>
      </c>
      <c r="Q111" s="555">
        <f t="shared" si="5"/>
        <v>22.806481198410271</v>
      </c>
      <c r="R111" s="555">
        <f t="shared" si="6"/>
        <v>71.563204261421845</v>
      </c>
      <c r="S111" s="554">
        <f t="shared" si="7"/>
        <v>37.451737451737451</v>
      </c>
      <c r="T111" s="196"/>
      <c r="U111" s="197"/>
      <c r="V111" s="197"/>
    </row>
    <row r="112" spans="1:22">
      <c r="A112" s="189" t="s">
        <v>143</v>
      </c>
      <c r="B112" s="190" t="s">
        <v>144</v>
      </c>
      <c r="C112" s="191" t="s">
        <v>276</v>
      </c>
      <c r="D112" s="566">
        <v>2509</v>
      </c>
      <c r="E112" s="567">
        <v>9107</v>
      </c>
      <c r="F112" s="192"/>
      <c r="G112" s="562">
        <v>1103</v>
      </c>
      <c r="H112" s="562">
        <v>5076</v>
      </c>
      <c r="I112" s="195"/>
      <c r="J112" s="562">
        <v>606</v>
      </c>
      <c r="K112" s="562">
        <v>1202</v>
      </c>
      <c r="L112" s="198"/>
      <c r="M112" s="562">
        <v>956</v>
      </c>
      <c r="N112" s="562">
        <v>3653</v>
      </c>
      <c r="O112" s="193"/>
      <c r="P112" s="556">
        <f t="shared" si="4"/>
        <v>27.550236082134621</v>
      </c>
      <c r="Q112" s="555">
        <f t="shared" si="5"/>
        <v>21.729708431836091</v>
      </c>
      <c r="R112" s="555">
        <f t="shared" si="6"/>
        <v>50.415973377703828</v>
      </c>
      <c r="S112" s="554">
        <f t="shared" si="7"/>
        <v>26.170271010128658</v>
      </c>
      <c r="T112" s="196"/>
      <c r="U112" s="197"/>
      <c r="V112" s="197"/>
    </row>
    <row r="113" spans="1:22">
      <c r="A113" s="189" t="s">
        <v>145</v>
      </c>
      <c r="B113" s="190" t="s">
        <v>146</v>
      </c>
      <c r="C113" s="191" t="s">
        <v>276</v>
      </c>
      <c r="D113" s="566">
        <v>818</v>
      </c>
      <c r="E113" s="567">
        <v>3427</v>
      </c>
      <c r="F113" s="192"/>
      <c r="G113" s="562">
        <v>394</v>
      </c>
      <c r="H113" s="562">
        <v>1745</v>
      </c>
      <c r="I113" s="195"/>
      <c r="J113" s="562">
        <v>165</v>
      </c>
      <c r="K113" s="562">
        <v>437</v>
      </c>
      <c r="L113" s="198"/>
      <c r="M113" s="562">
        <v>319</v>
      </c>
      <c r="N113" s="562">
        <v>1325</v>
      </c>
      <c r="O113" s="193"/>
      <c r="P113" s="556">
        <f t="shared" si="4"/>
        <v>23.869273416982782</v>
      </c>
      <c r="Q113" s="555">
        <f t="shared" si="5"/>
        <v>22.578796561604584</v>
      </c>
      <c r="R113" s="555">
        <f t="shared" si="6"/>
        <v>37.757437070938217</v>
      </c>
      <c r="S113" s="554">
        <f t="shared" si="7"/>
        <v>24.075471698113208</v>
      </c>
      <c r="T113" s="196"/>
      <c r="U113" s="197"/>
      <c r="V113" s="197"/>
    </row>
    <row r="114" spans="1:22">
      <c r="A114" s="189" t="s">
        <v>159</v>
      </c>
      <c r="B114" s="190" t="s">
        <v>160</v>
      </c>
      <c r="C114" s="191" t="s">
        <v>272</v>
      </c>
      <c r="D114" s="566">
        <v>16909</v>
      </c>
      <c r="E114" s="567">
        <v>38118</v>
      </c>
      <c r="F114" s="192"/>
      <c r="G114" s="562">
        <v>3558</v>
      </c>
      <c r="H114" s="562">
        <v>14677</v>
      </c>
      <c r="I114" s="195"/>
      <c r="J114" s="562">
        <v>11205</v>
      </c>
      <c r="K114" s="562">
        <v>17808</v>
      </c>
      <c r="L114" s="198"/>
      <c r="M114" s="562">
        <v>1543</v>
      </c>
      <c r="N114" s="562">
        <v>4095</v>
      </c>
      <c r="O114" s="193"/>
      <c r="P114" s="556">
        <f t="shared" si="4"/>
        <v>44.359620126974129</v>
      </c>
      <c r="Q114" s="555">
        <f t="shared" si="5"/>
        <v>24.242011310213261</v>
      </c>
      <c r="R114" s="555">
        <f t="shared" si="6"/>
        <v>62.921159029649601</v>
      </c>
      <c r="S114" s="554">
        <f t="shared" si="7"/>
        <v>37.680097680097681</v>
      </c>
      <c r="T114" s="196"/>
      <c r="U114" s="197"/>
      <c r="V114" s="197"/>
    </row>
    <row r="115" spans="1:22">
      <c r="A115" s="189" t="s">
        <v>161</v>
      </c>
      <c r="B115" s="190" t="s">
        <v>162</v>
      </c>
      <c r="C115" s="191" t="s">
        <v>272</v>
      </c>
      <c r="D115" s="566">
        <v>20474</v>
      </c>
      <c r="E115" s="567">
        <v>42273</v>
      </c>
      <c r="F115" s="192"/>
      <c r="G115" s="562">
        <v>4007</v>
      </c>
      <c r="H115" s="562">
        <v>15462</v>
      </c>
      <c r="I115" s="195"/>
      <c r="J115" s="562">
        <v>14354</v>
      </c>
      <c r="K115" s="562">
        <v>21188</v>
      </c>
      <c r="L115" s="198"/>
      <c r="M115" s="562">
        <v>1485</v>
      </c>
      <c r="N115" s="562">
        <v>3750</v>
      </c>
      <c r="O115" s="193"/>
      <c r="P115" s="556">
        <f t="shared" si="4"/>
        <v>48.43280580985499</v>
      </c>
      <c r="Q115" s="555">
        <f t="shared" si="5"/>
        <v>25.915146811537966</v>
      </c>
      <c r="R115" s="555">
        <f t="shared" si="6"/>
        <v>67.745893902208792</v>
      </c>
      <c r="S115" s="554">
        <f t="shared" si="7"/>
        <v>39.6</v>
      </c>
      <c r="T115" s="196"/>
      <c r="U115" s="197"/>
      <c r="V115" s="197"/>
    </row>
    <row r="116" spans="1:22">
      <c r="A116" s="189" t="s">
        <v>167</v>
      </c>
      <c r="B116" s="190" t="s">
        <v>168</v>
      </c>
      <c r="C116" s="191" t="s">
        <v>278</v>
      </c>
      <c r="D116" s="566">
        <v>345</v>
      </c>
      <c r="E116" s="567">
        <v>733</v>
      </c>
      <c r="F116" s="192"/>
      <c r="G116" s="562">
        <v>258</v>
      </c>
      <c r="H116" s="562">
        <v>598</v>
      </c>
      <c r="I116" s="195"/>
      <c r="J116" s="562">
        <v>39</v>
      </c>
      <c r="K116" s="562">
        <v>57</v>
      </c>
      <c r="L116" s="198"/>
      <c r="M116" s="562">
        <v>14</v>
      </c>
      <c r="N116" s="562">
        <v>18</v>
      </c>
      <c r="O116" s="193"/>
      <c r="P116" s="556">
        <f t="shared" si="4"/>
        <v>47.066848567530698</v>
      </c>
      <c r="Q116" s="555">
        <f t="shared" si="5"/>
        <v>43.143812709030101</v>
      </c>
      <c r="R116" s="555">
        <f t="shared" si="6"/>
        <v>68.421052631578945</v>
      </c>
      <c r="S116" s="554">
        <f t="shared" si="7"/>
        <v>77.777777777777786</v>
      </c>
      <c r="T116" s="196"/>
      <c r="U116" s="197"/>
      <c r="V116" s="197"/>
    </row>
    <row r="117" spans="1:22">
      <c r="A117" s="189" t="s">
        <v>177</v>
      </c>
      <c r="B117" s="190" t="s">
        <v>178</v>
      </c>
      <c r="C117" s="191" t="s">
        <v>275</v>
      </c>
      <c r="D117" s="566">
        <v>3407</v>
      </c>
      <c r="E117" s="567">
        <v>4980</v>
      </c>
      <c r="F117" s="192"/>
      <c r="G117" s="562">
        <v>162</v>
      </c>
      <c r="H117" s="562">
        <v>403</v>
      </c>
      <c r="I117" s="195"/>
      <c r="J117" s="562">
        <v>3058</v>
      </c>
      <c r="K117" s="562">
        <v>4173</v>
      </c>
      <c r="L117" s="198"/>
      <c r="M117" s="562">
        <v>125</v>
      </c>
      <c r="N117" s="562">
        <v>319</v>
      </c>
      <c r="O117" s="193"/>
      <c r="P117" s="556">
        <f t="shared" si="4"/>
        <v>68.413654618473899</v>
      </c>
      <c r="Q117" s="555">
        <f t="shared" si="5"/>
        <v>40.198511166253105</v>
      </c>
      <c r="R117" s="555">
        <f t="shared" si="6"/>
        <v>73.280613467529349</v>
      </c>
      <c r="S117" s="554">
        <f t="shared" si="7"/>
        <v>39.184952978056423</v>
      </c>
      <c r="T117" s="196"/>
      <c r="U117" s="197"/>
      <c r="V117" s="197"/>
    </row>
    <row r="118" spans="1:22">
      <c r="A118" s="189" t="s">
        <v>181</v>
      </c>
      <c r="B118" s="190" t="s">
        <v>182</v>
      </c>
      <c r="C118" s="191" t="s">
        <v>272</v>
      </c>
      <c r="D118" s="566">
        <v>9017</v>
      </c>
      <c r="E118" s="567">
        <v>18131</v>
      </c>
      <c r="F118" s="192"/>
      <c r="G118" s="562">
        <v>1561</v>
      </c>
      <c r="H118" s="562">
        <v>6070</v>
      </c>
      <c r="I118" s="195"/>
      <c r="J118" s="562">
        <v>6830</v>
      </c>
      <c r="K118" s="562">
        <v>10644</v>
      </c>
      <c r="L118" s="198"/>
      <c r="M118" s="562">
        <v>330</v>
      </c>
      <c r="N118" s="562">
        <v>793</v>
      </c>
      <c r="O118" s="193"/>
      <c r="P118" s="556">
        <f t="shared" si="4"/>
        <v>49.732502344051625</v>
      </c>
      <c r="Q118" s="555">
        <f t="shared" si="5"/>
        <v>25.716639209225701</v>
      </c>
      <c r="R118" s="555">
        <f t="shared" si="6"/>
        <v>64.167606163096579</v>
      </c>
      <c r="S118" s="554">
        <f t="shared" si="7"/>
        <v>41.614123581336699</v>
      </c>
      <c r="T118" s="196"/>
      <c r="U118" s="197"/>
      <c r="V118" s="197"/>
    </row>
    <row r="119" spans="1:22">
      <c r="A119" s="189" t="s">
        <v>193</v>
      </c>
      <c r="B119" s="190" t="s">
        <v>194</v>
      </c>
      <c r="C119" s="191" t="s">
        <v>278</v>
      </c>
      <c r="D119" s="566">
        <v>721</v>
      </c>
      <c r="E119" s="567">
        <v>1931</v>
      </c>
      <c r="F119" s="192"/>
      <c r="G119" s="562">
        <v>509</v>
      </c>
      <c r="H119" s="562">
        <v>1578</v>
      </c>
      <c r="I119" s="195"/>
      <c r="J119" s="562">
        <v>123</v>
      </c>
      <c r="K119" s="562">
        <v>175</v>
      </c>
      <c r="L119" s="198"/>
      <c r="M119" s="562">
        <v>26</v>
      </c>
      <c r="N119" s="562">
        <v>45</v>
      </c>
      <c r="O119" s="193"/>
      <c r="P119" s="556">
        <f t="shared" si="4"/>
        <v>37.338166752977727</v>
      </c>
      <c r="Q119" s="555">
        <f t="shared" si="5"/>
        <v>32.256020278833972</v>
      </c>
      <c r="R119" s="555">
        <f t="shared" si="6"/>
        <v>70.285714285714278</v>
      </c>
      <c r="S119" s="554">
        <f t="shared" si="7"/>
        <v>57.777777777777771</v>
      </c>
      <c r="T119" s="196"/>
      <c r="U119" s="197"/>
      <c r="V119" s="197"/>
    </row>
    <row r="120" spans="1:22">
      <c r="A120" s="189" t="s">
        <v>197</v>
      </c>
      <c r="B120" s="190" t="s">
        <v>391</v>
      </c>
      <c r="C120" s="191" t="s">
        <v>275</v>
      </c>
      <c r="D120" s="566">
        <v>18322</v>
      </c>
      <c r="E120" s="567">
        <v>31305</v>
      </c>
      <c r="F120" s="192"/>
      <c r="G120" s="562">
        <v>1555</v>
      </c>
      <c r="H120" s="562">
        <v>8307</v>
      </c>
      <c r="I120" s="195"/>
      <c r="J120" s="562">
        <v>15392</v>
      </c>
      <c r="K120" s="562">
        <v>19914</v>
      </c>
      <c r="L120" s="198"/>
      <c r="M120" s="562">
        <v>1145</v>
      </c>
      <c r="N120" s="562">
        <v>2711</v>
      </c>
      <c r="O120" s="193"/>
      <c r="P120" s="556">
        <f t="shared" si="4"/>
        <v>58.52739179044881</v>
      </c>
      <c r="Q120" s="555">
        <f t="shared" si="5"/>
        <v>18.719152521969423</v>
      </c>
      <c r="R120" s="555">
        <f t="shared" si="6"/>
        <v>77.292357135683446</v>
      </c>
      <c r="S120" s="554">
        <f t="shared" si="7"/>
        <v>42.235337513832533</v>
      </c>
      <c r="T120" s="196"/>
      <c r="U120" s="197"/>
      <c r="V120" s="197"/>
    </row>
    <row r="121" spans="1:22">
      <c r="A121" s="189" t="s">
        <v>201</v>
      </c>
      <c r="B121" s="190" t="s">
        <v>392</v>
      </c>
      <c r="C121" s="191" t="s">
        <v>273</v>
      </c>
      <c r="D121" s="566">
        <v>8836</v>
      </c>
      <c r="E121" s="567">
        <v>17849</v>
      </c>
      <c r="F121" s="192"/>
      <c r="G121" s="562">
        <v>3165</v>
      </c>
      <c r="H121" s="562">
        <v>9224</v>
      </c>
      <c r="I121" s="195"/>
      <c r="J121" s="562">
        <v>4457</v>
      </c>
      <c r="K121" s="562">
        <v>6273</v>
      </c>
      <c r="L121" s="198"/>
      <c r="M121" s="562">
        <v>699</v>
      </c>
      <c r="N121" s="562">
        <v>1535</v>
      </c>
      <c r="O121" s="193"/>
      <c r="P121" s="556">
        <f t="shared" si="4"/>
        <v>49.5041739032999</v>
      </c>
      <c r="Q121" s="555">
        <f t="shared" si="5"/>
        <v>34.31266261925412</v>
      </c>
      <c r="R121" s="555">
        <f t="shared" si="6"/>
        <v>71.050534034752104</v>
      </c>
      <c r="S121" s="554">
        <f t="shared" si="7"/>
        <v>45.537459283387619</v>
      </c>
      <c r="T121" s="196"/>
      <c r="U121" s="197"/>
      <c r="V121" s="197"/>
    </row>
    <row r="122" spans="1:22">
      <c r="A122" s="189" t="s">
        <v>223</v>
      </c>
      <c r="B122" s="190" t="s">
        <v>224</v>
      </c>
      <c r="C122" s="191" t="s">
        <v>272</v>
      </c>
      <c r="D122" s="566">
        <v>5891</v>
      </c>
      <c r="E122" s="567">
        <v>19024</v>
      </c>
      <c r="F122" s="192"/>
      <c r="G122" s="562">
        <v>1476</v>
      </c>
      <c r="H122" s="562">
        <v>9054</v>
      </c>
      <c r="I122" s="195"/>
      <c r="J122" s="562">
        <v>4058</v>
      </c>
      <c r="K122" s="562">
        <v>8404</v>
      </c>
      <c r="L122" s="198"/>
      <c r="M122" s="562">
        <v>217</v>
      </c>
      <c r="N122" s="562">
        <v>828</v>
      </c>
      <c r="O122" s="193"/>
      <c r="P122" s="556">
        <f t="shared" si="4"/>
        <v>30.966148023549202</v>
      </c>
      <c r="Q122" s="555">
        <f t="shared" si="5"/>
        <v>16.302186878727635</v>
      </c>
      <c r="R122" s="555">
        <f t="shared" si="6"/>
        <v>48.286530223703004</v>
      </c>
      <c r="S122" s="554">
        <f t="shared" si="7"/>
        <v>26.207729468599034</v>
      </c>
      <c r="T122" s="196"/>
      <c r="U122" s="197"/>
      <c r="V122" s="197"/>
    </row>
    <row r="123" spans="1:22">
      <c r="A123" s="189" t="s">
        <v>231</v>
      </c>
      <c r="B123" s="190" t="s">
        <v>232</v>
      </c>
      <c r="C123" s="191" t="s">
        <v>272</v>
      </c>
      <c r="D123" s="566">
        <v>27662</v>
      </c>
      <c r="E123" s="567">
        <v>93307</v>
      </c>
      <c r="F123" s="192"/>
      <c r="G123" s="562">
        <v>12802</v>
      </c>
      <c r="H123" s="562">
        <v>57570</v>
      </c>
      <c r="I123" s="195"/>
      <c r="J123" s="562">
        <v>10389</v>
      </c>
      <c r="K123" s="562">
        <v>19927</v>
      </c>
      <c r="L123" s="198"/>
      <c r="M123" s="562">
        <v>3040</v>
      </c>
      <c r="N123" s="562">
        <v>9133</v>
      </c>
      <c r="O123" s="193"/>
      <c r="P123" s="556">
        <f t="shared" si="4"/>
        <v>29.646221612526389</v>
      </c>
      <c r="Q123" s="555">
        <f t="shared" si="5"/>
        <v>22.237276359214871</v>
      </c>
      <c r="R123" s="555">
        <f t="shared" si="6"/>
        <v>52.135293822451942</v>
      </c>
      <c r="S123" s="554">
        <f t="shared" si="7"/>
        <v>33.285886346217012</v>
      </c>
      <c r="T123" s="196"/>
      <c r="U123" s="197"/>
      <c r="V123" s="197"/>
    </row>
    <row r="124" spans="1:22">
      <c r="A124" s="189" t="s">
        <v>239</v>
      </c>
      <c r="B124" s="190" t="s">
        <v>240</v>
      </c>
      <c r="C124" s="191" t="s">
        <v>272</v>
      </c>
      <c r="D124" s="566">
        <v>464</v>
      </c>
      <c r="E124" s="567">
        <v>1231</v>
      </c>
      <c r="F124" s="192"/>
      <c r="G124" s="562">
        <v>179</v>
      </c>
      <c r="H124" s="562">
        <v>722</v>
      </c>
      <c r="I124" s="195"/>
      <c r="J124" s="562">
        <v>200</v>
      </c>
      <c r="K124" s="562">
        <v>295</v>
      </c>
      <c r="L124" s="198"/>
      <c r="M124" s="562">
        <v>57</v>
      </c>
      <c r="N124" s="562">
        <v>146</v>
      </c>
      <c r="O124" s="193"/>
      <c r="P124" s="556">
        <f t="shared" si="4"/>
        <v>37.692932575142166</v>
      </c>
      <c r="Q124" s="555">
        <f t="shared" si="5"/>
        <v>24.792243767313018</v>
      </c>
      <c r="R124" s="555">
        <f t="shared" si="6"/>
        <v>67.796610169491515</v>
      </c>
      <c r="S124" s="554">
        <f t="shared" si="7"/>
        <v>39.041095890410958</v>
      </c>
      <c r="T124" s="196"/>
      <c r="U124" s="197"/>
      <c r="V124" s="197"/>
    </row>
    <row r="125" spans="1:22">
      <c r="A125" s="405" t="s">
        <v>241</v>
      </c>
      <c r="B125" s="406" t="s">
        <v>242</v>
      </c>
      <c r="C125" s="199" t="s">
        <v>276</v>
      </c>
      <c r="D125" s="568">
        <v>1867</v>
      </c>
      <c r="E125" s="569">
        <v>5010</v>
      </c>
      <c r="F125" s="200"/>
      <c r="G125" s="563">
        <v>1033</v>
      </c>
      <c r="H125" s="563">
        <v>3159</v>
      </c>
      <c r="I125" s="194"/>
      <c r="J125" s="563">
        <v>355</v>
      </c>
      <c r="K125" s="563">
        <v>586</v>
      </c>
      <c r="L125" s="201"/>
      <c r="M125" s="563">
        <v>454</v>
      </c>
      <c r="N125" s="563">
        <v>1275</v>
      </c>
      <c r="O125" s="202"/>
      <c r="P125" s="557">
        <f t="shared" si="4"/>
        <v>37.265469061876253</v>
      </c>
      <c r="Q125" s="558">
        <f t="shared" si="5"/>
        <v>32.700221589110477</v>
      </c>
      <c r="R125" s="558">
        <f t="shared" si="6"/>
        <v>60.580204778156997</v>
      </c>
      <c r="S125" s="559">
        <f t="shared" si="7"/>
        <v>35.607843137254903</v>
      </c>
      <c r="T125" s="196"/>
      <c r="U125" s="197"/>
      <c r="V125" s="197"/>
    </row>
    <row r="126" spans="1:22">
      <c r="A126" s="203"/>
      <c r="B126" s="204"/>
      <c r="C126" s="204"/>
      <c r="D126" s="204"/>
      <c r="E126" s="204"/>
      <c r="F126" s="204"/>
      <c r="G126" s="193"/>
      <c r="H126" s="193"/>
      <c r="I126" s="195"/>
      <c r="J126" s="193"/>
      <c r="K126" s="193"/>
      <c r="L126" s="198"/>
      <c r="M126" s="193"/>
      <c r="N126" s="193"/>
      <c r="O126" s="193"/>
      <c r="Q126" s="206"/>
      <c r="R126" s="206"/>
      <c r="S126" s="195"/>
      <c r="T126" s="196"/>
      <c r="U126" s="197"/>
      <c r="V126" s="197"/>
    </row>
    <row r="127" spans="1:22" ht="68.25" customHeight="1">
      <c r="A127" s="515"/>
      <c r="B127" s="515"/>
      <c r="C127" s="515"/>
      <c r="D127" s="1364" t="s">
        <v>921</v>
      </c>
      <c r="E127" s="1364"/>
      <c r="F127" s="1364"/>
      <c r="G127" s="1364"/>
      <c r="H127" s="1364"/>
      <c r="I127" s="1364"/>
      <c r="J127" s="1364"/>
      <c r="K127" s="1364"/>
      <c r="L127" s="1364"/>
      <c r="M127" s="1364"/>
      <c r="N127" s="207"/>
      <c r="O127" s="207"/>
      <c r="P127" s="208"/>
      <c r="Q127" s="208"/>
      <c r="R127" s="208"/>
    </row>
    <row r="128" spans="1:22" ht="18" customHeight="1">
      <c r="B128" s="209"/>
      <c r="C128" s="209"/>
      <c r="D128" s="1365" t="s">
        <v>250</v>
      </c>
      <c r="E128" s="1365"/>
      <c r="F128" s="1365"/>
      <c r="G128" s="1365"/>
      <c r="H128" s="1365"/>
      <c r="I128" s="1365"/>
      <c r="J128" s="1365"/>
      <c r="K128" s="1365"/>
      <c r="L128" s="1365"/>
      <c r="M128" s="1365"/>
      <c r="N128" s="209"/>
      <c r="O128" s="209"/>
      <c r="P128" s="210"/>
      <c r="Q128" s="210"/>
      <c r="R128" s="210"/>
    </row>
    <row r="129" spans="2:8" ht="18.75" customHeight="1">
      <c r="B129" s="184"/>
      <c r="C129" s="211"/>
      <c r="D129" s="212" t="s">
        <v>251</v>
      </c>
      <c r="E129" s="1366" t="s">
        <v>252</v>
      </c>
      <c r="F129" s="1366"/>
      <c r="G129" s="1366"/>
      <c r="H129" s="211"/>
    </row>
  </sheetData>
  <mergeCells count="9">
    <mergeCell ref="P3:S3"/>
    <mergeCell ref="D127:M127"/>
    <mergeCell ref="D128:M128"/>
    <mergeCell ref="E129:G129"/>
    <mergeCell ref="A1:K1"/>
    <mergeCell ref="D3:E3"/>
    <mergeCell ref="G3:H3"/>
    <mergeCell ref="J3:K3"/>
    <mergeCell ref="M3:N3"/>
  </mergeCells>
  <hyperlinks>
    <hyperlink ref="E129" r:id="rId1"/>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AA129"/>
  <sheetViews>
    <sheetView workbookViewId="0">
      <pane ySplit="6" topLeftCell="A7" activePane="bottomLeft" state="frozen"/>
      <selection pane="bottomLeft" activeCell="P16" sqref="P16"/>
    </sheetView>
  </sheetViews>
  <sheetFormatPr defaultRowHeight="15.75"/>
  <cols>
    <col min="1" max="1" width="7.75" style="223" customWidth="1"/>
    <col min="2" max="2" width="24.5" style="306" customWidth="1"/>
    <col min="3" max="3" width="10" style="306" customWidth="1"/>
    <col min="4" max="4" width="8.375" style="306" customWidth="1"/>
    <col min="5" max="8" width="8.375" style="305" customWidth="1"/>
    <col min="9" max="11" width="8.375" style="223" customWidth="1"/>
    <col min="12" max="15" width="6.875" style="223" customWidth="1"/>
    <col min="16" max="19" width="6.875" style="224" customWidth="1"/>
    <col min="20" max="23" width="7.125" style="223" customWidth="1"/>
    <col min="24" max="25" width="10.875" style="223" bestFit="1" customWidth="1"/>
    <col min="26" max="27" width="8.875" style="223" bestFit="1" customWidth="1"/>
    <col min="28" max="16384" width="9" style="223"/>
  </cols>
  <sheetData>
    <row r="1" spans="1:27">
      <c r="A1" s="1368" t="s">
        <v>931</v>
      </c>
      <c r="B1" s="1368"/>
      <c r="C1" s="1368"/>
      <c r="D1" s="1368"/>
      <c r="E1" s="1368"/>
      <c r="F1" s="1368"/>
      <c r="G1" s="1368"/>
      <c r="H1" s="1368"/>
      <c r="I1" s="1368"/>
      <c r="J1" s="1368"/>
      <c r="K1" s="1368"/>
      <c r="L1" s="1368"/>
    </row>
    <row r="2" spans="1:27">
      <c r="A2" s="184"/>
      <c r="B2" s="225"/>
      <c r="C2" s="225"/>
      <c r="D2" s="225"/>
      <c r="E2" s="1369"/>
      <c r="F2" s="1369"/>
      <c r="G2" s="1369"/>
      <c r="H2" s="1369"/>
      <c r="I2" s="184"/>
      <c r="J2" s="184"/>
    </row>
    <row r="3" spans="1:27" s="234" customFormat="1" ht="15.75" customHeight="1">
      <c r="A3" s="226"/>
      <c r="B3" s="227"/>
      <c r="C3" s="227"/>
      <c r="D3" s="228" t="s">
        <v>932</v>
      </c>
      <c r="E3" s="229"/>
      <c r="F3" s="229"/>
      <c r="G3" s="230"/>
      <c r="H3" s="229"/>
      <c r="I3" s="229"/>
      <c r="J3" s="229"/>
      <c r="K3" s="230"/>
      <c r="L3" s="229" t="s">
        <v>933</v>
      </c>
      <c r="M3" s="229"/>
      <c r="N3" s="229"/>
      <c r="O3" s="229"/>
      <c r="P3" s="231"/>
      <c r="Q3" s="231"/>
      <c r="R3" s="231"/>
      <c r="S3" s="232"/>
      <c r="T3" s="233"/>
      <c r="U3" s="233"/>
      <c r="V3" s="233"/>
      <c r="W3" s="233"/>
      <c r="X3" s="1370" t="s">
        <v>934</v>
      </c>
      <c r="Y3" s="1371"/>
      <c r="Z3" s="1371"/>
      <c r="AA3" s="1372"/>
    </row>
    <row r="4" spans="1:27" s="234" customFormat="1" ht="24.75" customHeight="1">
      <c r="A4" s="1376" t="s">
        <v>4</v>
      </c>
      <c r="B4" s="1378" t="s">
        <v>5</v>
      </c>
      <c r="C4" s="1378" t="s">
        <v>253</v>
      </c>
      <c r="D4" s="1380" t="s">
        <v>935</v>
      </c>
      <c r="E4" s="1381"/>
      <c r="F4" s="1381"/>
      <c r="G4" s="1382"/>
      <c r="H4" s="1383" t="s">
        <v>936</v>
      </c>
      <c r="I4" s="1384"/>
      <c r="J4" s="1384"/>
      <c r="K4" s="1385"/>
      <c r="L4" s="1380" t="s">
        <v>937</v>
      </c>
      <c r="M4" s="1381"/>
      <c r="N4" s="1381"/>
      <c r="O4" s="1382"/>
      <c r="P4" s="1380" t="s">
        <v>938</v>
      </c>
      <c r="Q4" s="1381"/>
      <c r="R4" s="1381"/>
      <c r="S4" s="1382"/>
      <c r="T4" s="1386" t="s">
        <v>939</v>
      </c>
      <c r="U4" s="1386"/>
      <c r="V4" s="1386"/>
      <c r="W4" s="1387"/>
      <c r="X4" s="1373"/>
      <c r="Y4" s="1374"/>
      <c r="Z4" s="1374"/>
      <c r="AA4" s="1375"/>
    </row>
    <row r="5" spans="1:27" s="234" customFormat="1" ht="15" customHeight="1">
      <c r="A5" s="1377"/>
      <c r="B5" s="1379"/>
      <c r="C5" s="1379"/>
      <c r="D5" s="235" t="s">
        <v>940</v>
      </c>
      <c r="E5" s="227" t="s">
        <v>796</v>
      </c>
      <c r="F5" s="227" t="s">
        <v>797</v>
      </c>
      <c r="G5" s="236" t="s">
        <v>941</v>
      </c>
      <c r="H5" s="235" t="s">
        <v>940</v>
      </c>
      <c r="I5" s="227" t="s">
        <v>796</v>
      </c>
      <c r="J5" s="227" t="s">
        <v>797</v>
      </c>
      <c r="K5" s="236" t="s">
        <v>941</v>
      </c>
      <c r="L5" s="235" t="s">
        <v>940</v>
      </c>
      <c r="M5" s="227" t="s">
        <v>796</v>
      </c>
      <c r="N5" s="227" t="s">
        <v>797</v>
      </c>
      <c r="O5" s="236" t="s">
        <v>941</v>
      </c>
      <c r="P5" s="237" t="s">
        <v>940</v>
      </c>
      <c r="Q5" s="238" t="s">
        <v>796</v>
      </c>
      <c r="R5" s="238" t="s">
        <v>797</v>
      </c>
      <c r="S5" s="239" t="s">
        <v>941</v>
      </c>
      <c r="T5" s="237" t="s">
        <v>940</v>
      </c>
      <c r="U5" s="238" t="s">
        <v>796</v>
      </c>
      <c r="V5" s="238" t="s">
        <v>797</v>
      </c>
      <c r="W5" s="239" t="s">
        <v>941</v>
      </c>
      <c r="X5" s="240" t="s">
        <v>942</v>
      </c>
      <c r="Y5" s="241" t="s">
        <v>943</v>
      </c>
      <c r="Z5" s="241" t="s">
        <v>944</v>
      </c>
      <c r="AA5" s="242" t="s">
        <v>945</v>
      </c>
    </row>
    <row r="6" spans="1:27" s="234" customFormat="1" ht="15.75" customHeight="1">
      <c r="A6" s="243" t="s">
        <v>8</v>
      </c>
      <c r="B6" s="244" t="s">
        <v>9</v>
      </c>
      <c r="C6" s="245"/>
      <c r="D6" s="246">
        <v>102934</v>
      </c>
      <c r="E6" s="247">
        <v>69524</v>
      </c>
      <c r="F6" s="247">
        <v>22442</v>
      </c>
      <c r="G6" s="248">
        <v>10968</v>
      </c>
      <c r="H6" s="249">
        <v>62.282401261452485</v>
      </c>
      <c r="I6" s="250">
        <v>60.55965680189891</v>
      </c>
      <c r="J6" s="250">
        <v>60.878812046637044</v>
      </c>
      <c r="K6" s="251">
        <v>80.623938723454302</v>
      </c>
      <c r="L6" s="246">
        <v>36532</v>
      </c>
      <c r="M6" s="247">
        <v>19311</v>
      </c>
      <c r="N6" s="247">
        <v>14885</v>
      </c>
      <c r="O6" s="248">
        <v>2336</v>
      </c>
      <c r="P6" s="252">
        <v>35.490702780422403</v>
      </c>
      <c r="Q6" s="252">
        <v>27.776019791726597</v>
      </c>
      <c r="R6" s="252">
        <v>66.326530612244895</v>
      </c>
      <c r="S6" s="252">
        <v>21.298322392414295</v>
      </c>
      <c r="T6" s="253">
        <v>22.104461916212156</v>
      </c>
      <c r="U6" s="254">
        <v>16.821062259097143</v>
      </c>
      <c r="V6" s="254">
        <v>40.378803908483754</v>
      </c>
      <c r="W6" s="255">
        <v>17.171546394783846</v>
      </c>
      <c r="X6" s="256">
        <v>1652698</v>
      </c>
      <c r="Y6" s="257">
        <v>1148025</v>
      </c>
      <c r="Z6" s="258">
        <v>368634</v>
      </c>
      <c r="AA6" s="259">
        <v>136039</v>
      </c>
    </row>
    <row r="7" spans="1:27" s="234" customFormat="1" ht="15.75" customHeight="1">
      <c r="A7" s="260" t="s">
        <v>10</v>
      </c>
      <c r="B7" s="530" t="s">
        <v>11</v>
      </c>
      <c r="C7" s="261" t="s">
        <v>272</v>
      </c>
      <c r="D7" s="262">
        <v>433</v>
      </c>
      <c r="E7" s="263">
        <v>283</v>
      </c>
      <c r="F7" s="264">
        <v>143</v>
      </c>
      <c r="G7" s="265">
        <v>7</v>
      </c>
      <c r="H7" s="266">
        <v>78.856310325987991</v>
      </c>
      <c r="I7" s="267">
        <v>80.011309018942598</v>
      </c>
      <c r="J7" s="267">
        <v>77.38095238095238</v>
      </c>
      <c r="K7" s="268">
        <v>66.037735849056602</v>
      </c>
      <c r="L7" s="262">
        <v>255</v>
      </c>
      <c r="M7" s="263">
        <v>135</v>
      </c>
      <c r="N7" s="264">
        <v>115</v>
      </c>
      <c r="O7" s="265">
        <v>5</v>
      </c>
      <c r="P7" s="269">
        <v>58.891454965357973</v>
      </c>
      <c r="Q7" s="270">
        <v>47.703180212014132</v>
      </c>
      <c r="R7" s="270">
        <v>80.419580419580413</v>
      </c>
      <c r="S7" s="271">
        <v>71.428571428571431</v>
      </c>
      <c r="T7" s="272">
        <v>46.43962848297214</v>
      </c>
      <c r="U7" s="273">
        <v>38.167938931297712</v>
      </c>
      <c r="V7" s="273">
        <v>62.229437229437231</v>
      </c>
      <c r="W7" s="274">
        <v>47.169811320754718</v>
      </c>
      <c r="X7" s="275">
        <v>5491</v>
      </c>
      <c r="Y7" s="276">
        <v>3537</v>
      </c>
      <c r="Z7" s="276">
        <v>1848</v>
      </c>
      <c r="AA7" s="277">
        <v>106</v>
      </c>
    </row>
    <row r="8" spans="1:27" s="234" customFormat="1" ht="15.75" customHeight="1">
      <c r="A8" s="260" t="s">
        <v>12</v>
      </c>
      <c r="B8" s="532" t="s">
        <v>13</v>
      </c>
      <c r="C8" s="261" t="s">
        <v>273</v>
      </c>
      <c r="D8" s="262">
        <v>1094</v>
      </c>
      <c r="E8" s="263">
        <v>923</v>
      </c>
      <c r="F8" s="264">
        <v>99</v>
      </c>
      <c r="G8" s="265">
        <v>72</v>
      </c>
      <c r="H8" s="266">
        <v>53.389292860280122</v>
      </c>
      <c r="I8" s="267">
        <v>56.667485265225935</v>
      </c>
      <c r="J8" s="267">
        <v>39.951573849878933</v>
      </c>
      <c r="K8" s="268">
        <v>41.739130434782609</v>
      </c>
      <c r="L8" s="262">
        <v>314</v>
      </c>
      <c r="M8" s="263">
        <v>228</v>
      </c>
      <c r="N8" s="264">
        <v>73</v>
      </c>
      <c r="O8" s="265">
        <v>13</v>
      </c>
      <c r="P8" s="269">
        <v>28.702010968921389</v>
      </c>
      <c r="Q8" s="270">
        <v>24.702058504875406</v>
      </c>
      <c r="R8" s="270">
        <v>73.73737373737373</v>
      </c>
      <c r="S8" s="271">
        <v>18.055555555555554</v>
      </c>
      <c r="T8" s="272">
        <v>15.323800692987165</v>
      </c>
      <c r="U8" s="273">
        <v>13.998035363457761</v>
      </c>
      <c r="V8" s="273">
        <v>29.459241323648101</v>
      </c>
      <c r="W8" s="274">
        <v>7.5362318840579707</v>
      </c>
      <c r="X8" s="275">
        <v>20491</v>
      </c>
      <c r="Y8" s="276">
        <v>16288</v>
      </c>
      <c r="Z8" s="278">
        <v>2478</v>
      </c>
      <c r="AA8" s="277">
        <v>1725</v>
      </c>
    </row>
    <row r="9" spans="1:27" s="234" customFormat="1" ht="15.75" customHeight="1">
      <c r="A9" s="260" t="s">
        <v>16</v>
      </c>
      <c r="B9" s="532" t="s">
        <v>364</v>
      </c>
      <c r="C9" s="261" t="s">
        <v>273</v>
      </c>
      <c r="D9" s="262">
        <v>224</v>
      </c>
      <c r="E9" s="263">
        <v>207</v>
      </c>
      <c r="F9" s="264">
        <v>11</v>
      </c>
      <c r="G9" s="265">
        <v>6</v>
      </c>
      <c r="H9" s="266">
        <v>61.504667764964303</v>
      </c>
      <c r="I9" s="267">
        <v>61.406110946306733</v>
      </c>
      <c r="J9" s="267">
        <v>44.534412955465584</v>
      </c>
      <c r="K9" s="268">
        <v>250</v>
      </c>
      <c r="L9" s="262">
        <v>108</v>
      </c>
      <c r="M9" s="263">
        <v>95</v>
      </c>
      <c r="N9" s="264">
        <v>10</v>
      </c>
      <c r="O9" s="265">
        <v>3</v>
      </c>
      <c r="P9" s="269">
        <v>48.214285714285715</v>
      </c>
      <c r="Q9" s="270">
        <v>45.893719806763286</v>
      </c>
      <c r="R9" s="270">
        <v>90.909090909090907</v>
      </c>
      <c r="S9" s="271">
        <v>50</v>
      </c>
      <c r="T9" s="272">
        <v>29.654036243822077</v>
      </c>
      <c r="U9" s="273">
        <v>28.181548501928212</v>
      </c>
      <c r="V9" s="273">
        <v>40.48582995951417</v>
      </c>
      <c r="W9" s="274">
        <v>125</v>
      </c>
      <c r="X9" s="275">
        <v>3642</v>
      </c>
      <c r="Y9" s="276">
        <v>3371</v>
      </c>
      <c r="Z9" s="278">
        <v>247</v>
      </c>
      <c r="AA9" s="277">
        <v>24</v>
      </c>
    </row>
    <row r="10" spans="1:27" s="234" customFormat="1" ht="15.75" customHeight="1">
      <c r="A10" s="260" t="s">
        <v>18</v>
      </c>
      <c r="B10" s="532" t="s">
        <v>19</v>
      </c>
      <c r="C10" s="261" t="s">
        <v>275</v>
      </c>
      <c r="D10" s="262">
        <v>154</v>
      </c>
      <c r="E10" s="263">
        <v>120</v>
      </c>
      <c r="F10" s="264">
        <v>30</v>
      </c>
      <c r="G10" s="265">
        <v>4</v>
      </c>
      <c r="H10" s="266">
        <v>70.869765301426597</v>
      </c>
      <c r="I10" s="267">
        <v>73.619631901840492</v>
      </c>
      <c r="J10" s="267">
        <v>57.58157389635317</v>
      </c>
      <c r="K10" s="268">
        <v>181.81818181818181</v>
      </c>
      <c r="L10" s="262">
        <v>63</v>
      </c>
      <c r="M10" s="263">
        <v>40</v>
      </c>
      <c r="N10" s="264">
        <v>21</v>
      </c>
      <c r="O10" s="265">
        <v>2</v>
      </c>
      <c r="P10" s="269">
        <v>40.909090909090914</v>
      </c>
      <c r="Q10" s="270">
        <v>33.333333333333329</v>
      </c>
      <c r="R10" s="270">
        <v>70</v>
      </c>
      <c r="S10" s="271">
        <v>50</v>
      </c>
      <c r="T10" s="272">
        <v>28.992176714219973</v>
      </c>
      <c r="U10" s="273">
        <v>24.539877300613497</v>
      </c>
      <c r="V10" s="273">
        <v>40.307101727447218</v>
      </c>
      <c r="W10" s="274">
        <v>90.909090909090907</v>
      </c>
      <c r="X10" s="275">
        <v>2173</v>
      </c>
      <c r="Y10" s="276">
        <v>1630</v>
      </c>
      <c r="Z10" s="278">
        <v>521</v>
      </c>
      <c r="AA10" s="277">
        <v>22</v>
      </c>
    </row>
    <row r="11" spans="1:27" s="234" customFormat="1" ht="15.75" customHeight="1">
      <c r="A11" s="260" t="s">
        <v>20</v>
      </c>
      <c r="B11" s="532" t="s">
        <v>21</v>
      </c>
      <c r="C11" s="261" t="s">
        <v>273</v>
      </c>
      <c r="D11" s="262">
        <v>334</v>
      </c>
      <c r="E11" s="263">
        <v>267</v>
      </c>
      <c r="F11" s="264">
        <v>63</v>
      </c>
      <c r="G11" s="265">
        <v>4</v>
      </c>
      <c r="H11" s="266">
        <v>53.312051077414203</v>
      </c>
      <c r="I11" s="267">
        <v>54.10334346504559</v>
      </c>
      <c r="J11" s="267">
        <v>52.238805970149251</v>
      </c>
      <c r="K11" s="268">
        <v>32.258064516129032</v>
      </c>
      <c r="L11" s="262">
        <v>152</v>
      </c>
      <c r="M11" s="263">
        <v>103</v>
      </c>
      <c r="N11" s="264">
        <v>46</v>
      </c>
      <c r="O11" s="265">
        <v>3</v>
      </c>
      <c r="P11" s="269">
        <v>45.508982035928142</v>
      </c>
      <c r="Q11" s="270">
        <v>38.576779026217231</v>
      </c>
      <c r="R11" s="270">
        <v>73.015873015873012</v>
      </c>
      <c r="S11" s="271">
        <v>75</v>
      </c>
      <c r="T11" s="272">
        <v>24.261771747805266</v>
      </c>
      <c r="U11" s="273">
        <v>20.871327254305978</v>
      </c>
      <c r="V11" s="273">
        <v>38.142620232172469</v>
      </c>
      <c r="W11" s="274">
        <v>24.193548387096772</v>
      </c>
      <c r="X11" s="279">
        <v>6265</v>
      </c>
      <c r="Y11" s="280">
        <v>4935</v>
      </c>
      <c r="Z11" s="281">
        <v>1206</v>
      </c>
      <c r="AA11" s="282">
        <v>124</v>
      </c>
    </row>
    <row r="12" spans="1:27" s="234" customFormat="1" ht="15.75" customHeight="1">
      <c r="A12" s="260" t="s">
        <v>22</v>
      </c>
      <c r="B12" s="532" t="s">
        <v>23</v>
      </c>
      <c r="C12" s="261" t="s">
        <v>273</v>
      </c>
      <c r="D12" s="262">
        <v>165</v>
      </c>
      <c r="E12" s="263">
        <v>125</v>
      </c>
      <c r="F12" s="264">
        <v>40</v>
      </c>
      <c r="G12" s="265">
        <v>0</v>
      </c>
      <c r="H12" s="266">
        <v>63.805104408352669</v>
      </c>
      <c r="I12" s="267">
        <v>63.195146612740146</v>
      </c>
      <c r="J12" s="267">
        <v>67.79661016949153</v>
      </c>
      <c r="K12" s="268">
        <v>0</v>
      </c>
      <c r="L12" s="262">
        <v>69</v>
      </c>
      <c r="M12" s="263">
        <v>42</v>
      </c>
      <c r="N12" s="264">
        <v>27</v>
      </c>
      <c r="O12" s="265">
        <v>0</v>
      </c>
      <c r="P12" s="269">
        <v>41.818181818181813</v>
      </c>
      <c r="Q12" s="270">
        <v>33.6</v>
      </c>
      <c r="R12" s="270">
        <v>67.5</v>
      </c>
      <c r="S12" s="271" t="s">
        <v>928</v>
      </c>
      <c r="T12" s="272">
        <v>26.682134570765662</v>
      </c>
      <c r="U12" s="273">
        <v>21.233569261880689</v>
      </c>
      <c r="V12" s="273">
        <v>45.762711864406782</v>
      </c>
      <c r="W12" s="274" t="s">
        <v>928</v>
      </c>
      <c r="X12" s="275">
        <v>2586</v>
      </c>
      <c r="Y12" s="276">
        <v>1978</v>
      </c>
      <c r="Z12" s="278">
        <v>590</v>
      </c>
      <c r="AA12" s="277">
        <v>18</v>
      </c>
    </row>
    <row r="13" spans="1:27" s="234" customFormat="1" ht="15.75" customHeight="1">
      <c r="A13" s="260" t="s">
        <v>24</v>
      </c>
      <c r="B13" s="532" t="s">
        <v>25</v>
      </c>
      <c r="C13" s="261" t="s">
        <v>276</v>
      </c>
      <c r="D13" s="262">
        <v>3097</v>
      </c>
      <c r="E13" s="263">
        <v>2225</v>
      </c>
      <c r="F13" s="264">
        <v>226</v>
      </c>
      <c r="G13" s="265">
        <v>646</v>
      </c>
      <c r="H13" s="266">
        <v>54.226782462529769</v>
      </c>
      <c r="I13" s="267">
        <v>50.337088819510427</v>
      </c>
      <c r="J13" s="267">
        <v>45.721221930002024</v>
      </c>
      <c r="K13" s="268">
        <v>81.084473452993606</v>
      </c>
      <c r="L13" s="262">
        <v>573</v>
      </c>
      <c r="M13" s="263">
        <v>327</v>
      </c>
      <c r="N13" s="264">
        <v>97</v>
      </c>
      <c r="O13" s="265">
        <v>149</v>
      </c>
      <c r="P13" s="269">
        <v>18.50177591217307</v>
      </c>
      <c r="Q13" s="270">
        <v>14.696629213483146</v>
      </c>
      <c r="R13" s="270">
        <v>42.920353982300888</v>
      </c>
      <c r="S13" s="271">
        <v>23.065015479876159</v>
      </c>
      <c r="T13" s="272">
        <v>10.032917775598824</v>
      </c>
      <c r="U13" s="273">
        <v>7.3978553006651282</v>
      </c>
      <c r="V13" s="273">
        <v>19.62371029739025</v>
      </c>
      <c r="W13" s="274">
        <v>18.70214635370905</v>
      </c>
      <c r="X13" s="275">
        <v>57112</v>
      </c>
      <c r="Y13" s="276">
        <v>44202</v>
      </c>
      <c r="Z13" s="278">
        <v>4943</v>
      </c>
      <c r="AA13" s="277">
        <v>7967</v>
      </c>
    </row>
    <row r="14" spans="1:27" s="234" customFormat="1" ht="15.75" customHeight="1">
      <c r="A14" s="260" t="s">
        <v>26</v>
      </c>
      <c r="B14" s="532" t="s">
        <v>365</v>
      </c>
      <c r="C14" s="261" t="s">
        <v>273</v>
      </c>
      <c r="D14" s="262">
        <v>1196</v>
      </c>
      <c r="E14" s="263">
        <v>1098</v>
      </c>
      <c r="F14" s="264">
        <v>76</v>
      </c>
      <c r="G14" s="265">
        <v>22</v>
      </c>
      <c r="H14" s="266">
        <v>56.110720150129019</v>
      </c>
      <c r="I14" s="267">
        <v>56.950207468879668</v>
      </c>
      <c r="J14" s="267">
        <v>44.032444959443801</v>
      </c>
      <c r="K14" s="268">
        <v>71.19741100323624</v>
      </c>
      <c r="L14" s="262">
        <v>441</v>
      </c>
      <c r="M14" s="263">
        <v>373</v>
      </c>
      <c r="N14" s="264">
        <v>64</v>
      </c>
      <c r="O14" s="265">
        <v>4</v>
      </c>
      <c r="P14" s="269">
        <v>36.872909698996651</v>
      </c>
      <c r="Q14" s="270">
        <v>33.970856102003644</v>
      </c>
      <c r="R14" s="270">
        <v>84.210526315789465</v>
      </c>
      <c r="S14" s="271">
        <v>18.181818181818183</v>
      </c>
      <c r="T14" s="272">
        <v>20.689655172413794</v>
      </c>
      <c r="U14" s="273">
        <v>19.346473029045644</v>
      </c>
      <c r="V14" s="273">
        <v>37.079953650057938</v>
      </c>
      <c r="W14" s="274">
        <v>12.944983818770227</v>
      </c>
      <c r="X14" s="279">
        <v>21315</v>
      </c>
      <c r="Y14" s="280">
        <v>19280</v>
      </c>
      <c r="Z14" s="281">
        <v>1726</v>
      </c>
      <c r="AA14" s="282">
        <v>309</v>
      </c>
    </row>
    <row r="15" spans="1:27" s="234" customFormat="1" ht="15.75" customHeight="1">
      <c r="A15" s="260" t="s">
        <v>27</v>
      </c>
      <c r="B15" s="532" t="s">
        <v>28</v>
      </c>
      <c r="C15" s="261" t="s">
        <v>273</v>
      </c>
      <c r="D15" s="262">
        <v>40</v>
      </c>
      <c r="E15" s="263">
        <v>38</v>
      </c>
      <c r="F15" s="264">
        <v>1</v>
      </c>
      <c r="G15" s="265">
        <v>1</v>
      </c>
      <c r="H15" s="266">
        <v>53.835800807537012</v>
      </c>
      <c r="I15" s="267">
        <v>53.824362606232292</v>
      </c>
      <c r="J15" s="267">
        <v>28.571428571428569</v>
      </c>
      <c r="K15" s="268">
        <v>500</v>
      </c>
      <c r="L15" s="262">
        <v>17</v>
      </c>
      <c r="M15" s="263">
        <v>17</v>
      </c>
      <c r="N15" s="264">
        <v>0</v>
      </c>
      <c r="O15" s="265">
        <v>0</v>
      </c>
      <c r="P15" s="269">
        <v>42.5</v>
      </c>
      <c r="Q15" s="270">
        <v>44.736842105263158</v>
      </c>
      <c r="R15" s="270">
        <v>0</v>
      </c>
      <c r="S15" s="271">
        <v>0</v>
      </c>
      <c r="T15" s="272">
        <v>22.880215343203229</v>
      </c>
      <c r="U15" s="273">
        <v>24.079320113314445</v>
      </c>
      <c r="V15" s="273" t="s">
        <v>928</v>
      </c>
      <c r="W15" s="274" t="s">
        <v>928</v>
      </c>
      <c r="X15" s="279">
        <v>743</v>
      </c>
      <c r="Y15" s="280">
        <v>706</v>
      </c>
      <c r="Z15" s="281">
        <v>35</v>
      </c>
      <c r="AA15" s="282">
        <v>2</v>
      </c>
    </row>
    <row r="16" spans="1:27" s="234" customFormat="1" ht="15.75" customHeight="1">
      <c r="A16" s="260" t="s">
        <v>29</v>
      </c>
      <c r="B16" s="532" t="s">
        <v>886</v>
      </c>
      <c r="C16" s="261" t="s">
        <v>273</v>
      </c>
      <c r="D16" s="262">
        <v>679</v>
      </c>
      <c r="E16" s="263">
        <v>622</v>
      </c>
      <c r="F16" s="264">
        <v>43</v>
      </c>
      <c r="G16" s="265">
        <v>14</v>
      </c>
      <c r="H16" s="266">
        <v>54.533772387760017</v>
      </c>
      <c r="I16" s="267">
        <v>55.288888888888884</v>
      </c>
      <c r="J16" s="267">
        <v>44.012282497441142</v>
      </c>
      <c r="K16" s="268">
        <v>62.5</v>
      </c>
      <c r="L16" s="262">
        <v>207</v>
      </c>
      <c r="M16" s="263">
        <v>175</v>
      </c>
      <c r="N16" s="264">
        <v>30</v>
      </c>
      <c r="O16" s="265">
        <v>2</v>
      </c>
      <c r="P16" s="269">
        <v>30.486008836524302</v>
      </c>
      <c r="Q16" s="270">
        <v>28.135048231511256</v>
      </c>
      <c r="R16" s="270">
        <v>69.767441860465112</v>
      </c>
      <c r="S16" s="271">
        <v>14.285714285714285</v>
      </c>
      <c r="T16" s="272">
        <v>16.62517066902257</v>
      </c>
      <c r="U16" s="273">
        <v>15.555555555555555</v>
      </c>
      <c r="V16" s="273">
        <v>30.706243602865914</v>
      </c>
      <c r="W16" s="274">
        <v>8.9285714285714288</v>
      </c>
      <c r="X16" s="275">
        <v>12451</v>
      </c>
      <c r="Y16" s="276">
        <v>11250</v>
      </c>
      <c r="Z16" s="278">
        <v>977</v>
      </c>
      <c r="AA16" s="277">
        <v>224</v>
      </c>
    </row>
    <row r="17" spans="1:27" s="234" customFormat="1" ht="15.75" customHeight="1">
      <c r="A17" s="260" t="s">
        <v>31</v>
      </c>
      <c r="B17" s="532" t="s">
        <v>32</v>
      </c>
      <c r="C17" s="261" t="s">
        <v>278</v>
      </c>
      <c r="D17" s="262">
        <v>41</v>
      </c>
      <c r="E17" s="263">
        <v>41</v>
      </c>
      <c r="F17" s="264">
        <v>0</v>
      </c>
      <c r="G17" s="265">
        <v>0</v>
      </c>
      <c r="H17" s="266">
        <v>40.078201368523949</v>
      </c>
      <c r="I17" s="267">
        <v>40.553907022749755</v>
      </c>
      <c r="J17" s="267">
        <v>0</v>
      </c>
      <c r="K17" s="268">
        <v>0</v>
      </c>
      <c r="L17" s="262">
        <v>13</v>
      </c>
      <c r="M17" s="263">
        <v>13</v>
      </c>
      <c r="N17" s="264">
        <v>0</v>
      </c>
      <c r="O17" s="265">
        <v>0</v>
      </c>
      <c r="P17" s="269">
        <v>31.707317073170731</v>
      </c>
      <c r="Q17" s="270">
        <v>31.707317073170731</v>
      </c>
      <c r="R17" s="270" t="s">
        <v>928</v>
      </c>
      <c r="S17" s="271" t="s">
        <v>928</v>
      </c>
      <c r="T17" s="272">
        <v>12.707722385141741</v>
      </c>
      <c r="U17" s="273">
        <v>12.858555885262117</v>
      </c>
      <c r="V17" s="273" t="s">
        <v>928</v>
      </c>
      <c r="W17" s="274" t="s">
        <v>928</v>
      </c>
      <c r="X17" s="279">
        <v>1023</v>
      </c>
      <c r="Y17" s="280">
        <v>1011</v>
      </c>
      <c r="Z17" s="281">
        <v>11</v>
      </c>
      <c r="AA17" s="282">
        <v>1</v>
      </c>
    </row>
    <row r="18" spans="1:27" s="234" customFormat="1" ht="15.75" customHeight="1">
      <c r="A18" s="260" t="s">
        <v>33</v>
      </c>
      <c r="B18" s="532" t="s">
        <v>34</v>
      </c>
      <c r="C18" s="261" t="s">
        <v>273</v>
      </c>
      <c r="D18" s="262">
        <v>243</v>
      </c>
      <c r="E18" s="263">
        <v>235</v>
      </c>
      <c r="F18" s="264">
        <v>7</v>
      </c>
      <c r="G18" s="265">
        <v>1</v>
      </c>
      <c r="H18" s="266">
        <v>46.303353658536587</v>
      </c>
      <c r="I18" s="267">
        <v>46.691833896284521</v>
      </c>
      <c r="J18" s="267">
        <v>45.751633986928098</v>
      </c>
      <c r="K18" s="268">
        <v>16.129032258064516</v>
      </c>
      <c r="L18" s="262">
        <v>64</v>
      </c>
      <c r="M18" s="263">
        <v>57</v>
      </c>
      <c r="N18" s="264">
        <v>7</v>
      </c>
      <c r="O18" s="265">
        <v>0</v>
      </c>
      <c r="P18" s="269">
        <v>26.337448559670783</v>
      </c>
      <c r="Q18" s="270">
        <v>24.25531914893617</v>
      </c>
      <c r="R18" s="270">
        <v>100</v>
      </c>
      <c r="S18" s="271">
        <v>0</v>
      </c>
      <c r="T18" s="272">
        <v>12.195121951219512</v>
      </c>
      <c r="U18" s="273">
        <v>11.32525332803497</v>
      </c>
      <c r="V18" s="273">
        <v>45.751633986928098</v>
      </c>
      <c r="W18" s="274" t="s">
        <v>928</v>
      </c>
      <c r="X18" s="275">
        <v>5248</v>
      </c>
      <c r="Y18" s="276">
        <v>5033</v>
      </c>
      <c r="Z18" s="278">
        <v>153</v>
      </c>
      <c r="AA18" s="277">
        <v>62</v>
      </c>
    </row>
    <row r="19" spans="1:27" s="234" customFormat="1" ht="15.75" customHeight="1">
      <c r="A19" s="260" t="s">
        <v>37</v>
      </c>
      <c r="B19" s="532" t="s">
        <v>38</v>
      </c>
      <c r="C19" s="261" t="s">
        <v>272</v>
      </c>
      <c r="D19" s="262">
        <v>162</v>
      </c>
      <c r="E19" s="263">
        <v>60</v>
      </c>
      <c r="F19" s="264">
        <v>100</v>
      </c>
      <c r="G19" s="265">
        <v>2</v>
      </c>
      <c r="H19" s="266">
        <v>56.5050575514475</v>
      </c>
      <c r="I19" s="267">
        <v>56.285178236397748</v>
      </c>
      <c r="J19" s="267">
        <v>56.369785794813978</v>
      </c>
      <c r="K19" s="268">
        <v>74.074074074074076</v>
      </c>
      <c r="L19" s="262">
        <v>104</v>
      </c>
      <c r="M19" s="263">
        <v>21</v>
      </c>
      <c r="N19" s="264">
        <v>82</v>
      </c>
      <c r="O19" s="265">
        <v>1</v>
      </c>
      <c r="P19" s="269">
        <v>64.197530864197532</v>
      </c>
      <c r="Q19" s="270">
        <v>35</v>
      </c>
      <c r="R19" s="270">
        <v>82</v>
      </c>
      <c r="S19" s="271">
        <v>50</v>
      </c>
      <c r="T19" s="272">
        <v>36.274851761423086</v>
      </c>
      <c r="U19" s="273">
        <v>19.699812382739211</v>
      </c>
      <c r="V19" s="273">
        <v>46.223224351747461</v>
      </c>
      <c r="W19" s="274">
        <v>37.037037037037038</v>
      </c>
      <c r="X19" s="279">
        <v>2867</v>
      </c>
      <c r="Y19" s="280">
        <v>1066</v>
      </c>
      <c r="Z19" s="281">
        <v>1774</v>
      </c>
      <c r="AA19" s="282">
        <v>27</v>
      </c>
    </row>
    <row r="20" spans="1:27" s="234" customFormat="1" ht="15.75" customHeight="1">
      <c r="A20" s="260" t="s">
        <v>39</v>
      </c>
      <c r="B20" s="532" t="s">
        <v>40</v>
      </c>
      <c r="C20" s="261" t="s">
        <v>278</v>
      </c>
      <c r="D20" s="262">
        <v>218</v>
      </c>
      <c r="E20" s="263">
        <v>217</v>
      </c>
      <c r="F20" s="264">
        <v>0</v>
      </c>
      <c r="G20" s="265">
        <v>1</v>
      </c>
      <c r="H20" s="266">
        <v>53.562653562653566</v>
      </c>
      <c r="I20" s="267">
        <v>54.060787244643748</v>
      </c>
      <c r="J20" s="267">
        <v>0</v>
      </c>
      <c r="K20" s="268">
        <v>45.454545454545453</v>
      </c>
      <c r="L20" s="262">
        <v>76</v>
      </c>
      <c r="M20" s="263">
        <v>76</v>
      </c>
      <c r="N20" s="264">
        <v>0</v>
      </c>
      <c r="O20" s="265">
        <v>0</v>
      </c>
      <c r="P20" s="269">
        <v>34.862385321100916</v>
      </c>
      <c r="Q20" s="270">
        <v>35.023041474654377</v>
      </c>
      <c r="R20" s="270" t="s">
        <v>928</v>
      </c>
      <c r="S20" s="271">
        <v>0</v>
      </c>
      <c r="T20" s="272">
        <v>18.673218673218674</v>
      </c>
      <c r="U20" s="273">
        <v>18.933731938216244</v>
      </c>
      <c r="V20" s="273" t="s">
        <v>928</v>
      </c>
      <c r="W20" s="274" t="s">
        <v>928</v>
      </c>
      <c r="X20" s="279">
        <v>4070</v>
      </c>
      <c r="Y20" s="280">
        <v>4014</v>
      </c>
      <c r="Z20" s="281">
        <v>34</v>
      </c>
      <c r="AA20" s="282">
        <v>22</v>
      </c>
    </row>
    <row r="21" spans="1:27" s="234" customFormat="1" ht="15.75" customHeight="1">
      <c r="A21" s="260" t="s">
        <v>41</v>
      </c>
      <c r="B21" s="532" t="s">
        <v>42</v>
      </c>
      <c r="C21" s="261" t="s">
        <v>275</v>
      </c>
      <c r="D21" s="262">
        <v>164</v>
      </c>
      <c r="E21" s="263">
        <v>111</v>
      </c>
      <c r="F21" s="264">
        <v>51</v>
      </c>
      <c r="G21" s="265">
        <v>2</v>
      </c>
      <c r="H21" s="266">
        <v>60.943887030843555</v>
      </c>
      <c r="I21" s="267">
        <v>64.198958935801031</v>
      </c>
      <c r="J21" s="267">
        <v>54.140127388535035</v>
      </c>
      <c r="K21" s="268">
        <v>100</v>
      </c>
      <c r="L21" s="262">
        <v>90</v>
      </c>
      <c r="M21" s="263">
        <v>45</v>
      </c>
      <c r="N21" s="264">
        <v>44</v>
      </c>
      <c r="O21" s="265">
        <v>1</v>
      </c>
      <c r="P21" s="269">
        <v>54.878048780487809</v>
      </c>
      <c r="Q21" s="270">
        <v>40.54054054054054</v>
      </c>
      <c r="R21" s="270">
        <v>86.274509803921575</v>
      </c>
      <c r="S21" s="271">
        <v>50</v>
      </c>
      <c r="T21" s="272">
        <v>33.444816053511701</v>
      </c>
      <c r="U21" s="273">
        <v>26.026604973973392</v>
      </c>
      <c r="V21" s="273">
        <v>46.709129511677276</v>
      </c>
      <c r="W21" s="274">
        <v>50</v>
      </c>
      <c r="X21" s="275">
        <v>2691</v>
      </c>
      <c r="Y21" s="276">
        <v>1729</v>
      </c>
      <c r="Z21" s="278">
        <v>942</v>
      </c>
      <c r="AA21" s="277">
        <v>20</v>
      </c>
    </row>
    <row r="22" spans="1:27" s="234" customFormat="1" ht="15.75" customHeight="1">
      <c r="A22" s="260" t="s">
        <v>43</v>
      </c>
      <c r="B22" s="532" t="s">
        <v>44</v>
      </c>
      <c r="C22" s="261" t="s">
        <v>273</v>
      </c>
      <c r="D22" s="262">
        <v>485</v>
      </c>
      <c r="E22" s="263">
        <v>410</v>
      </c>
      <c r="F22" s="264">
        <v>72</v>
      </c>
      <c r="G22" s="265">
        <v>3</v>
      </c>
      <c r="H22" s="266">
        <v>47.404945753103313</v>
      </c>
      <c r="I22" s="267">
        <v>48.423290421636942</v>
      </c>
      <c r="J22" s="267">
        <v>45.598480050664975</v>
      </c>
      <c r="K22" s="268">
        <v>16.216216216216218</v>
      </c>
      <c r="L22" s="262">
        <v>183</v>
      </c>
      <c r="M22" s="263">
        <v>131</v>
      </c>
      <c r="N22" s="264">
        <v>51</v>
      </c>
      <c r="O22" s="265">
        <v>1</v>
      </c>
      <c r="P22" s="269">
        <v>37.731958762886599</v>
      </c>
      <c r="Q22" s="270">
        <v>31.951219512195124</v>
      </c>
      <c r="R22" s="270">
        <v>70.833333333333343</v>
      </c>
      <c r="S22" s="271">
        <v>33.333333333333329</v>
      </c>
      <c r="T22" s="272">
        <v>17.886814583129706</v>
      </c>
      <c r="U22" s="273">
        <v>15.471831817644974</v>
      </c>
      <c r="V22" s="273">
        <v>32.298923369221029</v>
      </c>
      <c r="W22" s="274">
        <v>5.4054054054054053</v>
      </c>
      <c r="X22" s="279">
        <v>10231</v>
      </c>
      <c r="Y22" s="280">
        <v>8467</v>
      </c>
      <c r="Z22" s="281">
        <v>1579</v>
      </c>
      <c r="AA22" s="282">
        <v>185</v>
      </c>
    </row>
    <row r="23" spans="1:27" s="234" customFormat="1" ht="15.75" customHeight="1">
      <c r="A23" s="260" t="s">
        <v>45</v>
      </c>
      <c r="B23" s="532" t="s">
        <v>46</v>
      </c>
      <c r="C23" s="261" t="s">
        <v>275</v>
      </c>
      <c r="D23" s="262">
        <v>363</v>
      </c>
      <c r="E23" s="263">
        <v>277</v>
      </c>
      <c r="F23" s="264">
        <v>78</v>
      </c>
      <c r="G23" s="265">
        <v>8</v>
      </c>
      <c r="H23" s="266">
        <v>66.703417861080482</v>
      </c>
      <c r="I23" s="267">
        <v>74.203053844093219</v>
      </c>
      <c r="J23" s="267">
        <v>48.628428927680794</v>
      </c>
      <c r="K23" s="268">
        <v>76.190476190476204</v>
      </c>
      <c r="L23" s="262">
        <v>144</v>
      </c>
      <c r="M23" s="263">
        <v>85</v>
      </c>
      <c r="N23" s="264">
        <v>56</v>
      </c>
      <c r="O23" s="265">
        <v>3</v>
      </c>
      <c r="P23" s="269">
        <v>39.669421487603309</v>
      </c>
      <c r="Q23" s="270">
        <v>30.685920577617328</v>
      </c>
      <c r="R23" s="270">
        <v>71.794871794871796</v>
      </c>
      <c r="S23" s="271">
        <v>37.5</v>
      </c>
      <c r="T23" s="272">
        <v>26.460859977949283</v>
      </c>
      <c r="U23" s="273">
        <v>22.76989016876507</v>
      </c>
      <c r="V23" s="273">
        <v>34.912718204488776</v>
      </c>
      <c r="W23" s="274">
        <v>28.571428571428569</v>
      </c>
      <c r="X23" s="275">
        <v>5442</v>
      </c>
      <c r="Y23" s="276">
        <v>3733</v>
      </c>
      <c r="Z23" s="278">
        <v>1604</v>
      </c>
      <c r="AA23" s="277">
        <v>105</v>
      </c>
    </row>
    <row r="24" spans="1:27" s="234" customFormat="1" ht="15.75" customHeight="1">
      <c r="A24" s="260" t="s">
        <v>47</v>
      </c>
      <c r="B24" s="532" t="s">
        <v>48</v>
      </c>
      <c r="C24" s="261" t="s">
        <v>278</v>
      </c>
      <c r="D24" s="262">
        <v>222</v>
      </c>
      <c r="E24" s="263">
        <v>221</v>
      </c>
      <c r="F24" s="264">
        <v>0</v>
      </c>
      <c r="G24" s="265">
        <v>1</v>
      </c>
      <c r="H24" s="266">
        <v>44.902912621359221</v>
      </c>
      <c r="I24" s="267">
        <v>45.34263438654083</v>
      </c>
      <c r="J24" s="267">
        <v>0</v>
      </c>
      <c r="K24" s="268">
        <v>28.571428571428569</v>
      </c>
      <c r="L24" s="262">
        <v>93</v>
      </c>
      <c r="M24" s="263">
        <v>93</v>
      </c>
      <c r="N24" s="264">
        <v>0</v>
      </c>
      <c r="O24" s="265">
        <v>0</v>
      </c>
      <c r="P24" s="269">
        <v>41.891891891891895</v>
      </c>
      <c r="Q24" s="270">
        <v>42.081447963800905</v>
      </c>
      <c r="R24" s="270" t="s">
        <v>928</v>
      </c>
      <c r="S24" s="271">
        <v>0</v>
      </c>
      <c r="T24" s="272">
        <v>18.810679611650485</v>
      </c>
      <c r="U24" s="273">
        <v>19.080837094788674</v>
      </c>
      <c r="V24" s="273" t="s">
        <v>928</v>
      </c>
      <c r="W24" s="274" t="s">
        <v>928</v>
      </c>
      <c r="X24" s="279">
        <v>4944</v>
      </c>
      <c r="Y24" s="280">
        <v>4874</v>
      </c>
      <c r="Z24" s="281">
        <v>35</v>
      </c>
      <c r="AA24" s="282">
        <v>35</v>
      </c>
    </row>
    <row r="25" spans="1:27" s="234" customFormat="1" ht="15.75" customHeight="1">
      <c r="A25" s="260" t="s">
        <v>49</v>
      </c>
      <c r="B25" s="532" t="s">
        <v>279</v>
      </c>
      <c r="C25" s="261" t="s">
        <v>275</v>
      </c>
      <c r="D25" s="262">
        <v>55</v>
      </c>
      <c r="E25" s="263">
        <v>27</v>
      </c>
      <c r="F25" s="264">
        <v>25</v>
      </c>
      <c r="G25" s="265">
        <v>3</v>
      </c>
      <c r="H25" s="266">
        <v>46.413502109704645</v>
      </c>
      <c r="I25" s="267">
        <v>55.670103092783506</v>
      </c>
      <c r="J25" s="267">
        <v>42.662116040955638</v>
      </c>
      <c r="K25" s="268">
        <v>26.315789473684209</v>
      </c>
      <c r="L25" s="262">
        <v>28</v>
      </c>
      <c r="M25" s="263">
        <v>11</v>
      </c>
      <c r="N25" s="264">
        <v>17</v>
      </c>
      <c r="O25" s="265">
        <v>0</v>
      </c>
      <c r="P25" s="269">
        <v>50.909090909090907</v>
      </c>
      <c r="Q25" s="270">
        <v>40.74074074074074</v>
      </c>
      <c r="R25" s="270">
        <v>68</v>
      </c>
      <c r="S25" s="271">
        <v>0</v>
      </c>
      <c r="T25" s="272">
        <v>23.628691983122362</v>
      </c>
      <c r="U25" s="273">
        <v>22.680412371134018</v>
      </c>
      <c r="V25" s="273">
        <v>29.010238907849832</v>
      </c>
      <c r="W25" s="274" t="s">
        <v>928</v>
      </c>
      <c r="X25" s="279">
        <v>1185</v>
      </c>
      <c r="Y25" s="280">
        <v>485</v>
      </c>
      <c r="Z25" s="281">
        <v>586</v>
      </c>
      <c r="AA25" s="282">
        <v>114</v>
      </c>
    </row>
    <row r="26" spans="1:27" s="234" customFormat="1" ht="15.75" customHeight="1">
      <c r="A26" s="260" t="s">
        <v>51</v>
      </c>
      <c r="B26" s="532" t="s">
        <v>52</v>
      </c>
      <c r="C26" s="261" t="s">
        <v>273</v>
      </c>
      <c r="D26" s="262">
        <v>112</v>
      </c>
      <c r="E26" s="263">
        <v>76</v>
      </c>
      <c r="F26" s="264">
        <v>36</v>
      </c>
      <c r="G26" s="265">
        <v>0</v>
      </c>
      <c r="H26" s="266">
        <v>53.742802303262955</v>
      </c>
      <c r="I26" s="267">
        <v>53.710247349823319</v>
      </c>
      <c r="J26" s="267">
        <v>54.54545454545454</v>
      </c>
      <c r="K26" s="268">
        <v>0</v>
      </c>
      <c r="L26" s="262">
        <v>52</v>
      </c>
      <c r="M26" s="263">
        <v>25</v>
      </c>
      <c r="N26" s="264">
        <v>27</v>
      </c>
      <c r="O26" s="265">
        <v>0</v>
      </c>
      <c r="P26" s="269">
        <v>46.428571428571431</v>
      </c>
      <c r="Q26" s="270">
        <v>32.894736842105267</v>
      </c>
      <c r="R26" s="270">
        <v>75</v>
      </c>
      <c r="S26" s="271" t="s">
        <v>928</v>
      </c>
      <c r="T26" s="272">
        <v>24.95201535508637</v>
      </c>
      <c r="U26" s="273">
        <v>17.667844522968199</v>
      </c>
      <c r="V26" s="273">
        <v>40.909090909090907</v>
      </c>
      <c r="W26" s="274" t="s">
        <v>928</v>
      </c>
      <c r="X26" s="275">
        <v>2084</v>
      </c>
      <c r="Y26" s="276">
        <v>1415</v>
      </c>
      <c r="Z26" s="278">
        <v>660</v>
      </c>
      <c r="AA26" s="277">
        <v>9</v>
      </c>
    </row>
    <row r="27" spans="1:27" s="234" customFormat="1" ht="15.75" customHeight="1">
      <c r="A27" s="260" t="s">
        <v>57</v>
      </c>
      <c r="B27" s="532" t="s">
        <v>362</v>
      </c>
      <c r="C27" s="261" t="s">
        <v>275</v>
      </c>
      <c r="D27" s="262">
        <v>3921</v>
      </c>
      <c r="E27" s="263">
        <v>2614</v>
      </c>
      <c r="F27" s="264">
        <v>849</v>
      </c>
      <c r="G27" s="265">
        <v>458</v>
      </c>
      <c r="H27" s="266">
        <v>57.609238635361876</v>
      </c>
      <c r="I27" s="267">
        <v>57.237951345551686</v>
      </c>
      <c r="J27" s="267">
        <v>44.301815904821538</v>
      </c>
      <c r="K27" s="268">
        <v>141.8395788169712</v>
      </c>
      <c r="L27" s="262">
        <v>1374</v>
      </c>
      <c r="M27" s="263">
        <v>629</v>
      </c>
      <c r="N27" s="264">
        <v>510</v>
      </c>
      <c r="O27" s="265">
        <v>235</v>
      </c>
      <c r="P27" s="269">
        <v>35.042081101759756</v>
      </c>
      <c r="Q27" s="270">
        <v>24.062739097169089</v>
      </c>
      <c r="R27" s="270">
        <v>60.07067137809188</v>
      </c>
      <c r="S27" s="271">
        <v>51.310043668122276</v>
      </c>
      <c r="T27" s="272">
        <v>20.187476124709821</v>
      </c>
      <c r="U27" s="273">
        <v>13.773018896844686</v>
      </c>
      <c r="V27" s="273">
        <v>26.612398246712587</v>
      </c>
      <c r="W27" s="274">
        <v>72.777949829668628</v>
      </c>
      <c r="X27" s="279">
        <v>68062</v>
      </c>
      <c r="Y27" s="280">
        <v>45669</v>
      </c>
      <c r="Z27" s="281">
        <v>19164</v>
      </c>
      <c r="AA27" s="282">
        <v>3229</v>
      </c>
    </row>
    <row r="28" spans="1:27" s="234" customFormat="1" ht="15.75" customHeight="1">
      <c r="A28" s="260" t="s">
        <v>59</v>
      </c>
      <c r="B28" s="532" t="s">
        <v>60</v>
      </c>
      <c r="C28" s="261" t="s">
        <v>276</v>
      </c>
      <c r="D28" s="262">
        <v>142</v>
      </c>
      <c r="E28" s="263">
        <v>139</v>
      </c>
      <c r="F28" s="264">
        <v>2</v>
      </c>
      <c r="G28" s="265">
        <v>1</v>
      </c>
      <c r="H28" s="266">
        <v>64.311594202898547</v>
      </c>
      <c r="I28" s="267">
        <v>67.970660146699259</v>
      </c>
      <c r="J28" s="267">
        <v>18.18181818181818</v>
      </c>
      <c r="K28" s="268">
        <v>18.867924528301884</v>
      </c>
      <c r="L28" s="262">
        <v>41</v>
      </c>
      <c r="M28" s="263">
        <v>39</v>
      </c>
      <c r="N28" s="264">
        <v>2</v>
      </c>
      <c r="O28" s="265">
        <v>0</v>
      </c>
      <c r="P28" s="269">
        <v>28.87323943661972</v>
      </c>
      <c r="Q28" s="270">
        <v>28.057553956834528</v>
      </c>
      <c r="R28" s="270">
        <v>100</v>
      </c>
      <c r="S28" s="271">
        <v>0</v>
      </c>
      <c r="T28" s="272">
        <v>18.568840579710145</v>
      </c>
      <c r="U28" s="273">
        <v>19.070904645476773</v>
      </c>
      <c r="V28" s="273">
        <v>18.18181818181818</v>
      </c>
      <c r="W28" s="274" t="s">
        <v>928</v>
      </c>
      <c r="X28" s="279">
        <v>2208</v>
      </c>
      <c r="Y28" s="280">
        <v>2045</v>
      </c>
      <c r="Z28" s="281">
        <v>110</v>
      </c>
      <c r="AA28" s="282">
        <v>53</v>
      </c>
    </row>
    <row r="29" spans="1:27" s="234" customFormat="1" ht="15.75" customHeight="1">
      <c r="A29" s="260" t="s">
        <v>61</v>
      </c>
      <c r="B29" s="532" t="s">
        <v>62</v>
      </c>
      <c r="C29" s="261" t="s">
        <v>273</v>
      </c>
      <c r="D29" s="262">
        <v>33</v>
      </c>
      <c r="E29" s="263">
        <v>32</v>
      </c>
      <c r="F29" s="264">
        <v>0</v>
      </c>
      <c r="G29" s="265">
        <v>1</v>
      </c>
      <c r="H29" s="266">
        <v>39.711191335740075</v>
      </c>
      <c r="I29" s="267">
        <v>38.787878787878789</v>
      </c>
      <c r="J29" s="267">
        <v>0</v>
      </c>
      <c r="K29" s="268">
        <v>200</v>
      </c>
      <c r="L29" s="262">
        <v>13</v>
      </c>
      <c r="M29" s="263">
        <v>13</v>
      </c>
      <c r="N29" s="264">
        <v>0</v>
      </c>
      <c r="O29" s="265">
        <v>0</v>
      </c>
      <c r="P29" s="269">
        <v>39.393939393939391</v>
      </c>
      <c r="Q29" s="270">
        <v>40.625</v>
      </c>
      <c r="R29" s="270" t="s">
        <v>928</v>
      </c>
      <c r="S29" s="271">
        <v>0</v>
      </c>
      <c r="T29" s="272">
        <v>15.643802647412757</v>
      </c>
      <c r="U29" s="273">
        <v>15.757575757575758</v>
      </c>
      <c r="V29" s="273" t="s">
        <v>928</v>
      </c>
      <c r="W29" s="274" t="s">
        <v>928</v>
      </c>
      <c r="X29" s="275">
        <v>831</v>
      </c>
      <c r="Y29" s="276">
        <v>825</v>
      </c>
      <c r="Z29" s="278">
        <v>1</v>
      </c>
      <c r="AA29" s="277">
        <v>5</v>
      </c>
    </row>
    <row r="30" spans="1:27" s="234" customFormat="1" ht="15.75" customHeight="1">
      <c r="A30" s="260" t="s">
        <v>63</v>
      </c>
      <c r="B30" s="532" t="s">
        <v>64</v>
      </c>
      <c r="C30" s="261" t="s">
        <v>276</v>
      </c>
      <c r="D30" s="262">
        <v>629</v>
      </c>
      <c r="E30" s="263">
        <v>499</v>
      </c>
      <c r="F30" s="264">
        <v>99</v>
      </c>
      <c r="G30" s="265">
        <v>31</v>
      </c>
      <c r="H30" s="266">
        <v>73.131031275433088</v>
      </c>
      <c r="I30" s="267">
        <v>72.235089751013319</v>
      </c>
      <c r="J30" s="267">
        <v>69.81664315937941</v>
      </c>
      <c r="K30" s="268">
        <v>112.72727272727273</v>
      </c>
      <c r="L30" s="262">
        <v>252</v>
      </c>
      <c r="M30" s="263">
        <v>167</v>
      </c>
      <c r="N30" s="264">
        <v>72</v>
      </c>
      <c r="O30" s="265">
        <v>13</v>
      </c>
      <c r="P30" s="269">
        <v>40.06359300476948</v>
      </c>
      <c r="Q30" s="270">
        <v>33.46693386773547</v>
      </c>
      <c r="R30" s="270">
        <v>72.727272727272734</v>
      </c>
      <c r="S30" s="271">
        <v>41.935483870967744</v>
      </c>
      <c r="T30" s="272">
        <v>29.298918730380187</v>
      </c>
      <c r="U30" s="273">
        <v>24.17486971627099</v>
      </c>
      <c r="V30" s="273">
        <v>50.775740479548659</v>
      </c>
      <c r="W30" s="274">
        <v>47.272727272727273</v>
      </c>
      <c r="X30" s="275">
        <v>8601</v>
      </c>
      <c r="Y30" s="276">
        <v>6908</v>
      </c>
      <c r="Z30" s="278">
        <v>1418</v>
      </c>
      <c r="AA30" s="277">
        <v>275</v>
      </c>
    </row>
    <row r="31" spans="1:27" s="234" customFormat="1" ht="15.75" customHeight="1">
      <c r="A31" s="260" t="s">
        <v>65</v>
      </c>
      <c r="B31" s="532" t="s">
        <v>66</v>
      </c>
      <c r="C31" s="261" t="s">
        <v>275</v>
      </c>
      <c r="D31" s="262">
        <v>103</v>
      </c>
      <c r="E31" s="263">
        <v>72</v>
      </c>
      <c r="F31" s="264">
        <v>29</v>
      </c>
      <c r="G31" s="265">
        <v>2</v>
      </c>
      <c r="H31" s="266">
        <v>56.03917301414581</v>
      </c>
      <c r="I31" s="267">
        <v>60.657118786857623</v>
      </c>
      <c r="J31" s="267">
        <v>45.813586097946285</v>
      </c>
      <c r="K31" s="268">
        <v>111.1111111111111</v>
      </c>
      <c r="L31" s="262">
        <v>40</v>
      </c>
      <c r="M31" s="263">
        <v>19</v>
      </c>
      <c r="N31" s="264">
        <v>20</v>
      </c>
      <c r="O31" s="265">
        <v>1</v>
      </c>
      <c r="P31" s="269">
        <v>38.834951456310677</v>
      </c>
      <c r="Q31" s="270">
        <v>26.388888888888889</v>
      </c>
      <c r="R31" s="270">
        <v>68.965517241379317</v>
      </c>
      <c r="S31" s="271">
        <v>50</v>
      </c>
      <c r="T31" s="272">
        <v>21.762785636561482</v>
      </c>
      <c r="U31" s="273">
        <v>16.006739679865206</v>
      </c>
      <c r="V31" s="273">
        <v>31.595576619273299</v>
      </c>
      <c r="W31" s="274">
        <v>55.55555555555555</v>
      </c>
      <c r="X31" s="279">
        <v>1838</v>
      </c>
      <c r="Y31" s="280">
        <v>1187</v>
      </c>
      <c r="Z31" s="281">
        <v>633</v>
      </c>
      <c r="AA31" s="282">
        <v>18</v>
      </c>
    </row>
    <row r="32" spans="1:27" s="234" customFormat="1" ht="15.75" customHeight="1">
      <c r="A32" s="260" t="s">
        <v>69</v>
      </c>
      <c r="B32" s="532" t="s">
        <v>70</v>
      </c>
      <c r="C32" s="261" t="s">
        <v>278</v>
      </c>
      <c r="D32" s="262">
        <v>170</v>
      </c>
      <c r="E32" s="263">
        <v>169</v>
      </c>
      <c r="F32" s="264">
        <v>0</v>
      </c>
      <c r="G32" s="265">
        <v>1</v>
      </c>
      <c r="H32" s="266">
        <v>62.986291218969995</v>
      </c>
      <c r="I32" s="267">
        <v>63.343328335832091</v>
      </c>
      <c r="J32" s="267">
        <v>0</v>
      </c>
      <c r="K32" s="284">
        <v>55.55555555555555</v>
      </c>
      <c r="L32" s="262">
        <v>67</v>
      </c>
      <c r="M32" s="263">
        <v>67</v>
      </c>
      <c r="N32" s="264">
        <v>0</v>
      </c>
      <c r="O32" s="265">
        <v>0</v>
      </c>
      <c r="P32" s="269">
        <v>39.411764705882355</v>
      </c>
      <c r="Q32" s="270">
        <v>39.644970414201183</v>
      </c>
      <c r="R32" s="270" t="s">
        <v>928</v>
      </c>
      <c r="S32" s="271">
        <v>0</v>
      </c>
      <c r="T32" s="272">
        <v>24.824008892182292</v>
      </c>
      <c r="U32" s="273">
        <v>25.112443778110947</v>
      </c>
      <c r="V32" s="273" t="s">
        <v>928</v>
      </c>
      <c r="W32" s="274" t="s">
        <v>928</v>
      </c>
      <c r="X32" s="275">
        <v>2699</v>
      </c>
      <c r="Y32" s="276">
        <v>2668</v>
      </c>
      <c r="Z32" s="278">
        <v>13</v>
      </c>
      <c r="AA32" s="277">
        <v>18</v>
      </c>
    </row>
    <row r="33" spans="1:27" s="234" customFormat="1" ht="15.75" customHeight="1">
      <c r="A33" s="260" t="s">
        <v>71</v>
      </c>
      <c r="B33" s="532" t="s">
        <v>72</v>
      </c>
      <c r="C33" s="261" t="s">
        <v>272</v>
      </c>
      <c r="D33" s="262">
        <v>233</v>
      </c>
      <c r="E33" s="263">
        <v>157</v>
      </c>
      <c r="F33" s="264">
        <v>71</v>
      </c>
      <c r="G33" s="265">
        <v>5</v>
      </c>
      <c r="H33" s="266">
        <v>43.356903609973948</v>
      </c>
      <c r="I33" s="267">
        <v>46.518518518518519</v>
      </c>
      <c r="J33" s="267">
        <v>36.711478800413651</v>
      </c>
      <c r="K33" s="268">
        <v>76.923076923076934</v>
      </c>
      <c r="L33" s="262">
        <v>114</v>
      </c>
      <c r="M33" s="263">
        <v>62</v>
      </c>
      <c r="N33" s="264">
        <v>49</v>
      </c>
      <c r="O33" s="265">
        <v>3</v>
      </c>
      <c r="P33" s="269">
        <v>48.927038626609445</v>
      </c>
      <c r="Q33" s="270">
        <v>39.490445859872615</v>
      </c>
      <c r="R33" s="270">
        <v>69.014084507042256</v>
      </c>
      <c r="S33" s="271">
        <v>60</v>
      </c>
      <c r="T33" s="272">
        <v>21.213248976553775</v>
      </c>
      <c r="U33" s="273">
        <v>18.37037037037037</v>
      </c>
      <c r="V33" s="273">
        <v>25.336091003102378</v>
      </c>
      <c r="W33" s="274">
        <v>46.153846153846153</v>
      </c>
      <c r="X33" s="279">
        <v>5374</v>
      </c>
      <c r="Y33" s="280">
        <v>3375</v>
      </c>
      <c r="Z33" s="281">
        <v>1934</v>
      </c>
      <c r="AA33" s="282">
        <v>65</v>
      </c>
    </row>
    <row r="34" spans="1:27" s="234" customFormat="1" ht="15.75" customHeight="1">
      <c r="A34" s="260" t="s">
        <v>73</v>
      </c>
      <c r="B34" s="532" t="s">
        <v>74</v>
      </c>
      <c r="C34" s="261" t="s">
        <v>275</v>
      </c>
      <c r="D34" s="262">
        <v>142</v>
      </c>
      <c r="E34" s="263">
        <v>75</v>
      </c>
      <c r="F34" s="264">
        <v>61</v>
      </c>
      <c r="G34" s="265">
        <v>6</v>
      </c>
      <c r="H34" s="266">
        <v>68.59903381642512</v>
      </c>
      <c r="I34" s="267">
        <v>67.934782608695642</v>
      </c>
      <c r="J34" s="267">
        <v>67.477876106194685</v>
      </c>
      <c r="K34" s="268">
        <v>96.774193548387089</v>
      </c>
      <c r="L34" s="262">
        <v>82</v>
      </c>
      <c r="M34" s="263">
        <v>28</v>
      </c>
      <c r="N34" s="264">
        <v>52</v>
      </c>
      <c r="O34" s="265">
        <v>2</v>
      </c>
      <c r="P34" s="269">
        <v>57.74647887323944</v>
      </c>
      <c r="Q34" s="270">
        <v>37.333333333333336</v>
      </c>
      <c r="R34" s="270">
        <v>85.245901639344254</v>
      </c>
      <c r="S34" s="271">
        <v>33.333333333333329</v>
      </c>
      <c r="T34" s="272">
        <v>39.613526570048307</v>
      </c>
      <c r="U34" s="273">
        <v>25.362318840579711</v>
      </c>
      <c r="V34" s="273">
        <v>57.522123893805308</v>
      </c>
      <c r="W34" s="274">
        <v>32.258064516129032</v>
      </c>
      <c r="X34" s="275">
        <v>2070</v>
      </c>
      <c r="Y34" s="276">
        <v>1104</v>
      </c>
      <c r="Z34" s="278">
        <v>904</v>
      </c>
      <c r="AA34" s="277">
        <v>62</v>
      </c>
    </row>
    <row r="35" spans="1:27" s="234" customFormat="1" ht="15.75" customHeight="1">
      <c r="A35" s="260" t="s">
        <v>75</v>
      </c>
      <c r="B35" s="532" t="s">
        <v>885</v>
      </c>
      <c r="C35" s="261" t="s">
        <v>276</v>
      </c>
      <c r="D35" s="262">
        <v>15702</v>
      </c>
      <c r="E35" s="263">
        <v>10604</v>
      </c>
      <c r="F35" s="264">
        <v>1560</v>
      </c>
      <c r="G35" s="265">
        <v>3538</v>
      </c>
      <c r="H35" s="266">
        <v>67.654206090688177</v>
      </c>
      <c r="I35" s="267">
        <v>69.129170632488879</v>
      </c>
      <c r="J35" s="267">
        <v>58.745998870269254</v>
      </c>
      <c r="K35" s="268">
        <v>67.851868898989323</v>
      </c>
      <c r="L35" s="262">
        <v>3483</v>
      </c>
      <c r="M35" s="263">
        <v>2519</v>
      </c>
      <c r="N35" s="264">
        <v>669</v>
      </c>
      <c r="O35" s="265">
        <v>295</v>
      </c>
      <c r="P35" s="269">
        <v>22.181887657623236</v>
      </c>
      <c r="Q35" s="270">
        <v>23.755186721991699</v>
      </c>
      <c r="R35" s="270">
        <v>42.88461538461538</v>
      </c>
      <c r="S35" s="271">
        <v>8.3380440927077437</v>
      </c>
      <c r="T35" s="272">
        <v>15.006979990693345</v>
      </c>
      <c r="U35" s="273">
        <v>16.421763563111988</v>
      </c>
      <c r="V35" s="273">
        <v>25.19299566936547</v>
      </c>
      <c r="W35" s="274">
        <v>5.6575187465239818</v>
      </c>
      <c r="X35" s="279">
        <v>232092</v>
      </c>
      <c r="Y35" s="280">
        <v>153394</v>
      </c>
      <c r="Z35" s="281">
        <v>26555</v>
      </c>
      <c r="AA35" s="282">
        <v>52143</v>
      </c>
    </row>
    <row r="36" spans="1:27" s="234" customFormat="1" ht="15.75" customHeight="1">
      <c r="A36" s="260" t="s">
        <v>77</v>
      </c>
      <c r="B36" s="532" t="s">
        <v>78</v>
      </c>
      <c r="C36" s="261" t="s">
        <v>276</v>
      </c>
      <c r="D36" s="262">
        <v>750</v>
      </c>
      <c r="E36" s="263">
        <v>597</v>
      </c>
      <c r="F36" s="264">
        <v>61</v>
      </c>
      <c r="G36" s="265">
        <v>92</v>
      </c>
      <c r="H36" s="266">
        <v>64.025951852484212</v>
      </c>
      <c r="I36" s="267">
        <v>57.431457431457432</v>
      </c>
      <c r="J36" s="267">
        <v>60.817547357926223</v>
      </c>
      <c r="K36" s="268">
        <v>291.13924050632909</v>
      </c>
      <c r="L36" s="262">
        <v>250</v>
      </c>
      <c r="M36" s="263">
        <v>168</v>
      </c>
      <c r="N36" s="264">
        <v>41</v>
      </c>
      <c r="O36" s="265">
        <v>41</v>
      </c>
      <c r="P36" s="269">
        <v>33.333333333333329</v>
      </c>
      <c r="Q36" s="270">
        <v>28.140703517587941</v>
      </c>
      <c r="R36" s="270">
        <v>67.213114754098356</v>
      </c>
      <c r="S36" s="271">
        <v>44.565217391304344</v>
      </c>
      <c r="T36" s="272">
        <v>21.341983950828066</v>
      </c>
      <c r="U36" s="273">
        <v>16.161616161616163</v>
      </c>
      <c r="V36" s="273">
        <v>40.877367896311064</v>
      </c>
      <c r="W36" s="274">
        <v>129.74683544303798</v>
      </c>
      <c r="X36" s="279">
        <v>11714</v>
      </c>
      <c r="Y36" s="280">
        <v>10395</v>
      </c>
      <c r="Z36" s="281">
        <v>1003</v>
      </c>
      <c r="AA36" s="282">
        <v>316</v>
      </c>
    </row>
    <row r="37" spans="1:27" s="234" customFormat="1" ht="15.75" customHeight="1">
      <c r="A37" s="260" t="s">
        <v>79</v>
      </c>
      <c r="B37" s="532" t="s">
        <v>80</v>
      </c>
      <c r="C37" s="261" t="s">
        <v>278</v>
      </c>
      <c r="D37" s="262">
        <v>174</v>
      </c>
      <c r="E37" s="263">
        <v>169</v>
      </c>
      <c r="F37" s="264">
        <v>1</v>
      </c>
      <c r="G37" s="265">
        <v>4</v>
      </c>
      <c r="H37" s="266">
        <v>68.992862807295808</v>
      </c>
      <c r="I37" s="267">
        <v>68.67127184071515</v>
      </c>
      <c r="J37" s="267">
        <v>20</v>
      </c>
      <c r="K37" s="268">
        <v>363.63636363636363</v>
      </c>
      <c r="L37" s="262">
        <v>58</v>
      </c>
      <c r="M37" s="263">
        <v>57</v>
      </c>
      <c r="N37" s="264">
        <v>1</v>
      </c>
      <c r="O37" s="265">
        <v>0</v>
      </c>
      <c r="P37" s="269">
        <v>33.333333333333329</v>
      </c>
      <c r="Q37" s="270">
        <v>33.727810650887577</v>
      </c>
      <c r="R37" s="270">
        <v>100</v>
      </c>
      <c r="S37" s="271">
        <v>0</v>
      </c>
      <c r="T37" s="272">
        <v>22.997620935765266</v>
      </c>
      <c r="U37" s="273">
        <v>23.161316537992686</v>
      </c>
      <c r="V37" s="273">
        <v>20</v>
      </c>
      <c r="W37" s="274" t="s">
        <v>928</v>
      </c>
      <c r="X37" s="279">
        <v>2522</v>
      </c>
      <c r="Y37" s="280">
        <v>2461</v>
      </c>
      <c r="Z37" s="281">
        <v>50</v>
      </c>
      <c r="AA37" s="282">
        <v>11</v>
      </c>
    </row>
    <row r="38" spans="1:27" s="234" customFormat="1" ht="15.75" customHeight="1">
      <c r="A38" s="260" t="s">
        <v>81</v>
      </c>
      <c r="B38" s="532" t="s">
        <v>82</v>
      </c>
      <c r="C38" s="261" t="s">
        <v>275</v>
      </c>
      <c r="D38" s="262">
        <v>300</v>
      </c>
      <c r="E38" s="263">
        <v>251</v>
      </c>
      <c r="F38" s="264">
        <v>44</v>
      </c>
      <c r="G38" s="265">
        <v>5</v>
      </c>
      <c r="H38" s="266">
        <v>55.949272659455431</v>
      </c>
      <c r="I38" s="267">
        <v>60.307544449783755</v>
      </c>
      <c r="J38" s="267">
        <v>38.461538461538467</v>
      </c>
      <c r="K38" s="268">
        <v>89.285714285714292</v>
      </c>
      <c r="L38" s="262">
        <v>94</v>
      </c>
      <c r="M38" s="263">
        <v>59</v>
      </c>
      <c r="N38" s="264">
        <v>35</v>
      </c>
      <c r="O38" s="265">
        <v>0</v>
      </c>
      <c r="P38" s="269">
        <v>31.333333333333336</v>
      </c>
      <c r="Q38" s="270">
        <v>23.50597609561753</v>
      </c>
      <c r="R38" s="270">
        <v>79.545454545454547</v>
      </c>
      <c r="S38" s="271">
        <v>0</v>
      </c>
      <c r="T38" s="272">
        <v>17.5307720999627</v>
      </c>
      <c r="U38" s="273">
        <v>14.175876982220087</v>
      </c>
      <c r="V38" s="273">
        <v>30.594405594405597</v>
      </c>
      <c r="W38" s="274" t="s">
        <v>928</v>
      </c>
      <c r="X38" s="279">
        <v>5362</v>
      </c>
      <c r="Y38" s="280">
        <v>4162</v>
      </c>
      <c r="Z38" s="281">
        <v>1144</v>
      </c>
      <c r="AA38" s="282">
        <v>56</v>
      </c>
    </row>
    <row r="39" spans="1:27" s="234" customFormat="1" ht="15.75" customHeight="1">
      <c r="A39" s="260" t="s">
        <v>85</v>
      </c>
      <c r="B39" s="532" t="s">
        <v>86</v>
      </c>
      <c r="C39" s="261" t="s">
        <v>273</v>
      </c>
      <c r="D39" s="262">
        <v>512</v>
      </c>
      <c r="E39" s="263">
        <v>480</v>
      </c>
      <c r="F39" s="264">
        <v>25</v>
      </c>
      <c r="G39" s="265">
        <v>7</v>
      </c>
      <c r="H39" s="266">
        <v>53.216921317950316</v>
      </c>
      <c r="I39" s="267">
        <v>56.133785522161155</v>
      </c>
      <c r="J39" s="267">
        <v>26.288117770767613</v>
      </c>
      <c r="K39" s="268">
        <v>58.823529411764703</v>
      </c>
      <c r="L39" s="262">
        <v>191</v>
      </c>
      <c r="M39" s="263">
        <v>169</v>
      </c>
      <c r="N39" s="264">
        <v>20</v>
      </c>
      <c r="O39" s="265">
        <v>2</v>
      </c>
      <c r="P39" s="269">
        <v>37.3046875</v>
      </c>
      <c r="Q39" s="270">
        <v>35.208333333333336</v>
      </c>
      <c r="R39" s="270">
        <v>80</v>
      </c>
      <c r="S39" s="271">
        <v>28.571428571428569</v>
      </c>
      <c r="T39" s="272">
        <v>19.852406194782247</v>
      </c>
      <c r="U39" s="273">
        <v>19.763770319260907</v>
      </c>
      <c r="V39" s="273">
        <v>21.030494216614091</v>
      </c>
      <c r="W39" s="274">
        <v>16.806722689075631</v>
      </c>
      <c r="X39" s="279">
        <v>9621</v>
      </c>
      <c r="Y39" s="280">
        <v>8551</v>
      </c>
      <c r="Z39" s="281">
        <v>951</v>
      </c>
      <c r="AA39" s="282">
        <v>119</v>
      </c>
    </row>
    <row r="40" spans="1:27" s="234" customFormat="1" ht="15.75" customHeight="1">
      <c r="A40" s="260" t="s">
        <v>87</v>
      </c>
      <c r="B40" s="532" t="s">
        <v>88</v>
      </c>
      <c r="C40" s="261" t="s">
        <v>276</v>
      </c>
      <c r="D40" s="262">
        <v>915</v>
      </c>
      <c r="E40" s="263">
        <v>828</v>
      </c>
      <c r="F40" s="264">
        <v>44</v>
      </c>
      <c r="G40" s="265">
        <v>43</v>
      </c>
      <c r="H40" s="266">
        <v>60.340279609601687</v>
      </c>
      <c r="I40" s="267">
        <v>58.995368721054504</v>
      </c>
      <c r="J40" s="267">
        <v>57.366362451108209</v>
      </c>
      <c r="K40" s="268">
        <v>118.78453038674033</v>
      </c>
      <c r="L40" s="262">
        <v>335</v>
      </c>
      <c r="M40" s="263">
        <v>297</v>
      </c>
      <c r="N40" s="264">
        <v>26</v>
      </c>
      <c r="O40" s="265">
        <v>12</v>
      </c>
      <c r="P40" s="269">
        <v>36.612021857923501</v>
      </c>
      <c r="Q40" s="270">
        <v>35.869565217391305</v>
      </c>
      <c r="R40" s="270">
        <v>59.090909090909093</v>
      </c>
      <c r="S40" s="271">
        <v>27.906976744186046</v>
      </c>
      <c r="T40" s="272">
        <v>22.091796359799524</v>
      </c>
      <c r="U40" s="273">
        <v>21.161382258639115</v>
      </c>
      <c r="V40" s="273">
        <v>33.898305084745765</v>
      </c>
      <c r="W40" s="274">
        <v>33.149171270718227</v>
      </c>
      <c r="X40" s="279">
        <v>15164</v>
      </c>
      <c r="Y40" s="280">
        <v>14035</v>
      </c>
      <c r="Z40" s="281">
        <v>767</v>
      </c>
      <c r="AA40" s="282">
        <v>362</v>
      </c>
    </row>
    <row r="41" spans="1:27" s="234" customFormat="1" ht="15.75" customHeight="1">
      <c r="A41" s="260" t="s">
        <v>93</v>
      </c>
      <c r="B41" s="532" t="s">
        <v>94</v>
      </c>
      <c r="C41" s="261" t="s">
        <v>278</v>
      </c>
      <c r="D41" s="262">
        <v>196</v>
      </c>
      <c r="E41" s="263">
        <v>191</v>
      </c>
      <c r="F41" s="264">
        <v>4</v>
      </c>
      <c r="G41" s="265">
        <v>1</v>
      </c>
      <c r="H41" s="266">
        <v>64.473684210526315</v>
      </c>
      <c r="I41" s="267">
        <v>64.158548874706085</v>
      </c>
      <c r="J41" s="267">
        <v>100</v>
      </c>
      <c r="K41" s="268">
        <v>43.478260869565219</v>
      </c>
      <c r="L41" s="262">
        <v>89</v>
      </c>
      <c r="M41" s="263">
        <v>85</v>
      </c>
      <c r="N41" s="264">
        <v>4</v>
      </c>
      <c r="O41" s="265">
        <v>0</v>
      </c>
      <c r="P41" s="269">
        <v>45.408163265306122</v>
      </c>
      <c r="Q41" s="270">
        <v>44.502617801047123</v>
      </c>
      <c r="R41" s="270">
        <v>100</v>
      </c>
      <c r="S41" s="271">
        <v>0</v>
      </c>
      <c r="T41" s="272">
        <v>29.276315789473685</v>
      </c>
      <c r="U41" s="273">
        <v>28.552233792408465</v>
      </c>
      <c r="V41" s="273">
        <v>100</v>
      </c>
      <c r="W41" s="274" t="s">
        <v>928</v>
      </c>
      <c r="X41" s="279">
        <v>3040</v>
      </c>
      <c r="Y41" s="280">
        <v>2977</v>
      </c>
      <c r="Z41" s="281">
        <v>40</v>
      </c>
      <c r="AA41" s="282">
        <v>23</v>
      </c>
    </row>
    <row r="42" spans="1:27" s="234" customFormat="1" ht="15.75" customHeight="1">
      <c r="A42" s="260" t="s">
        <v>95</v>
      </c>
      <c r="B42" s="532" t="s">
        <v>96</v>
      </c>
      <c r="C42" s="261" t="s">
        <v>272</v>
      </c>
      <c r="D42" s="262">
        <v>359</v>
      </c>
      <c r="E42" s="263">
        <v>318</v>
      </c>
      <c r="F42" s="264">
        <v>26</v>
      </c>
      <c r="G42" s="265">
        <v>15</v>
      </c>
      <c r="H42" s="266">
        <v>54.509565745520803</v>
      </c>
      <c r="I42" s="267">
        <v>53.328861311420432</v>
      </c>
      <c r="J42" s="267">
        <v>52</v>
      </c>
      <c r="K42" s="268">
        <v>121.95121951219512</v>
      </c>
      <c r="L42" s="262">
        <v>133</v>
      </c>
      <c r="M42" s="263">
        <v>114</v>
      </c>
      <c r="N42" s="264">
        <v>14</v>
      </c>
      <c r="O42" s="265">
        <v>5</v>
      </c>
      <c r="P42" s="269">
        <v>37.047353760445681</v>
      </c>
      <c r="Q42" s="270">
        <v>35.849056603773583</v>
      </c>
      <c r="R42" s="270">
        <v>53.846153846153847</v>
      </c>
      <c r="S42" s="271">
        <v>33.333333333333329</v>
      </c>
      <c r="T42" s="272">
        <v>20.194351655025812</v>
      </c>
      <c r="U42" s="273">
        <v>19.117893677679021</v>
      </c>
      <c r="V42" s="273">
        <v>28</v>
      </c>
      <c r="W42" s="274">
        <v>40.650406504065039</v>
      </c>
      <c r="X42" s="279">
        <v>6586</v>
      </c>
      <c r="Y42" s="280">
        <v>5963</v>
      </c>
      <c r="Z42" s="281">
        <v>500</v>
      </c>
      <c r="AA42" s="282">
        <v>123</v>
      </c>
    </row>
    <row r="43" spans="1:27" s="234" customFormat="1" ht="15.75" customHeight="1">
      <c r="A43" s="260" t="s">
        <v>97</v>
      </c>
      <c r="B43" s="532" t="s">
        <v>98</v>
      </c>
      <c r="C43" s="261" t="s">
        <v>275</v>
      </c>
      <c r="D43" s="262">
        <v>173</v>
      </c>
      <c r="E43" s="263">
        <v>131</v>
      </c>
      <c r="F43" s="264">
        <v>36</v>
      </c>
      <c r="G43" s="265">
        <v>6</v>
      </c>
      <c r="H43" s="266">
        <v>48.527349228611499</v>
      </c>
      <c r="I43" s="267">
        <v>47.360809833694866</v>
      </c>
      <c r="J43" s="285">
        <v>49.247606019151846</v>
      </c>
      <c r="K43" s="268">
        <v>88.235294117647058</v>
      </c>
      <c r="L43" s="262">
        <v>43</v>
      </c>
      <c r="M43" s="263">
        <v>17</v>
      </c>
      <c r="N43" s="264">
        <v>25</v>
      </c>
      <c r="O43" s="265">
        <v>1</v>
      </c>
      <c r="P43" s="269">
        <v>24.855491329479769</v>
      </c>
      <c r="Q43" s="270">
        <v>12.977099236641221</v>
      </c>
      <c r="R43" s="270">
        <v>69.444444444444443</v>
      </c>
      <c r="S43" s="271">
        <v>16.666666666666664</v>
      </c>
      <c r="T43" s="272">
        <v>12.061711079943899</v>
      </c>
      <c r="U43" s="273">
        <v>6.1460592913955168</v>
      </c>
      <c r="V43" s="273">
        <v>34.19972640218878</v>
      </c>
      <c r="W43" s="274">
        <v>14.705882352941176</v>
      </c>
      <c r="X43" s="279">
        <v>3565</v>
      </c>
      <c r="Y43" s="280">
        <v>2766</v>
      </c>
      <c r="Z43" s="281">
        <v>731</v>
      </c>
      <c r="AA43" s="282">
        <v>68</v>
      </c>
    </row>
    <row r="44" spans="1:27" s="234" customFormat="1" ht="15.75" customHeight="1">
      <c r="A44" s="260" t="s">
        <v>99</v>
      </c>
      <c r="B44" s="532" t="s">
        <v>100</v>
      </c>
      <c r="C44" s="261" t="s">
        <v>278</v>
      </c>
      <c r="D44" s="262">
        <v>139</v>
      </c>
      <c r="E44" s="263">
        <v>137</v>
      </c>
      <c r="F44" s="264">
        <v>1</v>
      </c>
      <c r="G44" s="283">
        <v>1</v>
      </c>
      <c r="H44" s="266">
        <v>56.207035988677717</v>
      </c>
      <c r="I44" s="267">
        <v>56.77579776212184</v>
      </c>
      <c r="J44" s="267">
        <v>20.833333333333332</v>
      </c>
      <c r="K44" s="268">
        <v>83.333333333333329</v>
      </c>
      <c r="L44" s="262">
        <v>50</v>
      </c>
      <c r="M44" s="263">
        <v>48</v>
      </c>
      <c r="N44" s="264">
        <v>1</v>
      </c>
      <c r="O44" s="265">
        <v>1</v>
      </c>
      <c r="P44" s="269">
        <v>35.97122302158273</v>
      </c>
      <c r="Q44" s="270">
        <v>35.036496350364963</v>
      </c>
      <c r="R44" s="270">
        <v>100</v>
      </c>
      <c r="S44" s="271">
        <v>100</v>
      </c>
      <c r="T44" s="272">
        <v>20.218358269308531</v>
      </c>
      <c r="U44" s="273">
        <v>19.892250310816411</v>
      </c>
      <c r="V44" s="273">
        <v>20.833333333333332</v>
      </c>
      <c r="W44" s="274">
        <v>83.333333333333329</v>
      </c>
      <c r="X44" s="275">
        <v>2473</v>
      </c>
      <c r="Y44" s="276">
        <v>2413</v>
      </c>
      <c r="Z44" s="278">
        <v>48</v>
      </c>
      <c r="AA44" s="277">
        <v>12</v>
      </c>
    </row>
    <row r="45" spans="1:27" s="234" customFormat="1" ht="15.75" customHeight="1">
      <c r="A45" s="260" t="s">
        <v>101</v>
      </c>
      <c r="B45" s="532" t="s">
        <v>102</v>
      </c>
      <c r="C45" s="261" t="s">
        <v>276</v>
      </c>
      <c r="D45" s="262">
        <v>226</v>
      </c>
      <c r="E45" s="263">
        <v>213</v>
      </c>
      <c r="F45" s="264">
        <v>8</v>
      </c>
      <c r="G45" s="265">
        <v>5</v>
      </c>
      <c r="H45" s="266">
        <v>65.659500290528769</v>
      </c>
      <c r="I45" s="267">
        <v>68.510775168864583</v>
      </c>
      <c r="J45" s="267">
        <v>31.872509960159363</v>
      </c>
      <c r="K45" s="268">
        <v>60.975609756097562</v>
      </c>
      <c r="L45" s="262">
        <v>64</v>
      </c>
      <c r="M45" s="263">
        <v>59</v>
      </c>
      <c r="N45" s="264">
        <v>5</v>
      </c>
      <c r="O45" s="265">
        <v>0</v>
      </c>
      <c r="P45" s="269">
        <v>28.318584070796462</v>
      </c>
      <c r="Q45" s="270">
        <v>27.699530516431924</v>
      </c>
      <c r="R45" s="270">
        <v>62.5</v>
      </c>
      <c r="S45" s="271">
        <v>0</v>
      </c>
      <c r="T45" s="272">
        <v>18.593840790238232</v>
      </c>
      <c r="U45" s="273">
        <v>18.977163074943714</v>
      </c>
      <c r="V45" s="273">
        <v>19.920318725099602</v>
      </c>
      <c r="W45" s="274" t="s">
        <v>928</v>
      </c>
      <c r="X45" s="275">
        <v>3442</v>
      </c>
      <c r="Y45" s="276">
        <v>3109</v>
      </c>
      <c r="Z45" s="278">
        <v>251</v>
      </c>
      <c r="AA45" s="277">
        <v>82</v>
      </c>
    </row>
    <row r="46" spans="1:27" s="234" customFormat="1" ht="15.75" customHeight="1">
      <c r="A46" s="260" t="s">
        <v>103</v>
      </c>
      <c r="B46" s="532" t="s">
        <v>329</v>
      </c>
      <c r="C46" s="261" t="s">
        <v>272</v>
      </c>
      <c r="D46" s="262">
        <v>179</v>
      </c>
      <c r="E46" s="263">
        <v>48</v>
      </c>
      <c r="F46" s="264">
        <v>120</v>
      </c>
      <c r="G46" s="265">
        <v>11</v>
      </c>
      <c r="H46" s="266">
        <v>67.217423957942174</v>
      </c>
      <c r="I46" s="267">
        <v>53.274139844617089</v>
      </c>
      <c r="J46" s="267">
        <v>69.40427993059572</v>
      </c>
      <c r="K46" s="268">
        <v>333.33333333333331</v>
      </c>
      <c r="L46" s="262">
        <v>121</v>
      </c>
      <c r="M46" s="263">
        <v>18</v>
      </c>
      <c r="N46" s="264">
        <v>97</v>
      </c>
      <c r="O46" s="265">
        <v>6</v>
      </c>
      <c r="P46" s="269">
        <v>67.597765363128488</v>
      </c>
      <c r="Q46" s="270">
        <v>37.5</v>
      </c>
      <c r="R46" s="270">
        <v>80.833333333333329</v>
      </c>
      <c r="S46" s="271">
        <v>54.54545454545454</v>
      </c>
      <c r="T46" s="272">
        <v>45.43747653022907</v>
      </c>
      <c r="U46" s="273">
        <v>19.977802441731413</v>
      </c>
      <c r="V46" s="273">
        <v>56.101792943898204</v>
      </c>
      <c r="W46" s="274">
        <v>181.81818181818181</v>
      </c>
      <c r="X46" s="279">
        <v>2663</v>
      </c>
      <c r="Y46" s="280">
        <v>901</v>
      </c>
      <c r="Z46" s="281">
        <v>1729</v>
      </c>
      <c r="AA46" s="282">
        <v>33</v>
      </c>
    </row>
    <row r="47" spans="1:27" s="234" customFormat="1" ht="15.75" customHeight="1">
      <c r="A47" s="260" t="s">
        <v>105</v>
      </c>
      <c r="B47" s="532" t="s">
        <v>106</v>
      </c>
      <c r="C47" s="261" t="s">
        <v>273</v>
      </c>
      <c r="D47" s="262">
        <v>365</v>
      </c>
      <c r="E47" s="263">
        <v>229</v>
      </c>
      <c r="F47" s="264">
        <v>134</v>
      </c>
      <c r="G47" s="265">
        <v>2</v>
      </c>
      <c r="H47" s="266">
        <v>61.437468439656627</v>
      </c>
      <c r="I47" s="267">
        <v>65.597250071612706</v>
      </c>
      <c r="J47" s="267">
        <v>55.926544240400666</v>
      </c>
      <c r="K47" s="268">
        <v>37.037037037037038</v>
      </c>
      <c r="L47" s="262">
        <v>185</v>
      </c>
      <c r="M47" s="263">
        <v>78</v>
      </c>
      <c r="N47" s="264">
        <v>106</v>
      </c>
      <c r="O47" s="265">
        <v>1</v>
      </c>
      <c r="P47" s="269">
        <v>50.684931506849317</v>
      </c>
      <c r="Q47" s="270">
        <v>34.061135371179041</v>
      </c>
      <c r="R47" s="270">
        <v>79.104477611940297</v>
      </c>
      <c r="S47" s="271">
        <v>50</v>
      </c>
      <c r="T47" s="272">
        <v>31.139538798182127</v>
      </c>
      <c r="U47" s="273">
        <v>22.343168146662848</v>
      </c>
      <c r="V47" s="273">
        <v>44.240400667779632</v>
      </c>
      <c r="W47" s="274">
        <v>18.518518518518519</v>
      </c>
      <c r="X47" s="279">
        <v>5941</v>
      </c>
      <c r="Y47" s="280">
        <v>3491</v>
      </c>
      <c r="Z47" s="281">
        <v>2396</v>
      </c>
      <c r="AA47" s="282">
        <v>54</v>
      </c>
    </row>
    <row r="48" spans="1:27" s="234" customFormat="1" ht="15.75" customHeight="1">
      <c r="A48" s="260" t="s">
        <v>109</v>
      </c>
      <c r="B48" s="532" t="s">
        <v>110</v>
      </c>
      <c r="C48" s="261" t="s">
        <v>275</v>
      </c>
      <c r="D48" s="262">
        <v>918</v>
      </c>
      <c r="E48" s="263">
        <v>783</v>
      </c>
      <c r="F48" s="264">
        <v>92</v>
      </c>
      <c r="G48" s="265">
        <v>43</v>
      </c>
      <c r="H48" s="266">
        <v>51.13636363636364</v>
      </c>
      <c r="I48" s="267">
        <v>49.847211611917494</v>
      </c>
      <c r="J48" s="267">
        <v>51.830985915492953</v>
      </c>
      <c r="K48" s="268">
        <v>91.684434968017058</v>
      </c>
      <c r="L48" s="262">
        <v>262</v>
      </c>
      <c r="M48" s="263">
        <v>187</v>
      </c>
      <c r="N48" s="264">
        <v>64</v>
      </c>
      <c r="O48" s="265">
        <v>11</v>
      </c>
      <c r="P48" s="269">
        <v>28.540305010893245</v>
      </c>
      <c r="Q48" s="270">
        <v>23.88250319284802</v>
      </c>
      <c r="R48" s="270">
        <v>69.565217391304344</v>
      </c>
      <c r="S48" s="271">
        <v>25.581395348837212</v>
      </c>
      <c r="T48" s="272">
        <v>14.594474153297684</v>
      </c>
      <c r="U48" s="273">
        <v>11.904761904761903</v>
      </c>
      <c r="V48" s="273">
        <v>36.056338028169016</v>
      </c>
      <c r="W48" s="274">
        <v>23.454157782515992</v>
      </c>
      <c r="X48" s="275">
        <v>17952</v>
      </c>
      <c r="Y48" s="276">
        <v>15708</v>
      </c>
      <c r="Z48" s="278">
        <v>1775</v>
      </c>
      <c r="AA48" s="277">
        <v>469</v>
      </c>
    </row>
    <row r="49" spans="1:27" s="234" customFormat="1" ht="15.75" customHeight="1">
      <c r="A49" s="260" t="s">
        <v>111</v>
      </c>
      <c r="B49" s="532" t="s">
        <v>112</v>
      </c>
      <c r="C49" s="261" t="s">
        <v>275</v>
      </c>
      <c r="D49" s="262">
        <v>3890</v>
      </c>
      <c r="E49" s="263">
        <v>2184</v>
      </c>
      <c r="F49" s="264">
        <v>1116</v>
      </c>
      <c r="G49" s="265">
        <v>590</v>
      </c>
      <c r="H49" s="266">
        <v>59.762486365242509</v>
      </c>
      <c r="I49" s="267">
        <v>60.572442866651869</v>
      </c>
      <c r="J49" s="267">
        <v>48.322147651006709</v>
      </c>
      <c r="K49" s="268">
        <v>99.326599326599336</v>
      </c>
      <c r="L49" s="262">
        <v>1358</v>
      </c>
      <c r="M49" s="263">
        <v>495</v>
      </c>
      <c r="N49" s="264">
        <v>749</v>
      </c>
      <c r="O49" s="265">
        <v>114</v>
      </c>
      <c r="P49" s="269">
        <v>34.910025706940871</v>
      </c>
      <c r="Q49" s="270">
        <v>22.664835164835164</v>
      </c>
      <c r="R49" s="270">
        <v>67.114695340501797</v>
      </c>
      <c r="S49" s="271">
        <v>19.322033898305087</v>
      </c>
      <c r="T49" s="272">
        <v>20.863099353213194</v>
      </c>
      <c r="U49" s="273">
        <v>13.728644331040602</v>
      </c>
      <c r="V49" s="273">
        <v>32.431262177960598</v>
      </c>
      <c r="W49" s="274">
        <v>19.19191919191919</v>
      </c>
      <c r="X49" s="275">
        <v>65091</v>
      </c>
      <c r="Y49" s="276">
        <v>36056</v>
      </c>
      <c r="Z49" s="278">
        <v>23095</v>
      </c>
      <c r="AA49" s="277">
        <v>5940</v>
      </c>
    </row>
    <row r="50" spans="1:27" s="234" customFormat="1" ht="15.75" customHeight="1">
      <c r="A50" s="260" t="s">
        <v>113</v>
      </c>
      <c r="B50" s="532" t="s">
        <v>367</v>
      </c>
      <c r="C50" s="261" t="s">
        <v>273</v>
      </c>
      <c r="D50" s="262">
        <v>732</v>
      </c>
      <c r="E50" s="263">
        <v>497</v>
      </c>
      <c r="F50" s="264">
        <v>211</v>
      </c>
      <c r="G50" s="265">
        <v>24</v>
      </c>
      <c r="H50" s="266">
        <v>62.303174738275594</v>
      </c>
      <c r="I50" s="267">
        <v>62.296314865881172</v>
      </c>
      <c r="J50" s="267">
        <v>58.046767537826682</v>
      </c>
      <c r="K50" s="268">
        <v>176.47058823529412</v>
      </c>
      <c r="L50" s="262">
        <v>423</v>
      </c>
      <c r="M50" s="263">
        <v>239</v>
      </c>
      <c r="N50" s="264">
        <v>173</v>
      </c>
      <c r="O50" s="265">
        <v>11</v>
      </c>
      <c r="P50" s="269">
        <v>57.786885245901644</v>
      </c>
      <c r="Q50" s="270">
        <v>48.088531187122733</v>
      </c>
      <c r="R50" s="270">
        <v>81.990521327014221</v>
      </c>
      <c r="S50" s="271">
        <v>45.833333333333329</v>
      </c>
      <c r="T50" s="272">
        <v>36.003064090560898</v>
      </c>
      <c r="U50" s="273">
        <v>29.957382802707446</v>
      </c>
      <c r="V50" s="273">
        <v>47.592847317744152</v>
      </c>
      <c r="W50" s="274">
        <v>80.882352941176478</v>
      </c>
      <c r="X50" s="279">
        <v>11749</v>
      </c>
      <c r="Y50" s="280">
        <v>7978</v>
      </c>
      <c r="Z50" s="281">
        <v>3635</v>
      </c>
      <c r="AA50" s="282">
        <v>136</v>
      </c>
    </row>
    <row r="51" spans="1:27" s="234" customFormat="1" ht="15.75" customHeight="1">
      <c r="A51" s="260" t="s">
        <v>115</v>
      </c>
      <c r="B51" s="532" t="s">
        <v>116</v>
      </c>
      <c r="C51" s="261" t="s">
        <v>273</v>
      </c>
      <c r="D51" s="262">
        <v>16</v>
      </c>
      <c r="E51" s="263">
        <v>16</v>
      </c>
      <c r="F51" s="264">
        <v>0</v>
      </c>
      <c r="G51" s="265">
        <v>0</v>
      </c>
      <c r="H51" s="266">
        <v>58.18181818181818</v>
      </c>
      <c r="I51" s="267">
        <v>59.040590405904055</v>
      </c>
      <c r="J51" s="267">
        <v>0</v>
      </c>
      <c r="K51" s="268">
        <v>0</v>
      </c>
      <c r="L51" s="262">
        <v>2</v>
      </c>
      <c r="M51" s="263">
        <v>2</v>
      </c>
      <c r="N51" s="264">
        <v>0</v>
      </c>
      <c r="O51" s="265">
        <v>0</v>
      </c>
      <c r="P51" s="269">
        <v>12.5</v>
      </c>
      <c r="Q51" s="270">
        <v>12.5</v>
      </c>
      <c r="R51" s="270" t="s">
        <v>928</v>
      </c>
      <c r="S51" s="271" t="s">
        <v>928</v>
      </c>
      <c r="T51" s="272">
        <v>7.2727272727272725</v>
      </c>
      <c r="U51" s="273">
        <v>7.3800738007380069</v>
      </c>
      <c r="V51" s="273" t="s">
        <v>928</v>
      </c>
      <c r="W51" s="274" t="s">
        <v>928</v>
      </c>
      <c r="X51" s="279">
        <v>275</v>
      </c>
      <c r="Y51" s="280">
        <v>271</v>
      </c>
      <c r="Z51" s="281">
        <v>2</v>
      </c>
      <c r="AA51" s="282">
        <v>2</v>
      </c>
    </row>
    <row r="52" spans="1:27" s="234" customFormat="1" ht="15.75" customHeight="1">
      <c r="A52" s="260" t="s">
        <v>119</v>
      </c>
      <c r="B52" s="532" t="s">
        <v>283</v>
      </c>
      <c r="C52" s="261" t="s">
        <v>272</v>
      </c>
      <c r="D52" s="262">
        <v>340</v>
      </c>
      <c r="E52" s="263">
        <v>237</v>
      </c>
      <c r="F52" s="264">
        <v>93</v>
      </c>
      <c r="G52" s="265">
        <v>10</v>
      </c>
      <c r="H52" s="266">
        <v>56.124133377352258</v>
      </c>
      <c r="I52" s="267">
        <v>55.039479795634001</v>
      </c>
      <c r="J52" s="267">
        <v>56.985294117647058</v>
      </c>
      <c r="K52" s="268">
        <v>83.333333333333329</v>
      </c>
      <c r="L52" s="262">
        <v>120</v>
      </c>
      <c r="M52" s="263">
        <v>50</v>
      </c>
      <c r="N52" s="264">
        <v>67</v>
      </c>
      <c r="O52" s="265">
        <v>3</v>
      </c>
      <c r="P52" s="269">
        <v>35.294117647058826</v>
      </c>
      <c r="Q52" s="270">
        <v>21.09704641350211</v>
      </c>
      <c r="R52" s="270">
        <v>72.043010752688176</v>
      </c>
      <c r="S52" s="271">
        <v>30</v>
      </c>
      <c r="T52" s="272">
        <v>19.808517662594912</v>
      </c>
      <c r="U52" s="273">
        <v>11.61170459823502</v>
      </c>
      <c r="V52" s="273">
        <v>41.053921568627452</v>
      </c>
      <c r="W52" s="274">
        <v>25</v>
      </c>
      <c r="X52" s="279">
        <v>6058</v>
      </c>
      <c r="Y52" s="280">
        <v>4306</v>
      </c>
      <c r="Z52" s="281">
        <v>1632</v>
      </c>
      <c r="AA52" s="282">
        <v>120</v>
      </c>
    </row>
    <row r="53" spans="1:27" s="234" customFormat="1" ht="15.75" customHeight="1">
      <c r="A53" s="260" t="s">
        <v>121</v>
      </c>
      <c r="B53" s="532" t="s">
        <v>122</v>
      </c>
      <c r="C53" s="261" t="s">
        <v>272</v>
      </c>
      <c r="D53" s="262">
        <v>721</v>
      </c>
      <c r="E53" s="263">
        <v>489</v>
      </c>
      <c r="F53" s="264">
        <v>134</v>
      </c>
      <c r="G53" s="265">
        <v>98</v>
      </c>
      <c r="H53" s="266">
        <v>64.861460957178849</v>
      </c>
      <c r="I53" s="267">
        <v>55.97527472527473</v>
      </c>
      <c r="J53" s="267">
        <v>70.304302203567673</v>
      </c>
      <c r="K53" s="268">
        <v>206.75105485232066</v>
      </c>
      <c r="L53" s="262">
        <v>252</v>
      </c>
      <c r="M53" s="263">
        <v>110</v>
      </c>
      <c r="N53" s="264">
        <v>96</v>
      </c>
      <c r="O53" s="265">
        <v>46</v>
      </c>
      <c r="P53" s="269">
        <v>34.95145631067961</v>
      </c>
      <c r="Q53" s="270">
        <v>22.494887525562373</v>
      </c>
      <c r="R53" s="270">
        <v>71.641791044776113</v>
      </c>
      <c r="S53" s="271">
        <v>46.938775510204081</v>
      </c>
      <c r="T53" s="272">
        <v>22.670025188916874</v>
      </c>
      <c r="U53" s="273">
        <v>12.591575091575091</v>
      </c>
      <c r="V53" s="273">
        <v>50.367261280167895</v>
      </c>
      <c r="W53" s="274">
        <v>97.046413502109701</v>
      </c>
      <c r="X53" s="279">
        <v>11116</v>
      </c>
      <c r="Y53" s="280">
        <v>8736</v>
      </c>
      <c r="Z53" s="281">
        <v>1906</v>
      </c>
      <c r="AA53" s="282">
        <v>474</v>
      </c>
    </row>
    <row r="54" spans="1:27" s="234" customFormat="1" ht="15.75" customHeight="1">
      <c r="A54" s="260" t="s">
        <v>123</v>
      </c>
      <c r="B54" s="532" t="s">
        <v>284</v>
      </c>
      <c r="C54" s="261" t="s">
        <v>275</v>
      </c>
      <c r="D54" s="262">
        <v>66</v>
      </c>
      <c r="E54" s="263">
        <v>39</v>
      </c>
      <c r="F54" s="264">
        <v>23</v>
      </c>
      <c r="G54" s="265">
        <v>4</v>
      </c>
      <c r="H54" s="266">
        <v>59.89110707803993</v>
      </c>
      <c r="I54" s="267">
        <v>51.383399209486164</v>
      </c>
      <c r="J54" s="267">
        <v>70.769230769230759</v>
      </c>
      <c r="K54" s="268">
        <v>222.2222222222222</v>
      </c>
      <c r="L54" s="262">
        <v>36</v>
      </c>
      <c r="M54" s="263">
        <v>14</v>
      </c>
      <c r="N54" s="264">
        <v>19</v>
      </c>
      <c r="O54" s="265">
        <v>3</v>
      </c>
      <c r="P54" s="269">
        <v>54.54545454545454</v>
      </c>
      <c r="Q54" s="270">
        <v>35.897435897435898</v>
      </c>
      <c r="R54" s="270">
        <v>82.608695652173907</v>
      </c>
      <c r="S54" s="271">
        <v>75</v>
      </c>
      <c r="T54" s="272">
        <v>32.667876588021777</v>
      </c>
      <c r="U54" s="273">
        <v>18.445322793148879</v>
      </c>
      <c r="V54" s="273">
        <v>58.46153846153846</v>
      </c>
      <c r="W54" s="274">
        <v>166.66666666666666</v>
      </c>
      <c r="X54" s="279">
        <v>1102</v>
      </c>
      <c r="Y54" s="280">
        <v>759</v>
      </c>
      <c r="Z54" s="281">
        <v>325</v>
      </c>
      <c r="AA54" s="282">
        <v>18</v>
      </c>
    </row>
    <row r="55" spans="1:27" s="234" customFormat="1" ht="15.75" customHeight="1">
      <c r="A55" s="260" t="s">
        <v>125</v>
      </c>
      <c r="B55" s="532" t="s">
        <v>126</v>
      </c>
      <c r="C55" s="261" t="s">
        <v>276</v>
      </c>
      <c r="D55" s="262">
        <v>305</v>
      </c>
      <c r="E55" s="263">
        <v>246</v>
      </c>
      <c r="F55" s="264">
        <v>49</v>
      </c>
      <c r="G55" s="265">
        <v>10</v>
      </c>
      <c r="H55" s="266">
        <v>65.732758620689651</v>
      </c>
      <c r="I55" s="267">
        <v>67.582417582417577</v>
      </c>
      <c r="J55" s="267">
        <v>55.367231638418076</v>
      </c>
      <c r="K55" s="268">
        <v>86.956521739130437</v>
      </c>
      <c r="L55" s="262">
        <v>101</v>
      </c>
      <c r="M55" s="263">
        <v>68</v>
      </c>
      <c r="N55" s="264">
        <v>30</v>
      </c>
      <c r="O55" s="265">
        <v>3</v>
      </c>
      <c r="P55" s="269">
        <v>33.114754098360656</v>
      </c>
      <c r="Q55" s="270">
        <v>27.64227642276423</v>
      </c>
      <c r="R55" s="270">
        <v>61.224489795918366</v>
      </c>
      <c r="S55" s="271">
        <v>30</v>
      </c>
      <c r="T55" s="272">
        <v>21.767241379310342</v>
      </c>
      <c r="U55" s="273">
        <v>18.681318681318682</v>
      </c>
      <c r="V55" s="273">
        <v>33.898305084745765</v>
      </c>
      <c r="W55" s="274">
        <v>26.086956521739129</v>
      </c>
      <c r="X55" s="279">
        <v>4640</v>
      </c>
      <c r="Y55" s="280">
        <v>3640</v>
      </c>
      <c r="Z55" s="281">
        <v>885</v>
      </c>
      <c r="AA55" s="282">
        <v>115</v>
      </c>
    </row>
    <row r="56" spans="1:27" s="234" customFormat="1" ht="15.75" customHeight="1">
      <c r="A56" s="260" t="s">
        <v>127</v>
      </c>
      <c r="B56" s="532" t="s">
        <v>128</v>
      </c>
      <c r="C56" s="261" t="s">
        <v>275</v>
      </c>
      <c r="D56" s="262">
        <v>203</v>
      </c>
      <c r="E56" s="263">
        <v>172</v>
      </c>
      <c r="F56" s="264">
        <v>24</v>
      </c>
      <c r="G56" s="265">
        <v>7</v>
      </c>
      <c r="H56" s="266">
        <v>66.102246825138394</v>
      </c>
      <c r="I56" s="267">
        <v>69.947132980886536</v>
      </c>
      <c r="J56" s="267">
        <v>44.943820224719097</v>
      </c>
      <c r="K56" s="268">
        <v>89.743589743589737</v>
      </c>
      <c r="L56" s="262">
        <v>63</v>
      </c>
      <c r="M56" s="263">
        <v>39</v>
      </c>
      <c r="N56" s="264">
        <v>20</v>
      </c>
      <c r="O56" s="265">
        <v>4</v>
      </c>
      <c r="P56" s="269">
        <v>31.03448275862069</v>
      </c>
      <c r="Q56" s="270">
        <v>22.674418604651162</v>
      </c>
      <c r="R56" s="270">
        <v>83.333333333333343</v>
      </c>
      <c r="S56" s="271">
        <v>57.142857142857139</v>
      </c>
      <c r="T56" s="272">
        <v>20.514490394008469</v>
      </c>
      <c r="U56" s="273">
        <v>15.860105734038225</v>
      </c>
      <c r="V56" s="273">
        <v>37.453183520599254</v>
      </c>
      <c r="W56" s="274">
        <v>51.282051282051277</v>
      </c>
      <c r="X56" s="279">
        <v>3071</v>
      </c>
      <c r="Y56" s="280">
        <v>2459</v>
      </c>
      <c r="Z56" s="281">
        <v>534</v>
      </c>
      <c r="AA56" s="282">
        <v>78</v>
      </c>
    </row>
    <row r="57" spans="1:27" s="234" customFormat="1" ht="15.75" customHeight="1">
      <c r="A57" s="260" t="s">
        <v>129</v>
      </c>
      <c r="B57" s="532" t="s">
        <v>130</v>
      </c>
      <c r="C57" s="261" t="s">
        <v>275</v>
      </c>
      <c r="D57" s="262">
        <v>100</v>
      </c>
      <c r="E57" s="263">
        <v>50</v>
      </c>
      <c r="F57" s="264">
        <v>48</v>
      </c>
      <c r="G57" s="265">
        <v>2</v>
      </c>
      <c r="H57" s="266">
        <v>71.736011477761835</v>
      </c>
      <c r="I57" s="267">
        <v>63.613231552162851</v>
      </c>
      <c r="J57" s="267">
        <v>81.494057724957557</v>
      </c>
      <c r="K57" s="268">
        <v>105.26315789473684</v>
      </c>
      <c r="L57" s="262">
        <v>58</v>
      </c>
      <c r="M57" s="263">
        <v>15</v>
      </c>
      <c r="N57" s="264">
        <v>41</v>
      </c>
      <c r="O57" s="265">
        <v>2</v>
      </c>
      <c r="P57" s="269">
        <v>57.999999999999993</v>
      </c>
      <c r="Q57" s="270">
        <v>30</v>
      </c>
      <c r="R57" s="270">
        <v>85.416666666666657</v>
      </c>
      <c r="S57" s="271">
        <v>100</v>
      </c>
      <c r="T57" s="272">
        <v>41.60688665710186</v>
      </c>
      <c r="U57" s="273">
        <v>19.083969465648856</v>
      </c>
      <c r="V57" s="273">
        <v>69.609507640067918</v>
      </c>
      <c r="W57" s="274">
        <v>105.26315789473684</v>
      </c>
      <c r="X57" s="279">
        <v>1394</v>
      </c>
      <c r="Y57" s="280">
        <v>786</v>
      </c>
      <c r="Z57" s="281">
        <v>589</v>
      </c>
      <c r="AA57" s="282">
        <v>19</v>
      </c>
    </row>
    <row r="58" spans="1:27" s="234" customFormat="1" ht="15.75" customHeight="1">
      <c r="A58" s="260" t="s">
        <v>131</v>
      </c>
      <c r="B58" s="532" t="s">
        <v>132</v>
      </c>
      <c r="C58" s="261" t="s">
        <v>278</v>
      </c>
      <c r="D58" s="262">
        <v>250</v>
      </c>
      <c r="E58" s="263">
        <v>249</v>
      </c>
      <c r="F58" s="264">
        <v>0</v>
      </c>
      <c r="G58" s="265">
        <v>1</v>
      </c>
      <c r="H58" s="266">
        <v>58.085501858736059</v>
      </c>
      <c r="I58" s="267">
        <v>58.505639097744357</v>
      </c>
      <c r="J58" s="267">
        <v>0</v>
      </c>
      <c r="K58" s="268">
        <v>50</v>
      </c>
      <c r="L58" s="262">
        <v>95</v>
      </c>
      <c r="M58" s="263">
        <v>94</v>
      </c>
      <c r="N58" s="264">
        <v>0</v>
      </c>
      <c r="O58" s="265">
        <v>1</v>
      </c>
      <c r="P58" s="269">
        <v>38</v>
      </c>
      <c r="Q58" s="270">
        <v>37.751004016064257</v>
      </c>
      <c r="R58" s="270" t="s">
        <v>928</v>
      </c>
      <c r="S58" s="271">
        <v>100</v>
      </c>
      <c r="T58" s="272">
        <v>22.072490706319705</v>
      </c>
      <c r="U58" s="273">
        <v>22.086466165413533</v>
      </c>
      <c r="V58" s="273" t="s">
        <v>928</v>
      </c>
      <c r="W58" s="274">
        <v>50</v>
      </c>
      <c r="X58" s="279">
        <v>4304</v>
      </c>
      <c r="Y58" s="280">
        <v>4256</v>
      </c>
      <c r="Z58" s="281">
        <v>28</v>
      </c>
      <c r="AA58" s="282">
        <v>20</v>
      </c>
    </row>
    <row r="59" spans="1:27" s="234" customFormat="1" ht="15.75" customHeight="1">
      <c r="A59" s="260" t="s">
        <v>133</v>
      </c>
      <c r="B59" s="532" t="s">
        <v>134</v>
      </c>
      <c r="C59" s="261" t="s">
        <v>276</v>
      </c>
      <c r="D59" s="262">
        <v>5068</v>
      </c>
      <c r="E59" s="263">
        <v>3614</v>
      </c>
      <c r="F59" s="264">
        <v>388</v>
      </c>
      <c r="G59" s="265">
        <v>1066</v>
      </c>
      <c r="H59" s="266">
        <v>74.166215444953394</v>
      </c>
      <c r="I59" s="267">
        <v>73.380710659898469</v>
      </c>
      <c r="J59" s="267">
        <v>65.829657278588385</v>
      </c>
      <c r="K59" s="268">
        <v>80.824929865797259</v>
      </c>
      <c r="L59" s="262">
        <v>824</v>
      </c>
      <c r="M59" s="263">
        <v>636</v>
      </c>
      <c r="N59" s="264">
        <v>135</v>
      </c>
      <c r="O59" s="265">
        <v>53</v>
      </c>
      <c r="P59" s="269">
        <v>16.258879242304658</v>
      </c>
      <c r="Q59" s="270">
        <v>17.598229109020476</v>
      </c>
      <c r="R59" s="270">
        <v>34.793814432989691</v>
      </c>
      <c r="S59" s="271">
        <v>4.9718574108818014</v>
      </c>
      <c r="T59" s="272">
        <v>12.058595407782477</v>
      </c>
      <c r="U59" s="273">
        <v>12.913705583756345</v>
      </c>
      <c r="V59" s="273">
        <v>22.904648795385135</v>
      </c>
      <c r="W59" s="274">
        <v>4.0185002653726594</v>
      </c>
      <c r="X59" s="279">
        <v>68333</v>
      </c>
      <c r="Y59" s="280">
        <v>49250</v>
      </c>
      <c r="Z59" s="280">
        <v>5894</v>
      </c>
      <c r="AA59" s="282">
        <v>13189</v>
      </c>
    </row>
    <row r="60" spans="1:27" s="234" customFormat="1" ht="15.75" customHeight="1">
      <c r="A60" s="260" t="s">
        <v>135</v>
      </c>
      <c r="B60" s="532" t="s">
        <v>136</v>
      </c>
      <c r="C60" s="261" t="s">
        <v>276</v>
      </c>
      <c r="D60" s="262">
        <v>368</v>
      </c>
      <c r="E60" s="263">
        <v>312</v>
      </c>
      <c r="F60" s="264">
        <v>53</v>
      </c>
      <c r="G60" s="265">
        <v>3</v>
      </c>
      <c r="H60" s="266">
        <v>62.067802327542587</v>
      </c>
      <c r="I60" s="267">
        <v>65.850569860700716</v>
      </c>
      <c r="J60" s="267">
        <v>47.406082289803216</v>
      </c>
      <c r="K60" s="284">
        <v>41.095890410958901</v>
      </c>
      <c r="L60" s="262">
        <v>146</v>
      </c>
      <c r="M60" s="263">
        <v>101</v>
      </c>
      <c r="N60" s="264">
        <v>45</v>
      </c>
      <c r="O60" s="265">
        <v>0</v>
      </c>
      <c r="P60" s="269">
        <v>39.673913043478258</v>
      </c>
      <c r="Q60" s="270">
        <v>32.371794871794876</v>
      </c>
      <c r="R60" s="270">
        <v>84.905660377358487</v>
      </c>
      <c r="S60" s="271">
        <v>0</v>
      </c>
      <c r="T60" s="272">
        <v>24.624725923427224</v>
      </c>
      <c r="U60" s="273">
        <v>21.317011397214017</v>
      </c>
      <c r="V60" s="273">
        <v>40.250447227191415</v>
      </c>
      <c r="W60" s="274" t="s">
        <v>928</v>
      </c>
      <c r="X60" s="279">
        <v>5929</v>
      </c>
      <c r="Y60" s="280">
        <v>4738</v>
      </c>
      <c r="Z60" s="281">
        <v>1118</v>
      </c>
      <c r="AA60" s="282">
        <v>73</v>
      </c>
    </row>
    <row r="61" spans="1:27" s="234" customFormat="1" ht="15.75" customHeight="1">
      <c r="A61" s="260" t="s">
        <v>137</v>
      </c>
      <c r="B61" s="532" t="s">
        <v>138</v>
      </c>
      <c r="C61" s="261" t="s">
        <v>275</v>
      </c>
      <c r="D61" s="262">
        <v>108</v>
      </c>
      <c r="E61" s="263">
        <v>64</v>
      </c>
      <c r="F61" s="264">
        <v>35</v>
      </c>
      <c r="G61" s="265">
        <v>9</v>
      </c>
      <c r="H61" s="266">
        <v>56.103896103896105</v>
      </c>
      <c r="I61" s="267">
        <v>50.433412135539797</v>
      </c>
      <c r="J61" s="267">
        <v>55.292259083728275</v>
      </c>
      <c r="K61" s="268">
        <v>391.304347826087</v>
      </c>
      <c r="L61" s="262">
        <v>49</v>
      </c>
      <c r="M61" s="263">
        <v>17</v>
      </c>
      <c r="N61" s="264">
        <v>27</v>
      </c>
      <c r="O61" s="265">
        <v>5</v>
      </c>
      <c r="P61" s="269">
        <v>45.370370370370374</v>
      </c>
      <c r="Q61" s="270">
        <v>26.5625</v>
      </c>
      <c r="R61" s="270">
        <v>77.142857142857153</v>
      </c>
      <c r="S61" s="271">
        <v>55.555555555555557</v>
      </c>
      <c r="T61" s="272">
        <v>25.454545454545457</v>
      </c>
      <c r="U61" s="273">
        <v>13.396375098502759</v>
      </c>
      <c r="V61" s="273">
        <v>42.654028436018962</v>
      </c>
      <c r="W61" s="274">
        <v>217.39130434782609</v>
      </c>
      <c r="X61" s="279">
        <v>1925</v>
      </c>
      <c r="Y61" s="280">
        <v>1269</v>
      </c>
      <c r="Z61" s="281">
        <v>633</v>
      </c>
      <c r="AA61" s="282">
        <v>23</v>
      </c>
    </row>
    <row r="62" spans="1:27" s="234" customFormat="1" ht="15.75" customHeight="1">
      <c r="A62" s="260" t="s">
        <v>141</v>
      </c>
      <c r="B62" s="532" t="s">
        <v>142</v>
      </c>
      <c r="C62" s="261" t="s">
        <v>276</v>
      </c>
      <c r="D62" s="262">
        <v>146</v>
      </c>
      <c r="E62" s="263">
        <v>135</v>
      </c>
      <c r="F62" s="264">
        <v>7</v>
      </c>
      <c r="G62" s="265">
        <v>4</v>
      </c>
      <c r="H62" s="266">
        <v>67.970204841713226</v>
      </c>
      <c r="I62" s="267">
        <v>70.717653221581983</v>
      </c>
      <c r="J62" s="267">
        <v>33.175355450236971</v>
      </c>
      <c r="K62" s="268">
        <v>142.85714285714286</v>
      </c>
      <c r="L62" s="262">
        <v>51</v>
      </c>
      <c r="M62" s="263">
        <v>45</v>
      </c>
      <c r="N62" s="264">
        <v>4</v>
      </c>
      <c r="O62" s="265">
        <v>2</v>
      </c>
      <c r="P62" s="269">
        <v>34.93150684931507</v>
      </c>
      <c r="Q62" s="270">
        <v>33.333333333333329</v>
      </c>
      <c r="R62" s="270">
        <v>57.142857142857139</v>
      </c>
      <c r="S62" s="271">
        <v>50</v>
      </c>
      <c r="T62" s="272">
        <v>23.743016759776534</v>
      </c>
      <c r="U62" s="273">
        <v>23.572551073860662</v>
      </c>
      <c r="V62" s="273">
        <v>18.957345971563981</v>
      </c>
      <c r="W62" s="274">
        <v>71.428571428571431</v>
      </c>
      <c r="X62" s="279">
        <v>2148</v>
      </c>
      <c r="Y62" s="280">
        <v>1909</v>
      </c>
      <c r="Z62" s="281">
        <v>211</v>
      </c>
      <c r="AA62" s="282">
        <v>28</v>
      </c>
    </row>
    <row r="63" spans="1:27" s="234" customFormat="1" ht="15.75" customHeight="1">
      <c r="A63" s="260" t="s">
        <v>147</v>
      </c>
      <c r="B63" s="532" t="s">
        <v>148</v>
      </c>
      <c r="C63" s="261" t="s">
        <v>272</v>
      </c>
      <c r="D63" s="262">
        <v>63</v>
      </c>
      <c r="E63" s="263">
        <v>54</v>
      </c>
      <c r="F63" s="264">
        <v>5</v>
      </c>
      <c r="G63" s="265">
        <v>4</v>
      </c>
      <c r="H63" s="266">
        <v>50.683829444891394</v>
      </c>
      <c r="I63" s="267">
        <v>48.387096774193544</v>
      </c>
      <c r="J63" s="267">
        <v>43.859649122807014</v>
      </c>
      <c r="K63" s="268">
        <v>307.69230769230774</v>
      </c>
      <c r="L63" s="262">
        <v>25</v>
      </c>
      <c r="M63" s="263">
        <v>20</v>
      </c>
      <c r="N63" s="264">
        <v>5</v>
      </c>
      <c r="O63" s="265">
        <v>0</v>
      </c>
      <c r="P63" s="269">
        <v>39.682539682539684</v>
      </c>
      <c r="Q63" s="270">
        <v>37.037037037037038</v>
      </c>
      <c r="R63" s="270">
        <v>100</v>
      </c>
      <c r="S63" s="271">
        <v>0</v>
      </c>
      <c r="T63" s="272">
        <v>20.11263073209976</v>
      </c>
      <c r="U63" s="273">
        <v>17.921146953405017</v>
      </c>
      <c r="V63" s="273">
        <v>43.859649122807014</v>
      </c>
      <c r="W63" s="274" t="s">
        <v>928</v>
      </c>
      <c r="X63" s="279">
        <v>1243</v>
      </c>
      <c r="Y63" s="280">
        <v>1116</v>
      </c>
      <c r="Z63" s="281">
        <v>114</v>
      </c>
      <c r="AA63" s="282">
        <v>13</v>
      </c>
    </row>
    <row r="64" spans="1:27" s="234" customFormat="1" ht="15.75" customHeight="1">
      <c r="A64" s="260" t="s">
        <v>149</v>
      </c>
      <c r="B64" s="532" t="s">
        <v>150</v>
      </c>
      <c r="C64" s="261" t="s">
        <v>273</v>
      </c>
      <c r="D64" s="262">
        <v>305</v>
      </c>
      <c r="E64" s="263">
        <v>169</v>
      </c>
      <c r="F64" s="264">
        <v>126</v>
      </c>
      <c r="G64" s="265">
        <v>10</v>
      </c>
      <c r="H64" s="266">
        <v>61.220393416298677</v>
      </c>
      <c r="I64" s="267">
        <v>59.402460456942002</v>
      </c>
      <c r="J64" s="267">
        <v>60.810810810810814</v>
      </c>
      <c r="K64" s="268">
        <v>153.84615384615387</v>
      </c>
      <c r="L64" s="262">
        <v>168</v>
      </c>
      <c r="M64" s="263">
        <v>58</v>
      </c>
      <c r="N64" s="264">
        <v>104</v>
      </c>
      <c r="O64" s="265">
        <v>6</v>
      </c>
      <c r="P64" s="269">
        <v>55.081967213114758</v>
      </c>
      <c r="Q64" s="270">
        <v>34.319526627218934</v>
      </c>
      <c r="R64" s="270">
        <v>82.539682539682531</v>
      </c>
      <c r="S64" s="271">
        <v>60</v>
      </c>
      <c r="T64" s="272">
        <v>33.7213970293055</v>
      </c>
      <c r="U64" s="273">
        <v>20.38664323374341</v>
      </c>
      <c r="V64" s="273">
        <v>50.19305019305019</v>
      </c>
      <c r="W64" s="274">
        <v>92.307692307692307</v>
      </c>
      <c r="X64" s="279">
        <v>4982</v>
      </c>
      <c r="Y64" s="280">
        <v>2845</v>
      </c>
      <c r="Z64" s="281">
        <v>2072</v>
      </c>
      <c r="AA64" s="282">
        <v>65</v>
      </c>
    </row>
    <row r="65" spans="1:27" s="234" customFormat="1" ht="15.75" customHeight="1">
      <c r="A65" s="260" t="s">
        <v>151</v>
      </c>
      <c r="B65" s="532" t="s">
        <v>152</v>
      </c>
      <c r="C65" s="261" t="s">
        <v>275</v>
      </c>
      <c r="D65" s="262">
        <v>81</v>
      </c>
      <c r="E65" s="263">
        <v>66</v>
      </c>
      <c r="F65" s="264">
        <v>14</v>
      </c>
      <c r="G65" s="265">
        <v>1</v>
      </c>
      <c r="H65" s="266">
        <v>56.72268907563025</v>
      </c>
      <c r="I65" s="267">
        <v>58.098591549295776</v>
      </c>
      <c r="J65" s="267">
        <v>50.541516245487358</v>
      </c>
      <c r="K65" s="268">
        <v>66.666666666666671</v>
      </c>
      <c r="L65" s="262">
        <v>38</v>
      </c>
      <c r="M65" s="263">
        <v>27</v>
      </c>
      <c r="N65" s="264">
        <v>10</v>
      </c>
      <c r="O65" s="265">
        <v>1</v>
      </c>
      <c r="P65" s="269">
        <v>46.913580246913575</v>
      </c>
      <c r="Q65" s="270">
        <v>40.909090909090914</v>
      </c>
      <c r="R65" s="270">
        <v>71.428571428571431</v>
      </c>
      <c r="S65" s="271">
        <v>100</v>
      </c>
      <c r="T65" s="272">
        <v>26.610644257703079</v>
      </c>
      <c r="U65" s="273">
        <v>23.767605633802816</v>
      </c>
      <c r="V65" s="273">
        <v>36.101083032490976</v>
      </c>
      <c r="W65" s="274">
        <v>66.666666666666671</v>
      </c>
      <c r="X65" s="279">
        <v>1428</v>
      </c>
      <c r="Y65" s="280">
        <v>1136</v>
      </c>
      <c r="Z65" s="281">
        <v>277</v>
      </c>
      <c r="AA65" s="282">
        <v>15</v>
      </c>
    </row>
    <row r="66" spans="1:27" s="234" customFormat="1" ht="15.75" customHeight="1">
      <c r="A66" s="260" t="s">
        <v>153</v>
      </c>
      <c r="B66" s="532" t="s">
        <v>154</v>
      </c>
      <c r="C66" s="261" t="s">
        <v>278</v>
      </c>
      <c r="D66" s="262">
        <v>877</v>
      </c>
      <c r="E66" s="263">
        <v>767</v>
      </c>
      <c r="F66" s="264">
        <v>36</v>
      </c>
      <c r="G66" s="265">
        <v>74</v>
      </c>
      <c r="H66" s="266">
        <v>35.491703763658435</v>
      </c>
      <c r="I66" s="267">
        <v>35.301698347678006</v>
      </c>
      <c r="J66" s="267">
        <v>34.482758620689651</v>
      </c>
      <c r="K66" s="268">
        <v>38.164002062919032</v>
      </c>
      <c r="L66" s="262">
        <v>243</v>
      </c>
      <c r="M66" s="263">
        <v>218</v>
      </c>
      <c r="N66" s="264">
        <v>24</v>
      </c>
      <c r="O66" s="265">
        <v>1</v>
      </c>
      <c r="P66" s="269">
        <v>27.708095781071833</v>
      </c>
      <c r="Q66" s="270">
        <v>28.422425032594521</v>
      </c>
      <c r="R66" s="270">
        <v>66.666666666666657</v>
      </c>
      <c r="S66" s="271">
        <v>1.3513513513513513</v>
      </c>
      <c r="T66" s="272">
        <v>9.8340752731687573</v>
      </c>
      <c r="U66" s="273">
        <v>10.033598748101442</v>
      </c>
      <c r="V66" s="273">
        <v>22.988505747126435</v>
      </c>
      <c r="W66" s="274">
        <v>0.51572975760701389</v>
      </c>
      <c r="X66" s="279">
        <v>24710</v>
      </c>
      <c r="Y66" s="280">
        <v>21727</v>
      </c>
      <c r="Z66" s="281">
        <v>1044</v>
      </c>
      <c r="AA66" s="282">
        <v>1939</v>
      </c>
    </row>
    <row r="67" spans="1:27" s="234" customFormat="1" ht="15.75" customHeight="1">
      <c r="A67" s="260" t="s">
        <v>155</v>
      </c>
      <c r="B67" s="532" t="s">
        <v>156</v>
      </c>
      <c r="C67" s="261" t="s">
        <v>273</v>
      </c>
      <c r="D67" s="262">
        <v>146</v>
      </c>
      <c r="E67" s="263">
        <v>134</v>
      </c>
      <c r="F67" s="264">
        <v>10</v>
      </c>
      <c r="G67" s="265">
        <v>2</v>
      </c>
      <c r="H67" s="266">
        <v>65.382892969099871</v>
      </c>
      <c r="I67" s="267">
        <v>71.238702817650179</v>
      </c>
      <c r="J67" s="267">
        <v>30.959752321981423</v>
      </c>
      <c r="K67" s="268">
        <v>68.965517241379303</v>
      </c>
      <c r="L67" s="262">
        <v>57</v>
      </c>
      <c r="M67" s="263">
        <v>50</v>
      </c>
      <c r="N67" s="264">
        <v>6</v>
      </c>
      <c r="O67" s="265">
        <v>1</v>
      </c>
      <c r="P67" s="269">
        <v>39.041095890410958</v>
      </c>
      <c r="Q67" s="270">
        <v>37.313432835820898</v>
      </c>
      <c r="R67" s="270">
        <v>60</v>
      </c>
      <c r="S67" s="271">
        <v>50</v>
      </c>
      <c r="T67" s="272">
        <v>25.526197939991043</v>
      </c>
      <c r="U67" s="273">
        <v>26.581605528973949</v>
      </c>
      <c r="V67" s="273">
        <v>18.575851393188852</v>
      </c>
      <c r="W67" s="274">
        <v>34.482758620689651</v>
      </c>
      <c r="X67" s="279">
        <v>2233</v>
      </c>
      <c r="Y67" s="280">
        <v>1881</v>
      </c>
      <c r="Z67" s="281">
        <v>323</v>
      </c>
      <c r="AA67" s="282">
        <v>29</v>
      </c>
    </row>
    <row r="68" spans="1:27" s="234" customFormat="1" ht="15.75" customHeight="1">
      <c r="A68" s="260" t="s">
        <v>157</v>
      </c>
      <c r="B68" s="532" t="s">
        <v>158</v>
      </c>
      <c r="C68" s="261" t="s">
        <v>275</v>
      </c>
      <c r="D68" s="262">
        <v>191</v>
      </c>
      <c r="E68" s="263">
        <v>159</v>
      </c>
      <c r="F68" s="264">
        <v>25</v>
      </c>
      <c r="G68" s="265">
        <v>7</v>
      </c>
      <c r="H68" s="266">
        <v>59.724828017510944</v>
      </c>
      <c r="I68" s="267">
        <v>58.714918759231907</v>
      </c>
      <c r="J68" s="267">
        <v>60.386473429951685</v>
      </c>
      <c r="K68" s="268">
        <v>92.105263157894726</v>
      </c>
      <c r="L68" s="262">
        <v>60</v>
      </c>
      <c r="M68" s="263">
        <v>41</v>
      </c>
      <c r="N68" s="264">
        <v>15</v>
      </c>
      <c r="O68" s="265">
        <v>4</v>
      </c>
      <c r="P68" s="269">
        <v>31.413612565445025</v>
      </c>
      <c r="Q68" s="270">
        <v>25.786163522012579</v>
      </c>
      <c r="R68" s="270">
        <v>60</v>
      </c>
      <c r="S68" s="271">
        <v>57.142857142857139</v>
      </c>
      <c r="T68" s="272">
        <v>18.761726078799253</v>
      </c>
      <c r="U68" s="273">
        <v>15.140324963072379</v>
      </c>
      <c r="V68" s="273">
        <v>36.231884057971016</v>
      </c>
      <c r="W68" s="274">
        <v>52.631578947368418</v>
      </c>
      <c r="X68" s="279">
        <v>3198</v>
      </c>
      <c r="Y68" s="280">
        <v>2708</v>
      </c>
      <c r="Z68" s="281">
        <v>414</v>
      </c>
      <c r="AA68" s="282">
        <v>76</v>
      </c>
    </row>
    <row r="69" spans="1:27" s="234" customFormat="1" ht="15.75" customHeight="1">
      <c r="A69" s="260" t="s">
        <v>163</v>
      </c>
      <c r="B69" s="532" t="s">
        <v>164</v>
      </c>
      <c r="C69" s="261" t="s">
        <v>272</v>
      </c>
      <c r="D69" s="262">
        <v>159</v>
      </c>
      <c r="E69" s="263">
        <v>80</v>
      </c>
      <c r="F69" s="264">
        <v>74</v>
      </c>
      <c r="G69" s="265">
        <v>5</v>
      </c>
      <c r="H69" s="266">
        <v>86.837793555434189</v>
      </c>
      <c r="I69" s="267">
        <v>76.263107721639656</v>
      </c>
      <c r="J69" s="267">
        <v>98.013245033112582</v>
      </c>
      <c r="K69" s="268">
        <v>185.18518518518516</v>
      </c>
      <c r="L69" s="262">
        <v>95</v>
      </c>
      <c r="M69" s="263">
        <v>28</v>
      </c>
      <c r="N69" s="264">
        <v>67</v>
      </c>
      <c r="O69" s="265">
        <v>0</v>
      </c>
      <c r="P69" s="269">
        <v>59.74842767295597</v>
      </c>
      <c r="Q69" s="270">
        <v>35</v>
      </c>
      <c r="R69" s="270">
        <v>90.540540540540533</v>
      </c>
      <c r="S69" s="271">
        <v>0</v>
      </c>
      <c r="T69" s="272">
        <v>51.884216275259426</v>
      </c>
      <c r="U69" s="273">
        <v>26.692087702573883</v>
      </c>
      <c r="V69" s="273">
        <v>88.741721854304643</v>
      </c>
      <c r="W69" s="274" t="s">
        <v>928</v>
      </c>
      <c r="X69" s="279">
        <v>1831</v>
      </c>
      <c r="Y69" s="280">
        <v>1049</v>
      </c>
      <c r="Z69" s="281">
        <v>755</v>
      </c>
      <c r="AA69" s="282">
        <v>27</v>
      </c>
    </row>
    <row r="70" spans="1:27" s="234" customFormat="1" ht="15.75" customHeight="1">
      <c r="A70" s="260" t="s">
        <v>165</v>
      </c>
      <c r="B70" s="532" t="s">
        <v>166</v>
      </c>
      <c r="C70" s="261" t="s">
        <v>275</v>
      </c>
      <c r="D70" s="262">
        <v>103</v>
      </c>
      <c r="E70" s="263">
        <v>62</v>
      </c>
      <c r="F70" s="264">
        <v>36</v>
      </c>
      <c r="G70" s="265">
        <v>5</v>
      </c>
      <c r="H70" s="266">
        <v>68.0766688697951</v>
      </c>
      <c r="I70" s="267">
        <v>64.449064449064451</v>
      </c>
      <c r="J70" s="267">
        <v>66.420664206642073</v>
      </c>
      <c r="K70" s="268">
        <v>555.55555555555554</v>
      </c>
      <c r="L70" s="262">
        <v>55</v>
      </c>
      <c r="M70" s="263">
        <v>23</v>
      </c>
      <c r="N70" s="264">
        <v>28</v>
      </c>
      <c r="O70" s="265">
        <v>4</v>
      </c>
      <c r="P70" s="269">
        <v>53.398058252427184</v>
      </c>
      <c r="Q70" s="270">
        <v>37.096774193548384</v>
      </c>
      <c r="R70" s="270">
        <v>77.777777777777786</v>
      </c>
      <c r="S70" s="271">
        <v>80</v>
      </c>
      <c r="T70" s="272">
        <v>36.351619299405158</v>
      </c>
      <c r="U70" s="273">
        <v>23.908523908523911</v>
      </c>
      <c r="V70" s="273">
        <v>51.660516605166052</v>
      </c>
      <c r="W70" s="274">
        <v>444.4444444444444</v>
      </c>
      <c r="X70" s="279">
        <v>1513</v>
      </c>
      <c r="Y70" s="280">
        <v>962</v>
      </c>
      <c r="Z70" s="281">
        <v>542</v>
      </c>
      <c r="AA70" s="282">
        <v>9</v>
      </c>
    </row>
    <row r="71" spans="1:27" s="234" customFormat="1" ht="15.75" customHeight="1">
      <c r="A71" s="260" t="s">
        <v>169</v>
      </c>
      <c r="B71" s="532" t="s">
        <v>170</v>
      </c>
      <c r="C71" s="261" t="s">
        <v>275</v>
      </c>
      <c r="D71" s="262">
        <v>159</v>
      </c>
      <c r="E71" s="263">
        <v>97</v>
      </c>
      <c r="F71" s="264">
        <v>59</v>
      </c>
      <c r="G71" s="265">
        <v>3</v>
      </c>
      <c r="H71" s="266">
        <v>65.004088307440711</v>
      </c>
      <c r="I71" s="267">
        <v>66.575154426904589</v>
      </c>
      <c r="J71" s="267">
        <v>61.650992685475444</v>
      </c>
      <c r="K71" s="268">
        <v>93.75</v>
      </c>
      <c r="L71" s="262">
        <v>84</v>
      </c>
      <c r="M71" s="263">
        <v>37</v>
      </c>
      <c r="N71" s="264">
        <v>46</v>
      </c>
      <c r="O71" s="265">
        <v>1</v>
      </c>
      <c r="P71" s="269">
        <v>52.830188679245282</v>
      </c>
      <c r="Q71" s="270">
        <v>38.144329896907216</v>
      </c>
      <c r="R71" s="270">
        <v>77.966101694915253</v>
      </c>
      <c r="S71" s="271">
        <v>33.333333333333329</v>
      </c>
      <c r="T71" s="272">
        <v>34.341782502044154</v>
      </c>
      <c r="U71" s="273">
        <v>25.394646533973919</v>
      </c>
      <c r="V71" s="273">
        <v>48.066875653082548</v>
      </c>
      <c r="W71" s="274">
        <v>31.25</v>
      </c>
      <c r="X71" s="279">
        <v>2446</v>
      </c>
      <c r="Y71" s="280">
        <v>1457</v>
      </c>
      <c r="Z71" s="281">
        <v>957</v>
      </c>
      <c r="AA71" s="282">
        <v>32</v>
      </c>
    </row>
    <row r="72" spans="1:27" s="234" customFormat="1" ht="15.75" customHeight="1">
      <c r="A72" s="260" t="s">
        <v>171</v>
      </c>
      <c r="B72" s="532" t="s">
        <v>172</v>
      </c>
      <c r="C72" s="261" t="s">
        <v>276</v>
      </c>
      <c r="D72" s="262">
        <v>390</v>
      </c>
      <c r="E72" s="263">
        <v>326</v>
      </c>
      <c r="F72" s="264">
        <v>50</v>
      </c>
      <c r="G72" s="265">
        <v>14</v>
      </c>
      <c r="H72" s="266">
        <v>67.861492952844969</v>
      </c>
      <c r="I72" s="267">
        <v>67.411083540115797</v>
      </c>
      <c r="J72" s="267">
        <v>61.199510403916769</v>
      </c>
      <c r="K72" s="268">
        <v>148.93617021276594</v>
      </c>
      <c r="L72" s="262">
        <v>144</v>
      </c>
      <c r="M72" s="263">
        <v>100</v>
      </c>
      <c r="N72" s="264">
        <v>41</v>
      </c>
      <c r="O72" s="265">
        <v>3</v>
      </c>
      <c r="P72" s="269">
        <v>36.923076923076927</v>
      </c>
      <c r="Q72" s="270">
        <v>30.674846625766872</v>
      </c>
      <c r="R72" s="270">
        <v>82</v>
      </c>
      <c r="S72" s="271">
        <v>21.428571428571427</v>
      </c>
      <c r="T72" s="272">
        <v>25.05655124412737</v>
      </c>
      <c r="U72" s="273">
        <v>20.6782464846981</v>
      </c>
      <c r="V72" s="273">
        <v>50.18359853121175</v>
      </c>
      <c r="W72" s="274">
        <v>31.914893617021274</v>
      </c>
      <c r="X72" s="279">
        <v>5747</v>
      </c>
      <c r="Y72" s="280">
        <v>4836</v>
      </c>
      <c r="Z72" s="281">
        <v>817</v>
      </c>
      <c r="AA72" s="282">
        <v>94</v>
      </c>
    </row>
    <row r="73" spans="1:27" s="234" customFormat="1" ht="15.75" customHeight="1">
      <c r="A73" s="260" t="s">
        <v>173</v>
      </c>
      <c r="B73" s="532" t="s">
        <v>174</v>
      </c>
      <c r="C73" s="261" t="s">
        <v>276</v>
      </c>
      <c r="D73" s="262">
        <v>233</v>
      </c>
      <c r="E73" s="263">
        <v>221</v>
      </c>
      <c r="F73" s="264">
        <v>5</v>
      </c>
      <c r="G73" s="265">
        <v>7</v>
      </c>
      <c r="H73" s="266">
        <v>55.383884002852383</v>
      </c>
      <c r="I73" s="267">
        <v>53.928745729624211</v>
      </c>
      <c r="J73" s="267">
        <v>66.666666666666671</v>
      </c>
      <c r="K73" s="268">
        <v>205.88235294117646</v>
      </c>
      <c r="L73" s="262">
        <v>95</v>
      </c>
      <c r="M73" s="263">
        <v>88</v>
      </c>
      <c r="N73" s="264">
        <v>3</v>
      </c>
      <c r="O73" s="265">
        <v>4</v>
      </c>
      <c r="P73" s="269">
        <v>40.772532188841204</v>
      </c>
      <c r="Q73" s="270">
        <v>39.819004524886878</v>
      </c>
      <c r="R73" s="270">
        <v>60</v>
      </c>
      <c r="S73" s="271">
        <v>57.142857142857139</v>
      </c>
      <c r="T73" s="272">
        <v>22.581411932493463</v>
      </c>
      <c r="U73" s="273">
        <v>21.473889702293803</v>
      </c>
      <c r="V73" s="273">
        <v>40</v>
      </c>
      <c r="W73" s="274">
        <v>117.64705882352941</v>
      </c>
      <c r="X73" s="279">
        <v>4207</v>
      </c>
      <c r="Y73" s="280">
        <v>4098</v>
      </c>
      <c r="Z73" s="281">
        <v>75</v>
      </c>
      <c r="AA73" s="282">
        <v>34</v>
      </c>
    </row>
    <row r="74" spans="1:27" s="234" customFormat="1" ht="15.75" customHeight="1">
      <c r="A74" s="260" t="s">
        <v>175</v>
      </c>
      <c r="B74" s="532" t="s">
        <v>176</v>
      </c>
      <c r="C74" s="261" t="s">
        <v>278</v>
      </c>
      <c r="D74" s="262">
        <v>173</v>
      </c>
      <c r="E74" s="263">
        <v>159</v>
      </c>
      <c r="F74" s="264">
        <v>11</v>
      </c>
      <c r="G74" s="283">
        <v>3</v>
      </c>
      <c r="H74" s="266">
        <v>60.405027932960898</v>
      </c>
      <c r="I74" s="267">
        <v>60.181680545041637</v>
      </c>
      <c r="J74" s="267">
        <v>55.55555555555555</v>
      </c>
      <c r="K74" s="268">
        <v>125</v>
      </c>
      <c r="L74" s="262">
        <v>57</v>
      </c>
      <c r="M74" s="263">
        <v>49</v>
      </c>
      <c r="N74" s="264">
        <v>8</v>
      </c>
      <c r="O74" s="265">
        <v>0</v>
      </c>
      <c r="P74" s="269">
        <v>32.947976878612714</v>
      </c>
      <c r="Q74" s="270">
        <v>30.817610062893081</v>
      </c>
      <c r="R74" s="270">
        <v>72.727272727272734</v>
      </c>
      <c r="S74" s="271">
        <v>0</v>
      </c>
      <c r="T74" s="272">
        <v>19.902234636871508</v>
      </c>
      <c r="U74" s="273">
        <v>18.54655563966692</v>
      </c>
      <c r="V74" s="273">
        <v>40.404040404040408</v>
      </c>
      <c r="W74" s="274" t="s">
        <v>928</v>
      </c>
      <c r="X74" s="279">
        <v>2864</v>
      </c>
      <c r="Y74" s="280">
        <v>2642</v>
      </c>
      <c r="Z74" s="281">
        <v>198</v>
      </c>
      <c r="AA74" s="282">
        <v>24</v>
      </c>
    </row>
    <row r="75" spans="1:27" s="234" customFormat="1" ht="15.75" customHeight="1">
      <c r="A75" s="260" t="s">
        <v>179</v>
      </c>
      <c r="B75" s="532" t="s">
        <v>180</v>
      </c>
      <c r="C75" s="261" t="s">
        <v>273</v>
      </c>
      <c r="D75" s="262">
        <v>508</v>
      </c>
      <c r="E75" s="263">
        <v>391</v>
      </c>
      <c r="F75" s="264">
        <v>110</v>
      </c>
      <c r="G75" s="265">
        <v>7</v>
      </c>
      <c r="H75" s="266">
        <v>48.197343453510435</v>
      </c>
      <c r="I75" s="267">
        <v>48.844472204871956</v>
      </c>
      <c r="J75" s="267">
        <v>44.751830756712778</v>
      </c>
      <c r="K75" s="268">
        <v>90.909090909090907</v>
      </c>
      <c r="L75" s="262">
        <v>216</v>
      </c>
      <c r="M75" s="263">
        <v>133</v>
      </c>
      <c r="N75" s="264">
        <v>81</v>
      </c>
      <c r="O75" s="265">
        <v>2</v>
      </c>
      <c r="P75" s="269">
        <v>42.519685039370081</v>
      </c>
      <c r="Q75" s="270">
        <v>34.015345268542205</v>
      </c>
      <c r="R75" s="270">
        <v>73.636363636363626</v>
      </c>
      <c r="S75" s="271">
        <v>28.571428571428569</v>
      </c>
      <c r="T75" s="272">
        <v>20.49335863377609</v>
      </c>
      <c r="U75" s="273">
        <v>16.614615865084321</v>
      </c>
      <c r="V75" s="273">
        <v>32.953620829943041</v>
      </c>
      <c r="W75" s="274">
        <v>25.974025974025977</v>
      </c>
      <c r="X75" s="279">
        <v>10540</v>
      </c>
      <c r="Y75" s="280">
        <v>8005</v>
      </c>
      <c r="Z75" s="281">
        <v>2458</v>
      </c>
      <c r="AA75" s="282">
        <v>77</v>
      </c>
    </row>
    <row r="76" spans="1:27" s="234" customFormat="1" ht="15.75" customHeight="1">
      <c r="A76" s="260" t="s">
        <v>183</v>
      </c>
      <c r="B76" s="532" t="s">
        <v>184</v>
      </c>
      <c r="C76" s="261" t="s">
        <v>275</v>
      </c>
      <c r="D76" s="262">
        <v>223</v>
      </c>
      <c r="E76" s="263">
        <v>207</v>
      </c>
      <c r="F76" s="264">
        <v>13</v>
      </c>
      <c r="G76" s="265">
        <v>3</v>
      </c>
      <c r="H76" s="266">
        <v>49.3253704932537</v>
      </c>
      <c r="I76" s="267">
        <v>50.537109375</v>
      </c>
      <c r="J76" s="267">
        <v>34.210526315789473</v>
      </c>
      <c r="K76" s="268">
        <v>66.666666666666671</v>
      </c>
      <c r="L76" s="262">
        <v>59</v>
      </c>
      <c r="M76" s="263">
        <v>50</v>
      </c>
      <c r="N76" s="264">
        <v>7</v>
      </c>
      <c r="O76" s="265">
        <v>2</v>
      </c>
      <c r="P76" s="269">
        <v>26.457399103139011</v>
      </c>
      <c r="Q76" s="270">
        <v>24.154589371980677</v>
      </c>
      <c r="R76" s="270">
        <v>53.846153846153847</v>
      </c>
      <c r="S76" s="271">
        <v>66.666666666666657</v>
      </c>
      <c r="T76" s="272">
        <v>13.050210130502101</v>
      </c>
      <c r="U76" s="273">
        <v>12.20703125</v>
      </c>
      <c r="V76" s="273">
        <v>18.421052631578945</v>
      </c>
      <c r="W76" s="274">
        <v>44.444444444444443</v>
      </c>
      <c r="X76" s="279">
        <v>4521</v>
      </c>
      <c r="Y76" s="280">
        <v>4096</v>
      </c>
      <c r="Z76" s="281">
        <v>380</v>
      </c>
      <c r="AA76" s="282">
        <v>45</v>
      </c>
    </row>
    <row r="77" spans="1:27" s="234" customFormat="1" ht="15.75" customHeight="1">
      <c r="A77" s="260" t="s">
        <v>185</v>
      </c>
      <c r="B77" s="532" t="s">
        <v>186</v>
      </c>
      <c r="C77" s="261" t="s">
        <v>275</v>
      </c>
      <c r="D77" s="262">
        <v>221</v>
      </c>
      <c r="E77" s="263">
        <v>103</v>
      </c>
      <c r="F77" s="264">
        <v>111</v>
      </c>
      <c r="G77" s="265">
        <v>7</v>
      </c>
      <c r="H77" s="266">
        <v>39.826995855109033</v>
      </c>
      <c r="I77" s="267">
        <v>26.774109695866912</v>
      </c>
      <c r="J77" s="267">
        <v>68.645640074211499</v>
      </c>
      <c r="K77" s="268">
        <v>82.352941176470594</v>
      </c>
      <c r="L77" s="262">
        <v>123</v>
      </c>
      <c r="M77" s="263">
        <v>36</v>
      </c>
      <c r="N77" s="264">
        <v>84</v>
      </c>
      <c r="O77" s="265">
        <v>3</v>
      </c>
      <c r="P77" s="269">
        <v>55.656108597285069</v>
      </c>
      <c r="Q77" s="270">
        <v>34.95145631067961</v>
      </c>
      <c r="R77" s="270">
        <v>75.675675675675677</v>
      </c>
      <c r="S77" s="271">
        <v>42.857142857142854</v>
      </c>
      <c r="T77" s="272">
        <v>22.166156064155704</v>
      </c>
      <c r="U77" s="273">
        <v>9.3579412529243573</v>
      </c>
      <c r="V77" s="273">
        <v>51.948051948051955</v>
      </c>
      <c r="W77" s="274">
        <v>35.294117647058826</v>
      </c>
      <c r="X77" s="279">
        <v>5549</v>
      </c>
      <c r="Y77" s="280">
        <v>3847</v>
      </c>
      <c r="Z77" s="281">
        <v>1617</v>
      </c>
      <c r="AA77" s="282">
        <v>85</v>
      </c>
    </row>
    <row r="78" spans="1:27" s="234" customFormat="1" ht="15.75" customHeight="1">
      <c r="A78" s="260" t="s">
        <v>187</v>
      </c>
      <c r="B78" s="532" t="s">
        <v>188</v>
      </c>
      <c r="C78" s="261" t="s">
        <v>272</v>
      </c>
      <c r="D78" s="262">
        <v>344</v>
      </c>
      <c r="E78" s="263">
        <v>228</v>
      </c>
      <c r="F78" s="264">
        <v>102</v>
      </c>
      <c r="G78" s="265">
        <v>14</v>
      </c>
      <c r="H78" s="266">
        <v>55.119371895529561</v>
      </c>
      <c r="I78" s="267">
        <v>57.532172596517796</v>
      </c>
      <c r="J78" s="267">
        <v>48.967834853576569</v>
      </c>
      <c r="K78" s="268">
        <v>71.794871794871796</v>
      </c>
      <c r="L78" s="262">
        <v>92</v>
      </c>
      <c r="M78" s="263">
        <v>47</v>
      </c>
      <c r="N78" s="264">
        <v>44</v>
      </c>
      <c r="O78" s="265">
        <v>1</v>
      </c>
      <c r="P78" s="269">
        <v>26.744186046511626</v>
      </c>
      <c r="Q78" s="270">
        <v>20.614035087719298</v>
      </c>
      <c r="R78" s="270">
        <v>43.137254901960787</v>
      </c>
      <c r="S78" s="271">
        <v>7.1428571428571423</v>
      </c>
      <c r="T78" s="272">
        <v>14.741227367409069</v>
      </c>
      <c r="U78" s="273">
        <v>11.859702245773406</v>
      </c>
      <c r="V78" s="273">
        <v>21.123379740758523</v>
      </c>
      <c r="W78" s="274">
        <v>5.1282051282051286</v>
      </c>
      <c r="X78" s="279">
        <v>6241</v>
      </c>
      <c r="Y78" s="280">
        <v>3963</v>
      </c>
      <c r="Z78" s="281">
        <v>2083</v>
      </c>
      <c r="AA78" s="282">
        <v>195</v>
      </c>
    </row>
    <row r="79" spans="1:27" s="234" customFormat="1" ht="15.75" customHeight="1">
      <c r="A79" s="260" t="s">
        <v>189</v>
      </c>
      <c r="B79" s="532" t="s">
        <v>190</v>
      </c>
      <c r="C79" s="261" t="s">
        <v>276</v>
      </c>
      <c r="D79" s="262">
        <v>6647</v>
      </c>
      <c r="E79" s="263">
        <v>4400</v>
      </c>
      <c r="F79" s="264">
        <v>1431</v>
      </c>
      <c r="G79" s="265">
        <v>816</v>
      </c>
      <c r="H79" s="266">
        <v>74.77024488464437</v>
      </c>
      <c r="I79" s="267">
        <v>76.346474181010549</v>
      </c>
      <c r="J79" s="267">
        <v>66.561235406297968</v>
      </c>
      <c r="K79" s="268">
        <v>83.538083538083541</v>
      </c>
      <c r="L79" s="262">
        <v>1985</v>
      </c>
      <c r="M79" s="263">
        <v>1192</v>
      </c>
      <c r="N79" s="264">
        <v>662</v>
      </c>
      <c r="O79" s="265">
        <v>131</v>
      </c>
      <c r="P79" s="269">
        <v>29.863096133594102</v>
      </c>
      <c r="Q79" s="270">
        <v>27.090909090909093</v>
      </c>
      <c r="R79" s="270">
        <v>46.26135569531796</v>
      </c>
      <c r="S79" s="271">
        <v>16.053921568627452</v>
      </c>
      <c r="T79" s="272">
        <v>22.328710109225074</v>
      </c>
      <c r="U79" s="273">
        <v>20.682953914491947</v>
      </c>
      <c r="V79" s="273">
        <v>30.792129866505416</v>
      </c>
      <c r="W79" s="274">
        <v>13.411138411138412</v>
      </c>
      <c r="X79" s="279">
        <v>88899</v>
      </c>
      <c r="Y79" s="280">
        <v>57632</v>
      </c>
      <c r="Z79" s="281">
        <v>21499</v>
      </c>
      <c r="AA79" s="282">
        <v>9768</v>
      </c>
    </row>
    <row r="80" spans="1:27" s="234" customFormat="1" ht="15.75" customHeight="1">
      <c r="A80" s="260" t="s">
        <v>191</v>
      </c>
      <c r="B80" s="532" t="s">
        <v>192</v>
      </c>
      <c r="C80" s="261" t="s">
        <v>278</v>
      </c>
      <c r="D80" s="262">
        <v>281</v>
      </c>
      <c r="E80" s="263">
        <v>255</v>
      </c>
      <c r="F80" s="264">
        <v>19</v>
      </c>
      <c r="G80" s="265">
        <v>7</v>
      </c>
      <c r="H80" s="266">
        <v>47.226890756302524</v>
      </c>
      <c r="I80" s="267">
        <v>45.797413793103445</v>
      </c>
      <c r="J80" s="267">
        <v>57.2289156626506</v>
      </c>
      <c r="K80" s="268">
        <v>140</v>
      </c>
      <c r="L80" s="262">
        <v>116</v>
      </c>
      <c r="M80" s="263">
        <v>100</v>
      </c>
      <c r="N80" s="264">
        <v>14</v>
      </c>
      <c r="O80" s="265">
        <v>2</v>
      </c>
      <c r="P80" s="269">
        <v>41.281138790035584</v>
      </c>
      <c r="Q80" s="270">
        <v>39.215686274509807</v>
      </c>
      <c r="R80" s="270">
        <v>73.68421052631578</v>
      </c>
      <c r="S80" s="271">
        <v>28.571428571428569</v>
      </c>
      <c r="T80" s="272">
        <v>19.495798319327733</v>
      </c>
      <c r="U80" s="273">
        <v>17.959770114942529</v>
      </c>
      <c r="V80" s="273">
        <v>42.168674698795179</v>
      </c>
      <c r="W80" s="274">
        <v>40</v>
      </c>
      <c r="X80" s="279">
        <v>5950</v>
      </c>
      <c r="Y80" s="280">
        <v>5568</v>
      </c>
      <c r="Z80" s="281">
        <v>332</v>
      </c>
      <c r="AA80" s="282">
        <v>50</v>
      </c>
    </row>
    <row r="81" spans="1:27" s="234" customFormat="1" ht="15.75" customHeight="1">
      <c r="A81" s="260" t="s">
        <v>195</v>
      </c>
      <c r="B81" s="532" t="s">
        <v>196</v>
      </c>
      <c r="C81" s="261" t="s">
        <v>276</v>
      </c>
      <c r="D81" s="262">
        <v>67</v>
      </c>
      <c r="E81" s="263">
        <v>62</v>
      </c>
      <c r="F81" s="264">
        <v>3</v>
      </c>
      <c r="G81" s="265">
        <v>2</v>
      </c>
      <c r="H81" s="266">
        <v>60.089686098654703</v>
      </c>
      <c r="I81" s="267">
        <v>58.991436726926736</v>
      </c>
      <c r="J81" s="267">
        <v>58.823529411764703</v>
      </c>
      <c r="K81" s="268">
        <v>153.84615384615387</v>
      </c>
      <c r="L81" s="262">
        <v>20</v>
      </c>
      <c r="M81" s="263">
        <v>16</v>
      </c>
      <c r="N81" s="264">
        <v>3</v>
      </c>
      <c r="O81" s="265">
        <v>1</v>
      </c>
      <c r="P81" s="269">
        <v>29.850746268656714</v>
      </c>
      <c r="Q81" s="270">
        <v>25.806451612903224</v>
      </c>
      <c r="R81" s="270">
        <v>100</v>
      </c>
      <c r="S81" s="271">
        <v>50</v>
      </c>
      <c r="T81" s="272">
        <v>17.937219730941703</v>
      </c>
      <c r="U81" s="273">
        <v>15.223596574690772</v>
      </c>
      <c r="V81" s="273">
        <v>58.823529411764703</v>
      </c>
      <c r="W81" s="274">
        <v>76.923076923076934</v>
      </c>
      <c r="X81" s="279">
        <v>1115</v>
      </c>
      <c r="Y81" s="280">
        <v>1051</v>
      </c>
      <c r="Z81" s="281">
        <v>51</v>
      </c>
      <c r="AA81" s="282">
        <v>13</v>
      </c>
    </row>
    <row r="82" spans="1:27" s="234" customFormat="1" ht="15.75" customHeight="1">
      <c r="A82" s="260" t="s">
        <v>199</v>
      </c>
      <c r="B82" s="532" t="s">
        <v>285</v>
      </c>
      <c r="C82" s="261" t="s">
        <v>275</v>
      </c>
      <c r="D82" s="262">
        <v>75</v>
      </c>
      <c r="E82" s="263">
        <v>39</v>
      </c>
      <c r="F82" s="264">
        <v>32</v>
      </c>
      <c r="G82" s="265">
        <v>4</v>
      </c>
      <c r="H82" s="266">
        <v>62.447960033305577</v>
      </c>
      <c r="I82" s="267">
        <v>43.624161073825505</v>
      </c>
      <c r="J82" s="267">
        <v>109.21501706484642</v>
      </c>
      <c r="K82" s="268">
        <v>285.71428571428572</v>
      </c>
      <c r="L82" s="262">
        <v>34</v>
      </c>
      <c r="M82" s="263">
        <v>10</v>
      </c>
      <c r="N82" s="264">
        <v>22</v>
      </c>
      <c r="O82" s="265">
        <v>2</v>
      </c>
      <c r="P82" s="269">
        <v>45.333333333333329</v>
      </c>
      <c r="Q82" s="270">
        <v>25.641025641025639</v>
      </c>
      <c r="R82" s="270">
        <v>68.75</v>
      </c>
      <c r="S82" s="271">
        <v>50</v>
      </c>
      <c r="T82" s="272">
        <v>28.309741881765195</v>
      </c>
      <c r="U82" s="273">
        <v>11.185682326621924</v>
      </c>
      <c r="V82" s="273">
        <v>75.085324232081916</v>
      </c>
      <c r="W82" s="274">
        <v>142.85714285714286</v>
      </c>
      <c r="X82" s="279">
        <v>1201</v>
      </c>
      <c r="Y82" s="280">
        <v>894</v>
      </c>
      <c r="Z82" s="281">
        <v>293</v>
      </c>
      <c r="AA82" s="282">
        <v>14</v>
      </c>
    </row>
    <row r="83" spans="1:27" s="234" customFormat="1" ht="15.75" customHeight="1">
      <c r="A83" s="260" t="s">
        <v>203</v>
      </c>
      <c r="B83" s="532" t="s">
        <v>368</v>
      </c>
      <c r="C83" s="261" t="s">
        <v>273</v>
      </c>
      <c r="D83" s="262">
        <v>1045</v>
      </c>
      <c r="E83" s="263">
        <v>926</v>
      </c>
      <c r="F83" s="264">
        <v>69</v>
      </c>
      <c r="G83" s="265">
        <v>50</v>
      </c>
      <c r="H83" s="266">
        <v>48.661233993015131</v>
      </c>
      <c r="I83" s="267">
        <v>48.365193774156481</v>
      </c>
      <c r="J83" s="267">
        <v>46.970728386657591</v>
      </c>
      <c r="K83" s="268">
        <v>58.139534883720927</v>
      </c>
      <c r="L83" s="262">
        <v>326</v>
      </c>
      <c r="M83" s="263">
        <v>270</v>
      </c>
      <c r="N83" s="264">
        <v>47</v>
      </c>
      <c r="O83" s="265">
        <v>9</v>
      </c>
      <c r="P83" s="269">
        <v>31.196172248803826</v>
      </c>
      <c r="Q83" s="270">
        <v>29.15766738660907</v>
      </c>
      <c r="R83" s="270">
        <v>68.115942028985515</v>
      </c>
      <c r="S83" s="271">
        <v>18</v>
      </c>
      <c r="T83" s="272">
        <v>15.180442374854481</v>
      </c>
      <c r="U83" s="273">
        <v>14.102162331557505</v>
      </c>
      <c r="V83" s="273">
        <v>31.994554118447926</v>
      </c>
      <c r="W83" s="274">
        <v>10.465116279069766</v>
      </c>
      <c r="X83" s="279">
        <v>21475</v>
      </c>
      <c r="Y83" s="280">
        <v>19146</v>
      </c>
      <c r="Z83" s="281">
        <v>1469</v>
      </c>
      <c r="AA83" s="282">
        <v>860</v>
      </c>
    </row>
    <row r="84" spans="1:27" s="234" customFormat="1" ht="15.75" customHeight="1">
      <c r="A84" s="260" t="s">
        <v>205</v>
      </c>
      <c r="B84" s="532" t="s">
        <v>359</v>
      </c>
      <c r="C84" s="261" t="s">
        <v>273</v>
      </c>
      <c r="D84" s="262">
        <v>304</v>
      </c>
      <c r="E84" s="263">
        <v>284</v>
      </c>
      <c r="F84" s="264">
        <v>14</v>
      </c>
      <c r="G84" s="283">
        <v>6</v>
      </c>
      <c r="H84" s="266">
        <v>46.568627450980394</v>
      </c>
      <c r="I84" s="267">
        <v>46.741277156023699</v>
      </c>
      <c r="J84" s="267">
        <v>45.307443365695796</v>
      </c>
      <c r="K84" s="268">
        <v>41.95804195804196</v>
      </c>
      <c r="L84" s="262">
        <v>103</v>
      </c>
      <c r="M84" s="263">
        <v>93</v>
      </c>
      <c r="N84" s="264">
        <v>10</v>
      </c>
      <c r="O84" s="265">
        <v>0</v>
      </c>
      <c r="P84" s="269">
        <v>33.881578947368425</v>
      </c>
      <c r="Q84" s="270">
        <v>32.74647887323944</v>
      </c>
      <c r="R84" s="270">
        <v>71.428571428571431</v>
      </c>
      <c r="S84" s="271">
        <v>0</v>
      </c>
      <c r="T84" s="272">
        <v>15.778186274509803</v>
      </c>
      <c r="U84" s="273">
        <v>15.306122448979592</v>
      </c>
      <c r="V84" s="273">
        <v>32.362459546925564</v>
      </c>
      <c r="W84" s="274" t="s">
        <v>928</v>
      </c>
      <c r="X84" s="279">
        <v>6528</v>
      </c>
      <c r="Y84" s="280">
        <v>6076</v>
      </c>
      <c r="Z84" s="281">
        <v>309</v>
      </c>
      <c r="AA84" s="282">
        <v>143</v>
      </c>
    </row>
    <row r="85" spans="1:27" s="234" customFormat="1" ht="15.75" customHeight="1">
      <c r="A85" s="260" t="s">
        <v>207</v>
      </c>
      <c r="B85" s="532" t="s">
        <v>360</v>
      </c>
      <c r="C85" s="261" t="s">
        <v>276</v>
      </c>
      <c r="D85" s="262">
        <v>1414</v>
      </c>
      <c r="E85" s="263">
        <v>1253</v>
      </c>
      <c r="F85" s="264">
        <v>51</v>
      </c>
      <c r="G85" s="265">
        <v>110</v>
      </c>
      <c r="H85" s="266">
        <v>45.507209062821829</v>
      </c>
      <c r="I85" s="267">
        <v>43.869476927386039</v>
      </c>
      <c r="J85" s="267">
        <v>37.037037037037038</v>
      </c>
      <c r="K85" s="268">
        <v>97.087378640776691</v>
      </c>
      <c r="L85" s="262">
        <v>508</v>
      </c>
      <c r="M85" s="263">
        <v>423</v>
      </c>
      <c r="N85" s="264">
        <v>30</v>
      </c>
      <c r="O85" s="265">
        <v>55</v>
      </c>
      <c r="P85" s="269">
        <v>35.926449787835928</v>
      </c>
      <c r="Q85" s="270">
        <v>33.758978451715883</v>
      </c>
      <c r="R85" s="270">
        <v>58.82352941176471</v>
      </c>
      <c r="S85" s="271">
        <v>50</v>
      </c>
      <c r="T85" s="272">
        <v>16.349124613800203</v>
      </c>
      <c r="U85" s="273">
        <v>14.809887262796723</v>
      </c>
      <c r="V85" s="273">
        <v>21.786492374727668</v>
      </c>
      <c r="W85" s="274">
        <v>48.543689320388346</v>
      </c>
      <c r="X85" s="279">
        <v>31072</v>
      </c>
      <c r="Y85" s="280">
        <v>28562</v>
      </c>
      <c r="Z85" s="281">
        <v>1377</v>
      </c>
      <c r="AA85" s="282">
        <v>1133</v>
      </c>
    </row>
    <row r="86" spans="1:27" s="234" customFormat="1" ht="15.75" customHeight="1">
      <c r="A86" s="260" t="s">
        <v>209</v>
      </c>
      <c r="B86" s="532" t="s">
        <v>210</v>
      </c>
      <c r="C86" s="261" t="s">
        <v>278</v>
      </c>
      <c r="D86" s="262">
        <v>278</v>
      </c>
      <c r="E86" s="263">
        <v>275</v>
      </c>
      <c r="F86" s="264">
        <v>0</v>
      </c>
      <c r="G86" s="283">
        <v>3</v>
      </c>
      <c r="H86" s="266">
        <v>54.403131115459885</v>
      </c>
      <c r="I86" s="267">
        <v>54.401582591493572</v>
      </c>
      <c r="J86" s="267">
        <v>0</v>
      </c>
      <c r="K86" s="268">
        <v>176.47058823529412</v>
      </c>
      <c r="L86" s="262">
        <v>98</v>
      </c>
      <c r="M86" s="263">
        <v>98</v>
      </c>
      <c r="N86" s="264">
        <v>0</v>
      </c>
      <c r="O86" s="265">
        <v>0</v>
      </c>
      <c r="P86" s="269">
        <v>35.251798561151077</v>
      </c>
      <c r="Q86" s="270">
        <v>35.63636363636364</v>
      </c>
      <c r="R86" s="270" t="s">
        <v>928</v>
      </c>
      <c r="S86" s="271">
        <v>0</v>
      </c>
      <c r="T86" s="272">
        <v>19.178082191780824</v>
      </c>
      <c r="U86" s="273">
        <v>19.386745796241343</v>
      </c>
      <c r="V86" s="273" t="s">
        <v>928</v>
      </c>
      <c r="W86" s="274" t="s">
        <v>928</v>
      </c>
      <c r="X86" s="279">
        <v>5110</v>
      </c>
      <c r="Y86" s="280">
        <v>5055</v>
      </c>
      <c r="Z86" s="281">
        <v>38</v>
      </c>
      <c r="AA86" s="282">
        <v>17</v>
      </c>
    </row>
    <row r="87" spans="1:27" s="234" customFormat="1" ht="15.75" customHeight="1">
      <c r="A87" s="260" t="s">
        <v>211</v>
      </c>
      <c r="B87" s="532" t="s">
        <v>212</v>
      </c>
      <c r="C87" s="261" t="s">
        <v>278</v>
      </c>
      <c r="D87" s="262">
        <v>222</v>
      </c>
      <c r="E87" s="263">
        <v>219</v>
      </c>
      <c r="F87" s="264">
        <v>1</v>
      </c>
      <c r="G87" s="265">
        <v>2</v>
      </c>
      <c r="H87" s="266">
        <v>57.319907048799379</v>
      </c>
      <c r="I87" s="267">
        <v>57.060969254820215</v>
      </c>
      <c r="J87" s="267">
        <v>58.823529411764703</v>
      </c>
      <c r="K87" s="268">
        <v>111.1111111111111</v>
      </c>
      <c r="L87" s="262">
        <v>77</v>
      </c>
      <c r="M87" s="263">
        <v>75</v>
      </c>
      <c r="N87" s="264">
        <v>1</v>
      </c>
      <c r="O87" s="265">
        <v>1</v>
      </c>
      <c r="P87" s="269">
        <v>34.684684684684683</v>
      </c>
      <c r="Q87" s="270">
        <v>34.246575342465754</v>
      </c>
      <c r="R87" s="270">
        <v>100</v>
      </c>
      <c r="S87" s="271">
        <v>50</v>
      </c>
      <c r="T87" s="272">
        <v>19.881229021430418</v>
      </c>
      <c r="U87" s="273">
        <v>19.541427826993225</v>
      </c>
      <c r="V87" s="273">
        <v>58.823529411764703</v>
      </c>
      <c r="W87" s="274">
        <v>55.55555555555555</v>
      </c>
      <c r="X87" s="279">
        <v>3873</v>
      </c>
      <c r="Y87" s="280">
        <v>3838</v>
      </c>
      <c r="Z87" s="281">
        <v>17</v>
      </c>
      <c r="AA87" s="282">
        <v>18</v>
      </c>
    </row>
    <row r="88" spans="1:27" s="234" customFormat="1" ht="15.75" customHeight="1">
      <c r="A88" s="260" t="s">
        <v>213</v>
      </c>
      <c r="B88" s="532" t="s">
        <v>214</v>
      </c>
      <c r="C88" s="261" t="s">
        <v>276</v>
      </c>
      <c r="D88" s="262">
        <v>485</v>
      </c>
      <c r="E88" s="263">
        <v>469</v>
      </c>
      <c r="F88" s="264">
        <v>5</v>
      </c>
      <c r="G88" s="265">
        <v>11</v>
      </c>
      <c r="H88" s="266">
        <v>67.277014842557904</v>
      </c>
      <c r="I88" s="267">
        <v>67.423806785508916</v>
      </c>
      <c r="J88" s="267">
        <v>32.051282051282051</v>
      </c>
      <c r="K88" s="268">
        <v>113.4020618556701</v>
      </c>
      <c r="L88" s="262">
        <v>207</v>
      </c>
      <c r="M88" s="263">
        <v>203</v>
      </c>
      <c r="N88" s="264">
        <v>1</v>
      </c>
      <c r="O88" s="265">
        <v>3</v>
      </c>
      <c r="P88" s="269">
        <v>42.680412371134018</v>
      </c>
      <c r="Q88" s="270">
        <v>43.283582089552233</v>
      </c>
      <c r="R88" s="270">
        <v>20</v>
      </c>
      <c r="S88" s="271">
        <v>27.27272727272727</v>
      </c>
      <c r="T88" s="272">
        <v>28.71410736579276</v>
      </c>
      <c r="U88" s="273">
        <v>29.183438757906845</v>
      </c>
      <c r="V88" s="273">
        <v>6.4102564102564097</v>
      </c>
      <c r="W88" s="274">
        <v>30.927835051546392</v>
      </c>
      <c r="X88" s="279">
        <v>7209</v>
      </c>
      <c r="Y88" s="280">
        <v>6956</v>
      </c>
      <c r="Z88" s="281">
        <v>156</v>
      </c>
      <c r="AA88" s="282">
        <v>97</v>
      </c>
    </row>
    <row r="89" spans="1:27" s="234" customFormat="1" ht="15.75" customHeight="1">
      <c r="A89" s="260" t="s">
        <v>215</v>
      </c>
      <c r="B89" s="532" t="s">
        <v>216</v>
      </c>
      <c r="C89" s="261" t="s">
        <v>278</v>
      </c>
      <c r="D89" s="262">
        <v>316</v>
      </c>
      <c r="E89" s="263">
        <v>307</v>
      </c>
      <c r="F89" s="264">
        <v>4</v>
      </c>
      <c r="G89" s="265">
        <v>5</v>
      </c>
      <c r="H89" s="266">
        <v>54.370268410185822</v>
      </c>
      <c r="I89" s="267">
        <v>55.027782756766449</v>
      </c>
      <c r="J89" s="267">
        <v>20.304568527918779</v>
      </c>
      <c r="K89" s="268">
        <v>138.88888888888889</v>
      </c>
      <c r="L89" s="262">
        <v>147</v>
      </c>
      <c r="M89" s="263">
        <v>146</v>
      </c>
      <c r="N89" s="264">
        <v>1</v>
      </c>
      <c r="O89" s="265">
        <v>0</v>
      </c>
      <c r="P89" s="269">
        <v>46.518987341772153</v>
      </c>
      <c r="Q89" s="270">
        <v>47.557003257328986</v>
      </c>
      <c r="R89" s="270">
        <v>25</v>
      </c>
      <c r="S89" s="271">
        <v>0</v>
      </c>
      <c r="T89" s="272">
        <v>25.292498279421885</v>
      </c>
      <c r="U89" s="273">
        <v>26.16956443807134</v>
      </c>
      <c r="V89" s="273">
        <v>5.0761421319796947</v>
      </c>
      <c r="W89" s="274" t="s">
        <v>928</v>
      </c>
      <c r="X89" s="279">
        <v>5812</v>
      </c>
      <c r="Y89" s="280">
        <v>5579</v>
      </c>
      <c r="Z89" s="281">
        <v>197</v>
      </c>
      <c r="AA89" s="282">
        <v>36</v>
      </c>
    </row>
    <row r="90" spans="1:27" s="234" customFormat="1" ht="15.75" customHeight="1">
      <c r="A90" s="260" t="s">
        <v>217</v>
      </c>
      <c r="B90" s="532" t="s">
        <v>218</v>
      </c>
      <c r="C90" s="261" t="s">
        <v>272</v>
      </c>
      <c r="D90" s="262">
        <v>144</v>
      </c>
      <c r="E90" s="263">
        <v>88</v>
      </c>
      <c r="F90" s="264">
        <v>55</v>
      </c>
      <c r="G90" s="265">
        <v>1</v>
      </c>
      <c r="H90" s="266">
        <v>46.481601032924466</v>
      </c>
      <c r="I90" s="267">
        <v>45.953002610966053</v>
      </c>
      <c r="J90" s="267">
        <v>47.701647875108414</v>
      </c>
      <c r="K90" s="268">
        <v>33.333333333333336</v>
      </c>
      <c r="L90" s="262">
        <v>61</v>
      </c>
      <c r="M90" s="263">
        <v>23</v>
      </c>
      <c r="N90" s="264">
        <v>37</v>
      </c>
      <c r="O90" s="265">
        <v>1</v>
      </c>
      <c r="P90" s="269">
        <v>42.361111111111107</v>
      </c>
      <c r="Q90" s="270">
        <v>26.136363636363637</v>
      </c>
      <c r="R90" s="270">
        <v>67.272727272727266</v>
      </c>
      <c r="S90" s="271">
        <v>100</v>
      </c>
      <c r="T90" s="272">
        <v>19.690122659780503</v>
      </c>
      <c r="U90" s="273">
        <v>12.010443864229766</v>
      </c>
      <c r="V90" s="273">
        <v>32.090199479618384</v>
      </c>
      <c r="W90" s="274">
        <v>33.333333333333336</v>
      </c>
      <c r="X90" s="279">
        <v>3098</v>
      </c>
      <c r="Y90" s="280">
        <v>1915</v>
      </c>
      <c r="Z90" s="281">
        <v>1153</v>
      </c>
      <c r="AA90" s="282">
        <v>30</v>
      </c>
    </row>
    <row r="91" spans="1:27" s="234" customFormat="1" ht="15.75" customHeight="1">
      <c r="A91" s="260" t="s">
        <v>219</v>
      </c>
      <c r="B91" s="532" t="s">
        <v>220</v>
      </c>
      <c r="C91" s="261" t="s">
        <v>276</v>
      </c>
      <c r="D91" s="262">
        <v>1595</v>
      </c>
      <c r="E91" s="263">
        <v>1266</v>
      </c>
      <c r="F91" s="264">
        <v>220</v>
      </c>
      <c r="G91" s="265">
        <v>109</v>
      </c>
      <c r="H91" s="266">
        <v>63.19835169189318</v>
      </c>
      <c r="I91" s="267">
        <v>63.551026554891827</v>
      </c>
      <c r="J91" s="267">
        <v>50.831792975970423</v>
      </c>
      <c r="K91" s="268">
        <v>110.21233569261881</v>
      </c>
      <c r="L91" s="262">
        <v>580</v>
      </c>
      <c r="M91" s="263">
        <v>392</v>
      </c>
      <c r="N91" s="264">
        <v>140</v>
      </c>
      <c r="O91" s="265">
        <v>48</v>
      </c>
      <c r="P91" s="269">
        <v>36.363636363636367</v>
      </c>
      <c r="Q91" s="270">
        <v>30.963665086887836</v>
      </c>
      <c r="R91" s="270">
        <v>63.636363636363633</v>
      </c>
      <c r="S91" s="271">
        <v>44.036697247706428</v>
      </c>
      <c r="T91" s="272">
        <v>22.981218797052065</v>
      </c>
      <c r="U91" s="273">
        <v>19.677727021735855</v>
      </c>
      <c r="V91" s="273">
        <v>32.34750462107209</v>
      </c>
      <c r="W91" s="274">
        <v>48.533872598584431</v>
      </c>
      <c r="X91" s="279">
        <v>25238</v>
      </c>
      <c r="Y91" s="280">
        <v>19921</v>
      </c>
      <c r="Z91" s="281">
        <v>4328</v>
      </c>
      <c r="AA91" s="282">
        <v>989</v>
      </c>
    </row>
    <row r="92" spans="1:27" s="234" customFormat="1" ht="15.75" customHeight="1">
      <c r="A92" s="260" t="s">
        <v>221</v>
      </c>
      <c r="B92" s="532" t="s">
        <v>222</v>
      </c>
      <c r="C92" s="261" t="s">
        <v>276</v>
      </c>
      <c r="D92" s="262">
        <v>1671</v>
      </c>
      <c r="E92" s="263">
        <v>1282</v>
      </c>
      <c r="F92" s="264">
        <v>286</v>
      </c>
      <c r="G92" s="265">
        <v>103</v>
      </c>
      <c r="H92" s="266">
        <v>62.118959107806688</v>
      </c>
      <c r="I92" s="267">
        <v>63.743038981702469</v>
      </c>
      <c r="J92" s="267">
        <v>52.689756816507</v>
      </c>
      <c r="K92" s="268">
        <v>75.735294117647058</v>
      </c>
      <c r="L92" s="262">
        <v>481</v>
      </c>
      <c r="M92" s="263">
        <v>304</v>
      </c>
      <c r="N92" s="264">
        <v>145</v>
      </c>
      <c r="O92" s="265">
        <v>32</v>
      </c>
      <c r="P92" s="269">
        <v>28.785158587672054</v>
      </c>
      <c r="Q92" s="270">
        <v>23.712948517940717</v>
      </c>
      <c r="R92" s="270">
        <v>50.6993006993007</v>
      </c>
      <c r="S92" s="271">
        <v>31.067961165048541</v>
      </c>
      <c r="T92" s="272">
        <v>17.881040892193308</v>
      </c>
      <c r="U92" s="273">
        <v>15.115354017501989</v>
      </c>
      <c r="V92" s="273">
        <v>26.713338246131169</v>
      </c>
      <c r="W92" s="274">
        <v>23.52941176470588</v>
      </c>
      <c r="X92" s="279">
        <v>26900</v>
      </c>
      <c r="Y92" s="280">
        <v>20112</v>
      </c>
      <c r="Z92" s="281">
        <v>5428</v>
      </c>
      <c r="AA92" s="282">
        <v>1360</v>
      </c>
    </row>
    <row r="93" spans="1:27" s="234" customFormat="1" ht="15.75" customHeight="1">
      <c r="A93" s="260" t="s">
        <v>225</v>
      </c>
      <c r="B93" s="532" t="s">
        <v>226</v>
      </c>
      <c r="C93" s="261" t="s">
        <v>272</v>
      </c>
      <c r="D93" s="262">
        <v>57</v>
      </c>
      <c r="E93" s="263">
        <v>29</v>
      </c>
      <c r="F93" s="264">
        <v>26</v>
      </c>
      <c r="G93" s="265">
        <v>2</v>
      </c>
      <c r="H93" s="266">
        <v>48.801369863013697</v>
      </c>
      <c r="I93" s="267">
        <v>51.601423487544487</v>
      </c>
      <c r="J93" s="267">
        <v>43.624161073825505</v>
      </c>
      <c r="K93" s="268">
        <v>200</v>
      </c>
      <c r="L93" s="262">
        <v>32</v>
      </c>
      <c r="M93" s="263">
        <v>10</v>
      </c>
      <c r="N93" s="264">
        <v>21</v>
      </c>
      <c r="O93" s="265">
        <v>1</v>
      </c>
      <c r="P93" s="269">
        <v>56.140350877192979</v>
      </c>
      <c r="Q93" s="270">
        <v>34.482758620689658</v>
      </c>
      <c r="R93" s="270">
        <v>80.769230769230774</v>
      </c>
      <c r="S93" s="271">
        <v>50</v>
      </c>
      <c r="T93" s="272">
        <v>27.397260273972602</v>
      </c>
      <c r="U93" s="273">
        <v>17.793594306049823</v>
      </c>
      <c r="V93" s="273">
        <v>35.234899328859058</v>
      </c>
      <c r="W93" s="274">
        <v>100</v>
      </c>
      <c r="X93" s="279">
        <v>1168</v>
      </c>
      <c r="Y93" s="280">
        <v>562</v>
      </c>
      <c r="Z93" s="281">
        <v>596</v>
      </c>
      <c r="AA93" s="282">
        <v>10</v>
      </c>
    </row>
    <row r="94" spans="1:27" s="234" customFormat="1" ht="15.75" customHeight="1">
      <c r="A94" s="260" t="s">
        <v>227</v>
      </c>
      <c r="B94" s="532" t="s">
        <v>228</v>
      </c>
      <c r="C94" s="261" t="s">
        <v>272</v>
      </c>
      <c r="D94" s="262">
        <v>95</v>
      </c>
      <c r="E94" s="263">
        <v>39</v>
      </c>
      <c r="F94" s="264">
        <v>53</v>
      </c>
      <c r="G94" s="283">
        <v>3</v>
      </c>
      <c r="H94" s="266">
        <v>57.680631451123254</v>
      </c>
      <c r="I94" s="267">
        <v>55.634807417974322</v>
      </c>
      <c r="J94" s="267">
        <v>56.98924731182796</v>
      </c>
      <c r="K94" s="268">
        <v>187.5</v>
      </c>
      <c r="L94" s="262">
        <v>57</v>
      </c>
      <c r="M94" s="263">
        <v>14</v>
      </c>
      <c r="N94" s="264">
        <v>42</v>
      </c>
      <c r="O94" s="265">
        <v>1</v>
      </c>
      <c r="P94" s="269">
        <v>60</v>
      </c>
      <c r="Q94" s="270">
        <v>35.897435897435898</v>
      </c>
      <c r="R94" s="270">
        <v>79.245283018867923</v>
      </c>
      <c r="S94" s="271">
        <v>33.333333333333329</v>
      </c>
      <c r="T94" s="272">
        <v>34.608378870673953</v>
      </c>
      <c r="U94" s="273">
        <v>19.971469329529242</v>
      </c>
      <c r="V94" s="273">
        <v>45.161290322580641</v>
      </c>
      <c r="W94" s="274">
        <v>62.5</v>
      </c>
      <c r="X94" s="279">
        <v>1647</v>
      </c>
      <c r="Y94" s="280">
        <v>701</v>
      </c>
      <c r="Z94" s="281">
        <v>930</v>
      </c>
      <c r="AA94" s="282">
        <v>16</v>
      </c>
    </row>
    <row r="95" spans="1:27" s="234" customFormat="1" ht="15.75" customHeight="1">
      <c r="A95" s="260" t="s">
        <v>229</v>
      </c>
      <c r="B95" s="532" t="s">
        <v>230</v>
      </c>
      <c r="C95" s="261" t="s">
        <v>278</v>
      </c>
      <c r="D95" s="262">
        <v>490</v>
      </c>
      <c r="E95" s="263">
        <v>474</v>
      </c>
      <c r="F95" s="264">
        <v>14</v>
      </c>
      <c r="G95" s="265">
        <v>2</v>
      </c>
      <c r="H95" s="266">
        <v>64.060661524382283</v>
      </c>
      <c r="I95" s="267">
        <v>63.976245107301935</v>
      </c>
      <c r="J95" s="267">
        <v>81.395348837209312</v>
      </c>
      <c r="K95" s="268">
        <v>29.411764705882351</v>
      </c>
      <c r="L95" s="262">
        <v>184</v>
      </c>
      <c r="M95" s="263">
        <v>169</v>
      </c>
      <c r="N95" s="264">
        <v>14</v>
      </c>
      <c r="O95" s="265">
        <v>1</v>
      </c>
      <c r="P95" s="269">
        <v>37.551020408163268</v>
      </c>
      <c r="Q95" s="270">
        <v>35.654008438818565</v>
      </c>
      <c r="R95" s="270">
        <v>100</v>
      </c>
      <c r="S95" s="271">
        <v>50</v>
      </c>
      <c r="T95" s="272">
        <v>24.055432082625178</v>
      </c>
      <c r="U95" s="273">
        <v>22.81009582939668</v>
      </c>
      <c r="V95" s="273">
        <v>81.395348837209312</v>
      </c>
      <c r="W95" s="274">
        <v>14.705882352941176</v>
      </c>
      <c r="X95" s="279">
        <v>7649</v>
      </c>
      <c r="Y95" s="280">
        <v>7409</v>
      </c>
      <c r="Z95" s="281">
        <v>172</v>
      </c>
      <c r="AA95" s="282">
        <v>68</v>
      </c>
    </row>
    <row r="96" spans="1:27" s="234" customFormat="1" ht="15.75" customHeight="1">
      <c r="A96" s="260" t="s">
        <v>233</v>
      </c>
      <c r="B96" s="532" t="s">
        <v>234</v>
      </c>
      <c r="C96" s="261" t="s">
        <v>276</v>
      </c>
      <c r="D96" s="262">
        <v>430</v>
      </c>
      <c r="E96" s="263">
        <v>404</v>
      </c>
      <c r="F96" s="264">
        <v>19</v>
      </c>
      <c r="G96" s="283">
        <v>7</v>
      </c>
      <c r="H96" s="266">
        <v>60.880645618009339</v>
      </c>
      <c r="I96" s="267">
        <v>61.622940817571688</v>
      </c>
      <c r="J96" s="267">
        <v>55.072463768115938</v>
      </c>
      <c r="K96" s="268">
        <v>43.209876543209873</v>
      </c>
      <c r="L96" s="262">
        <v>163</v>
      </c>
      <c r="M96" s="263">
        <v>148</v>
      </c>
      <c r="N96" s="264">
        <v>12</v>
      </c>
      <c r="O96" s="265">
        <v>3</v>
      </c>
      <c r="P96" s="269">
        <v>37.906976744186046</v>
      </c>
      <c r="Q96" s="270">
        <v>36.633663366336634</v>
      </c>
      <c r="R96" s="270">
        <v>63.157894736842103</v>
      </c>
      <c r="S96" s="271">
        <v>42.857142857142854</v>
      </c>
      <c r="T96" s="272">
        <v>23.078012176129125</v>
      </c>
      <c r="U96" s="273">
        <v>22.574740695546065</v>
      </c>
      <c r="V96" s="273">
        <v>34.782608695652172</v>
      </c>
      <c r="W96" s="274">
        <v>18.518518518518519</v>
      </c>
      <c r="X96" s="279">
        <v>7063</v>
      </c>
      <c r="Y96" s="280">
        <v>6556</v>
      </c>
      <c r="Z96" s="281">
        <v>345</v>
      </c>
      <c r="AA96" s="282">
        <v>162</v>
      </c>
    </row>
    <row r="97" spans="1:27" s="234" customFormat="1" ht="15.75" customHeight="1">
      <c r="A97" s="260" t="s">
        <v>235</v>
      </c>
      <c r="B97" s="532" t="s">
        <v>236</v>
      </c>
      <c r="C97" s="261" t="s">
        <v>278</v>
      </c>
      <c r="D97" s="262">
        <v>510</v>
      </c>
      <c r="E97" s="263">
        <v>494</v>
      </c>
      <c r="F97" s="264">
        <v>4</v>
      </c>
      <c r="G97" s="265">
        <v>12</v>
      </c>
      <c r="H97" s="266">
        <v>53.633399936901881</v>
      </c>
      <c r="I97" s="267">
        <v>53.129705312970529</v>
      </c>
      <c r="J97" s="267">
        <v>30.075187969924812</v>
      </c>
      <c r="K97" s="268">
        <v>153.84615384615387</v>
      </c>
      <c r="L97" s="262">
        <v>164</v>
      </c>
      <c r="M97" s="263">
        <v>159</v>
      </c>
      <c r="N97" s="264">
        <v>3</v>
      </c>
      <c r="O97" s="265">
        <v>2</v>
      </c>
      <c r="P97" s="269">
        <v>32.156862745098039</v>
      </c>
      <c r="Q97" s="270">
        <v>32.186234817813762</v>
      </c>
      <c r="R97" s="270">
        <v>75</v>
      </c>
      <c r="S97" s="271">
        <v>16.666666666666664</v>
      </c>
      <c r="T97" s="272">
        <v>17.246818803239037</v>
      </c>
      <c r="U97" s="273">
        <v>17.100451710045171</v>
      </c>
      <c r="V97" s="273">
        <v>22.556390977443609</v>
      </c>
      <c r="W97" s="274">
        <v>25.641025641025639</v>
      </c>
      <c r="X97" s="279">
        <v>9509</v>
      </c>
      <c r="Y97" s="280">
        <v>9298</v>
      </c>
      <c r="Z97" s="281">
        <v>133</v>
      </c>
      <c r="AA97" s="282">
        <v>78</v>
      </c>
    </row>
    <row r="98" spans="1:27" s="234" customFormat="1" ht="15.75" customHeight="1">
      <c r="A98" s="260" t="s">
        <v>237</v>
      </c>
      <c r="B98" s="532" t="s">
        <v>238</v>
      </c>
      <c r="C98" s="261" t="s">
        <v>275</v>
      </c>
      <c r="D98" s="262">
        <v>181</v>
      </c>
      <c r="E98" s="263">
        <v>114</v>
      </c>
      <c r="F98" s="264">
        <v>58</v>
      </c>
      <c r="G98" s="265">
        <v>9</v>
      </c>
      <c r="H98" s="266">
        <v>65.938069216757739</v>
      </c>
      <c r="I98" s="267">
        <v>64.00898371701291</v>
      </c>
      <c r="J98" s="267">
        <v>63.596491228070178</v>
      </c>
      <c r="K98" s="268">
        <v>173.07692307692307</v>
      </c>
      <c r="L98" s="262">
        <v>100</v>
      </c>
      <c r="M98" s="263">
        <v>46</v>
      </c>
      <c r="N98" s="264">
        <v>49</v>
      </c>
      <c r="O98" s="265">
        <v>5</v>
      </c>
      <c r="P98" s="269">
        <v>55.248618784530393</v>
      </c>
      <c r="Q98" s="270">
        <v>40.350877192982452</v>
      </c>
      <c r="R98" s="270">
        <v>84.482758620689651</v>
      </c>
      <c r="S98" s="271">
        <v>55.555555555555557</v>
      </c>
      <c r="T98" s="272">
        <v>36.429872495446268</v>
      </c>
      <c r="U98" s="273">
        <v>25.828186412128019</v>
      </c>
      <c r="V98" s="273">
        <v>53.728070175438596</v>
      </c>
      <c r="W98" s="274">
        <v>96.15384615384616</v>
      </c>
      <c r="X98" s="279">
        <v>2745</v>
      </c>
      <c r="Y98" s="280">
        <v>1781</v>
      </c>
      <c r="Z98" s="281">
        <v>912</v>
      </c>
      <c r="AA98" s="282">
        <v>52</v>
      </c>
    </row>
    <row r="99" spans="1:27" s="234" customFormat="1" ht="15.75" customHeight="1">
      <c r="A99" s="260" t="s">
        <v>243</v>
      </c>
      <c r="B99" s="532" t="s">
        <v>244</v>
      </c>
      <c r="C99" s="261" t="s">
        <v>278</v>
      </c>
      <c r="D99" s="262">
        <v>457</v>
      </c>
      <c r="E99" s="263">
        <v>442</v>
      </c>
      <c r="F99" s="264">
        <v>8</v>
      </c>
      <c r="G99" s="283">
        <v>7</v>
      </c>
      <c r="H99" s="266">
        <v>59.973753280839901</v>
      </c>
      <c r="I99" s="267">
        <v>59.721659235238477</v>
      </c>
      <c r="J99" s="267">
        <v>44.943820224719097</v>
      </c>
      <c r="K99" s="268">
        <v>170.73170731707319</v>
      </c>
      <c r="L99" s="262">
        <v>211</v>
      </c>
      <c r="M99" s="263">
        <v>202</v>
      </c>
      <c r="N99" s="264">
        <v>7</v>
      </c>
      <c r="O99" s="265">
        <v>2</v>
      </c>
      <c r="P99" s="269">
        <v>46.170678336980309</v>
      </c>
      <c r="Q99" s="270">
        <v>45.701357466063349</v>
      </c>
      <c r="R99" s="270">
        <v>87.5</v>
      </c>
      <c r="S99" s="271">
        <v>28.571428571428569</v>
      </c>
      <c r="T99" s="272">
        <v>27.690288713910761</v>
      </c>
      <c r="U99" s="273">
        <v>27.293608971760573</v>
      </c>
      <c r="V99" s="273">
        <v>39.325842696629209</v>
      </c>
      <c r="W99" s="274">
        <v>48.780487804878049</v>
      </c>
      <c r="X99" s="279">
        <v>7620</v>
      </c>
      <c r="Y99" s="280">
        <v>7401</v>
      </c>
      <c r="Z99" s="281">
        <v>178</v>
      </c>
      <c r="AA99" s="282">
        <v>41</v>
      </c>
    </row>
    <row r="100" spans="1:27" s="234" customFormat="1" ht="15.75" customHeight="1">
      <c r="A100" s="260" t="s">
        <v>245</v>
      </c>
      <c r="B100" s="532" t="s">
        <v>246</v>
      </c>
      <c r="C100" s="261" t="s">
        <v>278</v>
      </c>
      <c r="D100" s="262">
        <v>281</v>
      </c>
      <c r="E100" s="263">
        <v>273</v>
      </c>
      <c r="F100" s="264">
        <v>7</v>
      </c>
      <c r="G100" s="265">
        <v>1</v>
      </c>
      <c r="H100" s="266">
        <v>54.215705190044382</v>
      </c>
      <c r="I100" s="267">
        <v>54.589082183563285</v>
      </c>
      <c r="J100" s="267">
        <v>47.619047619047613</v>
      </c>
      <c r="K100" s="268">
        <v>28.571428571428569</v>
      </c>
      <c r="L100" s="262">
        <v>96</v>
      </c>
      <c r="M100" s="263">
        <v>93</v>
      </c>
      <c r="N100" s="264">
        <v>3</v>
      </c>
      <c r="O100" s="265">
        <v>0</v>
      </c>
      <c r="P100" s="269">
        <v>34.163701067615662</v>
      </c>
      <c r="Q100" s="270">
        <v>34.065934065934066</v>
      </c>
      <c r="R100" s="270">
        <v>42.857142857142854</v>
      </c>
      <c r="S100" s="271">
        <v>0</v>
      </c>
      <c r="T100" s="272">
        <v>18.522091452826547</v>
      </c>
      <c r="U100" s="273">
        <v>18.596280743851231</v>
      </c>
      <c r="V100" s="273">
        <v>20.408163265306122</v>
      </c>
      <c r="W100" s="274" t="s">
        <v>928</v>
      </c>
      <c r="X100" s="279">
        <v>5183</v>
      </c>
      <c r="Y100" s="280">
        <v>5001</v>
      </c>
      <c r="Z100" s="281">
        <v>147</v>
      </c>
      <c r="AA100" s="282">
        <v>35</v>
      </c>
    </row>
    <row r="101" spans="1:27" s="234" customFormat="1" ht="15.75" customHeight="1">
      <c r="A101" s="260" t="s">
        <v>247</v>
      </c>
      <c r="B101" s="532" t="s">
        <v>248</v>
      </c>
      <c r="C101" s="261" t="s">
        <v>272</v>
      </c>
      <c r="D101" s="262">
        <v>668</v>
      </c>
      <c r="E101" s="263">
        <v>523</v>
      </c>
      <c r="F101" s="264">
        <v>79</v>
      </c>
      <c r="G101" s="265">
        <v>66</v>
      </c>
      <c r="H101" s="266">
        <v>46.969483898185906</v>
      </c>
      <c r="I101" s="267">
        <v>46.07117688513037</v>
      </c>
      <c r="J101" s="267">
        <v>41.798941798941797</v>
      </c>
      <c r="K101" s="268">
        <v>67.34693877551021</v>
      </c>
      <c r="L101" s="262">
        <v>140</v>
      </c>
      <c r="M101" s="263">
        <v>95</v>
      </c>
      <c r="N101" s="264">
        <v>32</v>
      </c>
      <c r="O101" s="265">
        <v>13</v>
      </c>
      <c r="P101" s="269">
        <v>20.958083832335326</v>
      </c>
      <c r="Q101" s="270">
        <v>18.164435946462714</v>
      </c>
      <c r="R101" s="270">
        <v>40.506329113924053</v>
      </c>
      <c r="S101" s="271">
        <v>19.696969696969695</v>
      </c>
      <c r="T101" s="272">
        <v>9.8439038109970465</v>
      </c>
      <c r="U101" s="273">
        <v>8.3685694150810441</v>
      </c>
      <c r="V101" s="273">
        <v>16.931216931216934</v>
      </c>
      <c r="W101" s="274">
        <v>13.26530612244898</v>
      </c>
      <c r="X101" s="279">
        <v>14222</v>
      </c>
      <c r="Y101" s="280">
        <v>11352</v>
      </c>
      <c r="Z101" s="281">
        <v>1890</v>
      </c>
      <c r="AA101" s="282">
        <v>980</v>
      </c>
    </row>
    <row r="102" spans="1:27" s="234" customFormat="1" ht="15.75" customHeight="1">
      <c r="A102" s="260" t="s">
        <v>14</v>
      </c>
      <c r="B102" s="532" t="s">
        <v>15</v>
      </c>
      <c r="C102" s="261" t="s">
        <v>276</v>
      </c>
      <c r="D102" s="262">
        <v>2667</v>
      </c>
      <c r="E102" s="263">
        <v>1725</v>
      </c>
      <c r="F102" s="264">
        <v>593</v>
      </c>
      <c r="G102" s="265">
        <v>349</v>
      </c>
      <c r="H102" s="266">
        <v>71.791972866026001</v>
      </c>
      <c r="I102" s="267">
        <v>69.866342648845688</v>
      </c>
      <c r="J102" s="267">
        <v>65.764666740601101</v>
      </c>
      <c r="K102" s="268">
        <v>101.39453805926786</v>
      </c>
      <c r="L102" s="262">
        <v>729</v>
      </c>
      <c r="M102" s="263">
        <v>342</v>
      </c>
      <c r="N102" s="264">
        <v>309</v>
      </c>
      <c r="O102" s="265">
        <v>78</v>
      </c>
      <c r="P102" s="269">
        <v>27.334083239595053</v>
      </c>
      <c r="Q102" s="270">
        <v>19.826086956521738</v>
      </c>
      <c r="R102" s="270">
        <v>52.107925801011802</v>
      </c>
      <c r="S102" s="271">
        <v>22.349570200573066</v>
      </c>
      <c r="T102" s="272">
        <v>19.623677622547042</v>
      </c>
      <c r="U102" s="273">
        <v>13.85176184690158</v>
      </c>
      <c r="V102" s="273">
        <v>34.268603748475101</v>
      </c>
      <c r="W102" s="274">
        <v>22.661243463102849</v>
      </c>
      <c r="X102" s="275">
        <v>37149</v>
      </c>
      <c r="Y102" s="276">
        <v>24690</v>
      </c>
      <c r="Z102" s="278">
        <v>9017</v>
      </c>
      <c r="AA102" s="277">
        <v>3442</v>
      </c>
    </row>
    <row r="103" spans="1:27" s="234" customFormat="1" ht="15.75" customHeight="1">
      <c r="A103" s="260" t="s">
        <v>35</v>
      </c>
      <c r="B103" s="532" t="s">
        <v>36</v>
      </c>
      <c r="C103" s="261" t="s">
        <v>278</v>
      </c>
      <c r="D103" s="262">
        <v>208</v>
      </c>
      <c r="E103" s="263">
        <v>195</v>
      </c>
      <c r="F103" s="264">
        <v>11</v>
      </c>
      <c r="G103" s="265">
        <v>2</v>
      </c>
      <c r="H103" s="266">
        <v>61.629629629629633</v>
      </c>
      <c r="I103" s="267">
        <v>62.459961563100578</v>
      </c>
      <c r="J103" s="267">
        <v>52.884615384615387</v>
      </c>
      <c r="K103" s="268">
        <v>44.444444444444443</v>
      </c>
      <c r="L103" s="262">
        <v>112</v>
      </c>
      <c r="M103" s="263">
        <v>102</v>
      </c>
      <c r="N103" s="264">
        <v>8</v>
      </c>
      <c r="O103" s="265">
        <v>2</v>
      </c>
      <c r="P103" s="269">
        <v>53.846153846153847</v>
      </c>
      <c r="Q103" s="270">
        <v>52.307692307692314</v>
      </c>
      <c r="R103" s="270">
        <v>72.727272727272734</v>
      </c>
      <c r="S103" s="271">
        <v>100</v>
      </c>
      <c r="T103" s="272">
        <v>33.185185185185183</v>
      </c>
      <c r="U103" s="273">
        <v>32.671364509929532</v>
      </c>
      <c r="V103" s="273">
        <v>38.461538461538467</v>
      </c>
      <c r="W103" s="274">
        <v>44.444444444444443</v>
      </c>
      <c r="X103" s="275">
        <v>3375</v>
      </c>
      <c r="Y103" s="276">
        <v>3122</v>
      </c>
      <c r="Z103" s="278">
        <v>208</v>
      </c>
      <c r="AA103" s="277">
        <v>45</v>
      </c>
    </row>
    <row r="104" spans="1:27" s="234" customFormat="1" ht="15.75" customHeight="1">
      <c r="A104" s="260" t="s">
        <v>53</v>
      </c>
      <c r="B104" s="532" t="s">
        <v>54</v>
      </c>
      <c r="C104" s="261" t="s">
        <v>273</v>
      </c>
      <c r="D104" s="262">
        <v>548</v>
      </c>
      <c r="E104" s="263">
        <v>375</v>
      </c>
      <c r="F104" s="264">
        <v>134</v>
      </c>
      <c r="G104" s="265">
        <v>39</v>
      </c>
      <c r="H104" s="266">
        <v>41.212303527111381</v>
      </c>
      <c r="I104" s="267">
        <v>38.335718666939279</v>
      </c>
      <c r="J104" s="267">
        <v>62.675397567820397</v>
      </c>
      <c r="K104" s="268">
        <v>28.322440087145967</v>
      </c>
      <c r="L104" s="262">
        <v>193</v>
      </c>
      <c r="M104" s="263">
        <v>81</v>
      </c>
      <c r="N104" s="264">
        <v>106</v>
      </c>
      <c r="O104" s="265">
        <v>6</v>
      </c>
      <c r="P104" s="269">
        <v>35.21897810218978</v>
      </c>
      <c r="Q104" s="270">
        <v>21.6</v>
      </c>
      <c r="R104" s="270">
        <v>79.104477611940297</v>
      </c>
      <c r="S104" s="271">
        <v>15.384615384615385</v>
      </c>
      <c r="T104" s="272">
        <v>14.514552154621343</v>
      </c>
      <c r="U104" s="273">
        <v>8.2805152320588835</v>
      </c>
      <c r="V104" s="273">
        <v>49.579045837231057</v>
      </c>
      <c r="W104" s="274">
        <v>4.3572984749455346</v>
      </c>
      <c r="X104" s="279">
        <v>13297</v>
      </c>
      <c r="Y104" s="280">
        <v>9782</v>
      </c>
      <c r="Z104" s="281">
        <v>2138</v>
      </c>
      <c r="AA104" s="282">
        <v>1377</v>
      </c>
    </row>
    <row r="105" spans="1:27" s="234" customFormat="1" ht="15.75" customHeight="1">
      <c r="A105" s="260" t="s">
        <v>55</v>
      </c>
      <c r="B105" s="532" t="s">
        <v>56</v>
      </c>
      <c r="C105" s="261" t="s">
        <v>272</v>
      </c>
      <c r="D105" s="262">
        <v>2830</v>
      </c>
      <c r="E105" s="263">
        <v>1758</v>
      </c>
      <c r="F105" s="264">
        <v>934</v>
      </c>
      <c r="G105" s="265">
        <v>138</v>
      </c>
      <c r="H105" s="266">
        <v>62.535908427984261</v>
      </c>
      <c r="I105" s="267">
        <v>63.015269911821633</v>
      </c>
      <c r="J105" s="267">
        <v>61.318277310924366</v>
      </c>
      <c r="K105" s="268">
        <v>64.97175141242937</v>
      </c>
      <c r="L105" s="262">
        <v>1104</v>
      </c>
      <c r="M105" s="263">
        <v>452</v>
      </c>
      <c r="N105" s="264">
        <v>623</v>
      </c>
      <c r="O105" s="265">
        <v>29</v>
      </c>
      <c r="P105" s="269">
        <v>39.010600706713781</v>
      </c>
      <c r="Q105" s="270">
        <v>25.71103526734926</v>
      </c>
      <c r="R105" s="270">
        <v>66.702355460385448</v>
      </c>
      <c r="S105" s="271">
        <v>21.014492753623188</v>
      </c>
      <c r="T105" s="272">
        <v>24.395633535157113</v>
      </c>
      <c r="U105" s="273">
        <v>16.201878270843789</v>
      </c>
      <c r="V105" s="273">
        <v>40.900735294117645</v>
      </c>
      <c r="W105" s="274">
        <v>13.653483992467043</v>
      </c>
      <c r="X105" s="275">
        <v>45254</v>
      </c>
      <c r="Y105" s="276">
        <v>27898</v>
      </c>
      <c r="Z105" s="278">
        <v>15232</v>
      </c>
      <c r="AA105" s="277">
        <v>2124</v>
      </c>
    </row>
    <row r="106" spans="1:27" s="234" customFormat="1" ht="15.75" customHeight="1">
      <c r="A106" s="260" t="s">
        <v>67</v>
      </c>
      <c r="B106" s="532" t="s">
        <v>68</v>
      </c>
      <c r="C106" s="261" t="s">
        <v>273</v>
      </c>
      <c r="D106" s="262">
        <v>557</v>
      </c>
      <c r="E106" s="263">
        <v>222</v>
      </c>
      <c r="F106" s="264">
        <v>312</v>
      </c>
      <c r="G106" s="265">
        <v>23</v>
      </c>
      <c r="H106" s="266">
        <v>70.613590263691677</v>
      </c>
      <c r="I106" s="267">
        <v>71.428571428571431</v>
      </c>
      <c r="J106" s="267">
        <v>66.952789699570815</v>
      </c>
      <c r="K106" s="268">
        <v>191.66666666666669</v>
      </c>
      <c r="L106" s="262">
        <v>369</v>
      </c>
      <c r="M106" s="263">
        <v>106</v>
      </c>
      <c r="N106" s="264">
        <v>257</v>
      </c>
      <c r="O106" s="265">
        <v>6</v>
      </c>
      <c r="P106" s="269">
        <v>66.247755834829448</v>
      </c>
      <c r="Q106" s="270">
        <v>47.747747747747752</v>
      </c>
      <c r="R106" s="270">
        <v>82.371794871794862</v>
      </c>
      <c r="S106" s="271">
        <v>26.086956521739129</v>
      </c>
      <c r="T106" s="272">
        <v>46.779918864097361</v>
      </c>
      <c r="U106" s="273">
        <v>34.105534105534105</v>
      </c>
      <c r="V106" s="273">
        <v>55.150214592274679</v>
      </c>
      <c r="W106" s="274">
        <v>50</v>
      </c>
      <c r="X106" s="279">
        <v>7888</v>
      </c>
      <c r="Y106" s="280">
        <v>3108</v>
      </c>
      <c r="Z106" s="281">
        <v>4660</v>
      </c>
      <c r="AA106" s="282">
        <v>120</v>
      </c>
    </row>
    <row r="107" spans="1:27" s="234" customFormat="1" ht="15.75" customHeight="1">
      <c r="A107" s="260" t="s">
        <v>83</v>
      </c>
      <c r="B107" s="532" t="s">
        <v>84</v>
      </c>
      <c r="C107" s="261" t="s">
        <v>272</v>
      </c>
      <c r="D107" s="262">
        <v>147</v>
      </c>
      <c r="E107" s="263">
        <v>47</v>
      </c>
      <c r="F107" s="264">
        <v>98</v>
      </c>
      <c r="G107" s="265">
        <v>2</v>
      </c>
      <c r="H107" s="266">
        <v>88.821752265861036</v>
      </c>
      <c r="I107" s="267">
        <v>89.523809523809518</v>
      </c>
      <c r="J107" s="267">
        <v>89.334548769371011</v>
      </c>
      <c r="K107" s="268">
        <v>60.606060606060609</v>
      </c>
      <c r="L107" s="262">
        <v>98</v>
      </c>
      <c r="M107" s="263">
        <v>13</v>
      </c>
      <c r="N107" s="264">
        <v>85</v>
      </c>
      <c r="O107" s="265">
        <v>0</v>
      </c>
      <c r="P107" s="269">
        <v>66.666666666666657</v>
      </c>
      <c r="Q107" s="270">
        <v>27.659574468085108</v>
      </c>
      <c r="R107" s="270">
        <v>86.734693877551024</v>
      </c>
      <c r="S107" s="271">
        <v>0</v>
      </c>
      <c r="T107" s="272">
        <v>59.214501510574017</v>
      </c>
      <c r="U107" s="273">
        <v>24.761904761904763</v>
      </c>
      <c r="V107" s="273">
        <v>77.484047402005473</v>
      </c>
      <c r="W107" s="274" t="s">
        <v>928</v>
      </c>
      <c r="X107" s="279">
        <v>1655</v>
      </c>
      <c r="Y107" s="280">
        <v>525</v>
      </c>
      <c r="Z107" s="281">
        <v>1097</v>
      </c>
      <c r="AA107" s="282">
        <v>33</v>
      </c>
    </row>
    <row r="108" spans="1:27" s="234" customFormat="1" ht="15.75" customHeight="1">
      <c r="A108" s="260" t="s">
        <v>89</v>
      </c>
      <c r="B108" s="532" t="s">
        <v>90</v>
      </c>
      <c r="C108" s="261" t="s">
        <v>276</v>
      </c>
      <c r="D108" s="262">
        <v>385</v>
      </c>
      <c r="E108" s="263">
        <v>230</v>
      </c>
      <c r="F108" s="264">
        <v>111</v>
      </c>
      <c r="G108" s="265">
        <v>44</v>
      </c>
      <c r="H108" s="266">
        <v>54.240631163708088</v>
      </c>
      <c r="I108" s="267">
        <v>44.930650517679233</v>
      </c>
      <c r="J108" s="267">
        <v>68.688118811881196</v>
      </c>
      <c r="K108" s="268">
        <v>121.21212121212122</v>
      </c>
      <c r="L108" s="262">
        <v>209</v>
      </c>
      <c r="M108" s="263">
        <v>108</v>
      </c>
      <c r="N108" s="264">
        <v>78</v>
      </c>
      <c r="O108" s="265">
        <v>23</v>
      </c>
      <c r="P108" s="269">
        <v>54.285714285714285</v>
      </c>
      <c r="Q108" s="270">
        <v>46.956521739130437</v>
      </c>
      <c r="R108" s="270">
        <v>70.270270270270274</v>
      </c>
      <c r="S108" s="271">
        <v>52.272727272727273</v>
      </c>
      <c r="T108" s="272">
        <v>29.444914060298675</v>
      </c>
      <c r="U108" s="273">
        <v>21.097870677866769</v>
      </c>
      <c r="V108" s="273">
        <v>48.267326732673268</v>
      </c>
      <c r="W108" s="274">
        <v>63.36088154269973</v>
      </c>
      <c r="X108" s="279">
        <v>7098</v>
      </c>
      <c r="Y108" s="280">
        <v>5119</v>
      </c>
      <c r="Z108" s="281">
        <v>1616</v>
      </c>
      <c r="AA108" s="282">
        <v>363</v>
      </c>
    </row>
    <row r="109" spans="1:27" s="234" customFormat="1" ht="15.75" customHeight="1">
      <c r="A109" s="260" t="s">
        <v>91</v>
      </c>
      <c r="B109" s="532" t="s">
        <v>92</v>
      </c>
      <c r="C109" s="261" t="s">
        <v>278</v>
      </c>
      <c r="D109" s="262">
        <v>132</v>
      </c>
      <c r="E109" s="263">
        <v>125</v>
      </c>
      <c r="F109" s="264">
        <v>7</v>
      </c>
      <c r="G109" s="265">
        <v>0</v>
      </c>
      <c r="H109" s="266">
        <v>107.0559610705596</v>
      </c>
      <c r="I109" s="267">
        <v>110.52166224580017</v>
      </c>
      <c r="J109" s="267">
        <v>86.419753086419746</v>
      </c>
      <c r="K109" s="268">
        <v>0</v>
      </c>
      <c r="L109" s="262">
        <v>70</v>
      </c>
      <c r="M109" s="263">
        <v>67</v>
      </c>
      <c r="N109" s="264">
        <v>3</v>
      </c>
      <c r="O109" s="265">
        <v>0</v>
      </c>
      <c r="P109" s="269">
        <v>53.030303030303031</v>
      </c>
      <c r="Q109" s="270">
        <v>53.6</v>
      </c>
      <c r="R109" s="270">
        <v>42.857142857142854</v>
      </c>
      <c r="S109" s="271" t="s">
        <v>928</v>
      </c>
      <c r="T109" s="272">
        <v>56.772100567721012</v>
      </c>
      <c r="U109" s="273">
        <v>59.239610963748895</v>
      </c>
      <c r="V109" s="273">
        <v>37.037037037037038</v>
      </c>
      <c r="W109" s="274" t="s">
        <v>928</v>
      </c>
      <c r="X109" s="279">
        <v>1233</v>
      </c>
      <c r="Y109" s="280">
        <v>1131</v>
      </c>
      <c r="Z109" s="281">
        <v>81</v>
      </c>
      <c r="AA109" s="282">
        <v>21</v>
      </c>
    </row>
    <row r="110" spans="1:27" s="234" customFormat="1" ht="15.75" customHeight="1">
      <c r="A110" s="260" t="s">
        <v>107</v>
      </c>
      <c r="B110" s="532" t="s">
        <v>108</v>
      </c>
      <c r="C110" s="261" t="s">
        <v>272</v>
      </c>
      <c r="D110" s="262">
        <v>1794</v>
      </c>
      <c r="E110" s="263">
        <v>803</v>
      </c>
      <c r="F110" s="264">
        <v>872</v>
      </c>
      <c r="G110" s="265">
        <v>119</v>
      </c>
      <c r="H110" s="266">
        <v>59.855865474442815</v>
      </c>
      <c r="I110" s="267">
        <v>68.433611726606443</v>
      </c>
      <c r="J110" s="267">
        <v>51.023990637799884</v>
      </c>
      <c r="K110" s="268">
        <v>103.65853658536585</v>
      </c>
      <c r="L110" s="262">
        <v>821</v>
      </c>
      <c r="M110" s="263">
        <v>232</v>
      </c>
      <c r="N110" s="264">
        <v>553</v>
      </c>
      <c r="O110" s="265">
        <v>36</v>
      </c>
      <c r="P110" s="269">
        <v>45.763656633221849</v>
      </c>
      <c r="Q110" s="270">
        <v>28.891656288916561</v>
      </c>
      <c r="R110" s="270">
        <v>63.417431192660544</v>
      </c>
      <c r="S110" s="271">
        <v>30.252100840336134</v>
      </c>
      <c r="T110" s="272">
        <v>27.392232750567199</v>
      </c>
      <c r="U110" s="273">
        <v>19.771603886142831</v>
      </c>
      <c r="V110" s="273">
        <v>32.358104154476308</v>
      </c>
      <c r="W110" s="274">
        <v>31.358885017421603</v>
      </c>
      <c r="X110" s="279">
        <v>29972</v>
      </c>
      <c r="Y110" s="280">
        <v>11734</v>
      </c>
      <c r="Z110" s="281">
        <v>17090</v>
      </c>
      <c r="AA110" s="282">
        <v>1148</v>
      </c>
    </row>
    <row r="111" spans="1:27" s="234" customFormat="1" ht="15.75" customHeight="1">
      <c r="A111" s="260" t="s">
        <v>117</v>
      </c>
      <c r="B111" s="532" t="s">
        <v>118</v>
      </c>
      <c r="C111" s="261" t="s">
        <v>275</v>
      </c>
      <c r="D111" s="262">
        <v>385</v>
      </c>
      <c r="E111" s="263">
        <v>187</v>
      </c>
      <c r="F111" s="264">
        <v>176</v>
      </c>
      <c r="G111" s="265">
        <v>22</v>
      </c>
      <c r="H111" s="266">
        <v>81.880051042109741</v>
      </c>
      <c r="I111" s="267">
        <v>75.800567490879615</v>
      </c>
      <c r="J111" s="267">
        <v>82.089552238805965</v>
      </c>
      <c r="K111" s="268">
        <v>241.75824175824175</v>
      </c>
      <c r="L111" s="262">
        <v>252</v>
      </c>
      <c r="M111" s="263">
        <v>96</v>
      </c>
      <c r="N111" s="264">
        <v>144</v>
      </c>
      <c r="O111" s="265">
        <v>12</v>
      </c>
      <c r="P111" s="269">
        <v>65.454545454545453</v>
      </c>
      <c r="Q111" s="270">
        <v>51.336898395721931</v>
      </c>
      <c r="R111" s="270">
        <v>81.818181818181827</v>
      </c>
      <c r="S111" s="271">
        <v>54.54545454545454</v>
      </c>
      <c r="T111" s="272">
        <v>53.594215227562742</v>
      </c>
      <c r="U111" s="273">
        <v>38.913660316173491</v>
      </c>
      <c r="V111" s="273">
        <v>67.164179104477611</v>
      </c>
      <c r="W111" s="274">
        <v>131.86813186813188</v>
      </c>
      <c r="X111" s="279">
        <v>4702</v>
      </c>
      <c r="Y111" s="280">
        <v>2467</v>
      </c>
      <c r="Z111" s="281">
        <v>2144</v>
      </c>
      <c r="AA111" s="282">
        <v>91</v>
      </c>
    </row>
    <row r="112" spans="1:27" s="234" customFormat="1" ht="15.75" customHeight="1">
      <c r="A112" s="260" t="s">
        <v>139</v>
      </c>
      <c r="B112" s="532" t="s">
        <v>140</v>
      </c>
      <c r="C112" s="261" t="s">
        <v>273</v>
      </c>
      <c r="D112" s="262">
        <v>1124</v>
      </c>
      <c r="E112" s="263">
        <v>738</v>
      </c>
      <c r="F112" s="264">
        <v>345</v>
      </c>
      <c r="G112" s="265">
        <v>41</v>
      </c>
      <c r="H112" s="266">
        <v>58.740527828586359</v>
      </c>
      <c r="I112" s="267">
        <v>57.414034541776878</v>
      </c>
      <c r="J112" s="267">
        <v>62.08385819686881</v>
      </c>
      <c r="K112" s="268">
        <v>56.629834254143645</v>
      </c>
      <c r="L112" s="262">
        <v>495</v>
      </c>
      <c r="M112" s="264">
        <v>205</v>
      </c>
      <c r="N112" s="264">
        <v>286</v>
      </c>
      <c r="O112" s="265">
        <v>4</v>
      </c>
      <c r="P112" s="269">
        <v>44.039145907473312</v>
      </c>
      <c r="Q112" s="270">
        <v>27.777777777777779</v>
      </c>
      <c r="R112" s="270">
        <v>82.898550724637673</v>
      </c>
      <c r="S112" s="271">
        <v>9.7560975609756095</v>
      </c>
      <c r="T112" s="272">
        <v>25.86882675725111</v>
      </c>
      <c r="U112" s="273">
        <v>15.948342928271357</v>
      </c>
      <c r="V112" s="273">
        <v>51.466618679143423</v>
      </c>
      <c r="W112" s="274">
        <v>5.5248618784530388</v>
      </c>
      <c r="X112" s="279">
        <v>19135</v>
      </c>
      <c r="Y112" s="280">
        <v>12854</v>
      </c>
      <c r="Z112" s="281">
        <v>5557</v>
      </c>
      <c r="AA112" s="282">
        <v>724</v>
      </c>
    </row>
    <row r="113" spans="1:27" s="234" customFormat="1" ht="15.75" customHeight="1">
      <c r="A113" s="260" t="s">
        <v>143</v>
      </c>
      <c r="B113" s="532" t="s">
        <v>307</v>
      </c>
      <c r="C113" s="261" t="s">
        <v>276</v>
      </c>
      <c r="D113" s="262">
        <v>670</v>
      </c>
      <c r="E113" s="263">
        <v>526</v>
      </c>
      <c r="F113" s="264">
        <v>94</v>
      </c>
      <c r="G113" s="265">
        <v>50</v>
      </c>
      <c r="H113" s="266">
        <v>80.287597363690836</v>
      </c>
      <c r="I113" s="267">
        <v>82.912988650693578</v>
      </c>
      <c r="J113" s="267">
        <v>68.214804063860669</v>
      </c>
      <c r="K113" s="268">
        <v>80.256821829855539</v>
      </c>
      <c r="L113" s="262">
        <v>292</v>
      </c>
      <c r="M113" s="263">
        <v>218</v>
      </c>
      <c r="N113" s="264">
        <v>60</v>
      </c>
      <c r="O113" s="265">
        <v>14</v>
      </c>
      <c r="P113" s="269">
        <v>43.582089552238806</v>
      </c>
      <c r="Q113" s="270">
        <v>41.444866920152087</v>
      </c>
      <c r="R113" s="270">
        <v>63.829787234042556</v>
      </c>
      <c r="S113" s="271">
        <v>28.000000000000004</v>
      </c>
      <c r="T113" s="272">
        <v>34.991012582384663</v>
      </c>
      <c r="U113" s="273">
        <v>34.363177805800753</v>
      </c>
      <c r="V113" s="273">
        <v>43.541364296081277</v>
      </c>
      <c r="W113" s="274">
        <v>22.471910112359549</v>
      </c>
      <c r="X113" s="279">
        <v>8345</v>
      </c>
      <c r="Y113" s="280">
        <v>6344</v>
      </c>
      <c r="Z113" s="281">
        <v>1378</v>
      </c>
      <c r="AA113" s="282">
        <v>623</v>
      </c>
    </row>
    <row r="114" spans="1:27" s="234" customFormat="1" ht="15.75" customHeight="1">
      <c r="A114" s="260" t="s">
        <v>145</v>
      </c>
      <c r="B114" s="532" t="s">
        <v>146</v>
      </c>
      <c r="C114" s="261" t="s">
        <v>276</v>
      </c>
      <c r="D114" s="262">
        <v>21</v>
      </c>
      <c r="E114" s="263">
        <v>17</v>
      </c>
      <c r="F114" s="264">
        <v>2</v>
      </c>
      <c r="G114" s="265">
        <v>2</v>
      </c>
      <c r="H114" s="266">
        <v>6.1278085789320098</v>
      </c>
      <c r="I114" s="267">
        <v>6.8825910931174095</v>
      </c>
      <c r="J114" s="267">
        <v>3.7878787878787881</v>
      </c>
      <c r="K114" s="268">
        <v>4.6620046620046622</v>
      </c>
      <c r="L114" s="262">
        <v>7</v>
      </c>
      <c r="M114" s="263">
        <v>5</v>
      </c>
      <c r="N114" s="264">
        <v>2</v>
      </c>
      <c r="O114" s="265">
        <v>0</v>
      </c>
      <c r="P114" s="269">
        <v>33.333333333333329</v>
      </c>
      <c r="Q114" s="270">
        <v>29.411764705882355</v>
      </c>
      <c r="R114" s="270">
        <v>100</v>
      </c>
      <c r="S114" s="271">
        <v>0</v>
      </c>
      <c r="T114" s="272">
        <v>2.0426028596440036</v>
      </c>
      <c r="U114" s="273">
        <v>2.0242914979757085</v>
      </c>
      <c r="V114" s="273">
        <v>3.7878787878787881</v>
      </c>
      <c r="W114" s="274" t="s">
        <v>928</v>
      </c>
      <c r="X114" s="279">
        <v>3427</v>
      </c>
      <c r="Y114" s="280">
        <v>2470</v>
      </c>
      <c r="Z114" s="281">
        <v>528</v>
      </c>
      <c r="AA114" s="282">
        <v>429</v>
      </c>
    </row>
    <row r="115" spans="1:27" s="234" customFormat="1" ht="15.75" customHeight="1">
      <c r="A115" s="260" t="s">
        <v>159</v>
      </c>
      <c r="B115" s="532" t="s">
        <v>160</v>
      </c>
      <c r="C115" s="261" t="s">
        <v>272</v>
      </c>
      <c r="D115" s="262">
        <v>3012</v>
      </c>
      <c r="E115" s="263">
        <v>1287</v>
      </c>
      <c r="F115" s="264">
        <v>1455</v>
      </c>
      <c r="G115" s="265">
        <v>270</v>
      </c>
      <c r="H115" s="266">
        <v>72.850405127584949</v>
      </c>
      <c r="I115" s="267">
        <v>63.265005161480609</v>
      </c>
      <c r="J115" s="267">
        <v>76.146116809713206</v>
      </c>
      <c r="K115" s="268">
        <v>142.55543822597676</v>
      </c>
      <c r="L115" s="262">
        <v>1461</v>
      </c>
      <c r="M115" s="263">
        <v>314</v>
      </c>
      <c r="N115" s="264">
        <v>1031</v>
      </c>
      <c r="O115" s="265">
        <v>116</v>
      </c>
      <c r="P115" s="269">
        <v>48.505976095617534</v>
      </c>
      <c r="Q115" s="270">
        <v>24.397824397824397</v>
      </c>
      <c r="R115" s="270">
        <v>70.859106529209626</v>
      </c>
      <c r="S115" s="271">
        <v>42.962962962962962</v>
      </c>
      <c r="T115" s="272">
        <v>35.336800096746884</v>
      </c>
      <c r="U115" s="273">
        <v>15.43528486457258</v>
      </c>
      <c r="V115" s="273">
        <v>53.956458028051081</v>
      </c>
      <c r="W115" s="274">
        <v>61.246040126715947</v>
      </c>
      <c r="X115" s="279">
        <v>41345</v>
      </c>
      <c r="Y115" s="280">
        <v>20343</v>
      </c>
      <c r="Z115" s="281">
        <v>19108</v>
      </c>
      <c r="AA115" s="282">
        <v>1894</v>
      </c>
    </row>
    <row r="116" spans="1:27" s="234" customFormat="1" ht="15.75" customHeight="1">
      <c r="A116" s="260" t="s">
        <v>161</v>
      </c>
      <c r="B116" s="532" t="s">
        <v>162</v>
      </c>
      <c r="C116" s="261" t="s">
        <v>272</v>
      </c>
      <c r="D116" s="262">
        <v>3791</v>
      </c>
      <c r="E116" s="263">
        <v>1614</v>
      </c>
      <c r="F116" s="264">
        <v>1901</v>
      </c>
      <c r="G116" s="265">
        <v>276</v>
      </c>
      <c r="H116" s="266">
        <v>68.697448535807482</v>
      </c>
      <c r="I116" s="267">
        <v>64.151993322469096</v>
      </c>
      <c r="J116" s="267">
        <v>70.059703692783955</v>
      </c>
      <c r="K116" s="268">
        <v>95.468695952957461</v>
      </c>
      <c r="L116" s="262">
        <v>1946</v>
      </c>
      <c r="M116" s="263">
        <v>437</v>
      </c>
      <c r="N116" s="264">
        <v>1389</v>
      </c>
      <c r="O116" s="265">
        <v>120</v>
      </c>
      <c r="P116" s="269">
        <v>51.332102347665518</v>
      </c>
      <c r="Q116" s="270">
        <v>27.075588599752169</v>
      </c>
      <c r="R116" s="270">
        <v>73.066806943713829</v>
      </c>
      <c r="S116" s="271">
        <v>43.478260869565219</v>
      </c>
      <c r="T116" s="272">
        <v>35.26384459263555</v>
      </c>
      <c r="U116" s="273">
        <v>17.369529790532216</v>
      </c>
      <c r="V116" s="273">
        <v>51.19038844254441</v>
      </c>
      <c r="W116" s="274">
        <v>41.508128675198897</v>
      </c>
      <c r="X116" s="279">
        <v>55184</v>
      </c>
      <c r="Y116" s="280">
        <v>25159</v>
      </c>
      <c r="Z116" s="281">
        <v>27134</v>
      </c>
      <c r="AA116" s="282">
        <v>2891</v>
      </c>
    </row>
    <row r="117" spans="1:27" s="234" customFormat="1" ht="15.75" customHeight="1">
      <c r="A117" s="260" t="s">
        <v>167</v>
      </c>
      <c r="B117" s="532" t="s">
        <v>168</v>
      </c>
      <c r="C117" s="261" t="s">
        <v>278</v>
      </c>
      <c r="D117" s="262">
        <v>77</v>
      </c>
      <c r="E117" s="263">
        <v>74</v>
      </c>
      <c r="F117" s="264">
        <v>3</v>
      </c>
      <c r="G117" s="265">
        <v>0</v>
      </c>
      <c r="H117" s="266">
        <v>96.129837702871413</v>
      </c>
      <c r="I117" s="267">
        <v>101.50891632373114</v>
      </c>
      <c r="J117" s="267">
        <v>56.60377358490566</v>
      </c>
      <c r="K117" s="268">
        <v>0</v>
      </c>
      <c r="L117" s="262">
        <v>35</v>
      </c>
      <c r="M117" s="263">
        <v>34</v>
      </c>
      <c r="N117" s="264">
        <v>1</v>
      </c>
      <c r="O117" s="265">
        <v>0</v>
      </c>
      <c r="P117" s="269">
        <v>45.454545454545453</v>
      </c>
      <c r="Q117" s="270">
        <v>45.945945945945951</v>
      </c>
      <c r="R117" s="270">
        <v>33.333333333333329</v>
      </c>
      <c r="S117" s="271" t="s">
        <v>928</v>
      </c>
      <c r="T117" s="272">
        <v>43.695380774032465</v>
      </c>
      <c r="U117" s="273">
        <v>46.63923182441701</v>
      </c>
      <c r="V117" s="273">
        <v>18.867924528301884</v>
      </c>
      <c r="W117" s="274" t="s">
        <v>928</v>
      </c>
      <c r="X117" s="279">
        <v>801</v>
      </c>
      <c r="Y117" s="280">
        <v>729</v>
      </c>
      <c r="Z117" s="281">
        <v>53</v>
      </c>
      <c r="AA117" s="282">
        <v>19</v>
      </c>
    </row>
    <row r="118" spans="1:27" s="234" customFormat="1" ht="15.75" customHeight="1">
      <c r="A118" s="260" t="s">
        <v>177</v>
      </c>
      <c r="B118" s="532" t="s">
        <v>178</v>
      </c>
      <c r="C118" s="261" t="s">
        <v>275</v>
      </c>
      <c r="D118" s="262">
        <v>699</v>
      </c>
      <c r="E118" s="263">
        <v>166</v>
      </c>
      <c r="F118" s="264">
        <v>498</v>
      </c>
      <c r="G118" s="265">
        <v>35</v>
      </c>
      <c r="H118" s="266">
        <v>105.00225326723751</v>
      </c>
      <c r="I118" s="267">
        <v>173.45872518286313</v>
      </c>
      <c r="J118" s="267">
        <v>88.880956630376588</v>
      </c>
      <c r="K118" s="268">
        <v>360.82474226804123</v>
      </c>
      <c r="L118" s="262">
        <v>529</v>
      </c>
      <c r="M118" s="263">
        <v>76</v>
      </c>
      <c r="N118" s="264">
        <v>430</v>
      </c>
      <c r="O118" s="265">
        <v>23</v>
      </c>
      <c r="P118" s="269">
        <v>75.679542203147349</v>
      </c>
      <c r="Q118" s="270">
        <v>45.783132530120483</v>
      </c>
      <c r="R118" s="270">
        <v>86.345381526104418</v>
      </c>
      <c r="S118" s="271">
        <v>65.714285714285708</v>
      </c>
      <c r="T118" s="272">
        <v>79.465224575634664</v>
      </c>
      <c r="U118" s="273">
        <v>79.414838035527694</v>
      </c>
      <c r="V118" s="273">
        <v>76.74460110655005</v>
      </c>
      <c r="W118" s="274">
        <v>237.11340206185565</v>
      </c>
      <c r="X118" s="279">
        <v>6657</v>
      </c>
      <c r="Y118" s="280">
        <v>957</v>
      </c>
      <c r="Z118" s="281">
        <v>5603</v>
      </c>
      <c r="AA118" s="282">
        <v>97</v>
      </c>
    </row>
    <row r="119" spans="1:27" s="234" customFormat="1" ht="15.75" customHeight="1">
      <c r="A119" s="260" t="s">
        <v>181</v>
      </c>
      <c r="B119" s="532" t="s">
        <v>182</v>
      </c>
      <c r="C119" s="261" t="s">
        <v>272</v>
      </c>
      <c r="D119" s="262">
        <v>1590</v>
      </c>
      <c r="E119" s="263">
        <v>601</v>
      </c>
      <c r="F119" s="264">
        <v>941</v>
      </c>
      <c r="G119" s="265">
        <v>48</v>
      </c>
      <c r="H119" s="266">
        <v>80.706563118623421</v>
      </c>
      <c r="I119" s="267">
        <v>77.819500194225043</v>
      </c>
      <c r="J119" s="267">
        <v>81.726593712002781</v>
      </c>
      <c r="K119" s="268">
        <v>103.44827586206897</v>
      </c>
      <c r="L119" s="262">
        <v>845</v>
      </c>
      <c r="M119" s="263">
        <v>175</v>
      </c>
      <c r="N119" s="264">
        <v>656</v>
      </c>
      <c r="O119" s="265">
        <v>14</v>
      </c>
      <c r="P119" s="269">
        <v>53.144654088050316</v>
      </c>
      <c r="Q119" s="270">
        <v>29.118136439267889</v>
      </c>
      <c r="R119" s="270">
        <v>69.713071200850166</v>
      </c>
      <c r="S119" s="271">
        <v>29.166666666666668</v>
      </c>
      <c r="T119" s="272">
        <v>42.891223795746406</v>
      </c>
      <c r="U119" s="273">
        <v>22.659588242910786</v>
      </c>
      <c r="V119" s="273">
        <v>56.974118464478032</v>
      </c>
      <c r="W119" s="274">
        <v>30.172413793103448</v>
      </c>
      <c r="X119" s="279">
        <v>19701</v>
      </c>
      <c r="Y119" s="280">
        <v>7723</v>
      </c>
      <c r="Z119" s="281">
        <v>11514</v>
      </c>
      <c r="AA119" s="282">
        <v>464</v>
      </c>
    </row>
    <row r="120" spans="1:27" s="234" customFormat="1" ht="15.75" customHeight="1">
      <c r="A120" s="260" t="s">
        <v>193</v>
      </c>
      <c r="B120" s="532" t="s">
        <v>194</v>
      </c>
      <c r="C120" s="261" t="s">
        <v>278</v>
      </c>
      <c r="D120" s="262">
        <v>139</v>
      </c>
      <c r="E120" s="263">
        <v>119</v>
      </c>
      <c r="F120" s="264">
        <v>17</v>
      </c>
      <c r="G120" s="265">
        <v>3</v>
      </c>
      <c r="H120" s="266">
        <v>24.385964912280702</v>
      </c>
      <c r="I120" s="267">
        <v>23.192360163710777</v>
      </c>
      <c r="J120" s="267">
        <v>38.288288288288285</v>
      </c>
      <c r="K120" s="268">
        <v>24</v>
      </c>
      <c r="L120" s="262">
        <v>68</v>
      </c>
      <c r="M120" s="263">
        <v>55</v>
      </c>
      <c r="N120" s="264">
        <v>13</v>
      </c>
      <c r="O120" s="265">
        <v>0</v>
      </c>
      <c r="P120" s="269">
        <v>48.920863309352519</v>
      </c>
      <c r="Q120" s="270">
        <v>46.218487394957982</v>
      </c>
      <c r="R120" s="270">
        <v>76.470588235294116</v>
      </c>
      <c r="S120" s="271">
        <v>0</v>
      </c>
      <c r="T120" s="272">
        <v>11.929824561403509</v>
      </c>
      <c r="U120" s="273">
        <v>10.719158058857923</v>
      </c>
      <c r="V120" s="273">
        <v>29.27927927927928</v>
      </c>
      <c r="W120" s="274" t="s">
        <v>928</v>
      </c>
      <c r="X120" s="279">
        <v>5700</v>
      </c>
      <c r="Y120" s="280">
        <v>5131</v>
      </c>
      <c r="Z120" s="281">
        <v>444</v>
      </c>
      <c r="AA120" s="282">
        <v>125</v>
      </c>
    </row>
    <row r="121" spans="1:27" s="234" customFormat="1" ht="15.75" customHeight="1">
      <c r="A121" s="260" t="s">
        <v>197</v>
      </c>
      <c r="B121" s="532" t="s">
        <v>198</v>
      </c>
      <c r="C121" s="261" t="s">
        <v>275</v>
      </c>
      <c r="D121" s="262">
        <v>2958</v>
      </c>
      <c r="E121" s="263">
        <v>926</v>
      </c>
      <c r="F121" s="264">
        <v>1709</v>
      </c>
      <c r="G121" s="265">
        <v>323</v>
      </c>
      <c r="H121" s="266">
        <v>56.816872190849367</v>
      </c>
      <c r="I121" s="267">
        <v>37.854631673616218</v>
      </c>
      <c r="J121" s="267">
        <v>68.684189373844546</v>
      </c>
      <c r="K121" s="268">
        <v>118.83738042678441</v>
      </c>
      <c r="L121" s="262">
        <v>1908</v>
      </c>
      <c r="M121" s="263">
        <v>247</v>
      </c>
      <c r="N121" s="264">
        <v>1446</v>
      </c>
      <c r="O121" s="265">
        <v>215</v>
      </c>
      <c r="P121" s="269">
        <v>64.503042596348877</v>
      </c>
      <c r="Q121" s="270">
        <v>26.673866090712746</v>
      </c>
      <c r="R121" s="270">
        <v>84.610883557636043</v>
      </c>
      <c r="S121" s="271">
        <v>66.56346749226006</v>
      </c>
      <c r="T121" s="272">
        <v>36.648611271176676</v>
      </c>
      <c r="U121" s="273">
        <v>10.097293761752923</v>
      </c>
      <c r="V121" s="273">
        <v>58.114299493609842</v>
      </c>
      <c r="W121" s="274">
        <v>79.102281089036055</v>
      </c>
      <c r="X121" s="279">
        <v>52062</v>
      </c>
      <c r="Y121" s="280">
        <v>24462</v>
      </c>
      <c r="Z121" s="281">
        <v>24882</v>
      </c>
      <c r="AA121" s="282">
        <v>2718</v>
      </c>
    </row>
    <row r="122" spans="1:27" s="234" customFormat="1" ht="15.75" customHeight="1">
      <c r="A122" s="260" t="s">
        <v>201</v>
      </c>
      <c r="B122" s="532" t="s">
        <v>202</v>
      </c>
      <c r="C122" s="261" t="s">
        <v>273</v>
      </c>
      <c r="D122" s="262">
        <v>1453</v>
      </c>
      <c r="E122" s="263">
        <v>1007</v>
      </c>
      <c r="F122" s="264">
        <v>418</v>
      </c>
      <c r="G122" s="265">
        <v>28</v>
      </c>
      <c r="H122" s="266">
        <v>73.350497248725333</v>
      </c>
      <c r="I122" s="267">
        <v>78.555269521803567</v>
      </c>
      <c r="J122" s="267">
        <v>65.630397236614854</v>
      </c>
      <c r="K122" s="268">
        <v>45.088566827697264</v>
      </c>
      <c r="L122" s="262">
        <v>815</v>
      </c>
      <c r="M122" s="263">
        <v>478</v>
      </c>
      <c r="N122" s="264">
        <v>329</v>
      </c>
      <c r="O122" s="265">
        <v>8</v>
      </c>
      <c r="P122" s="269">
        <v>56.090846524432216</v>
      </c>
      <c r="Q122" s="270">
        <v>47.467725918570011</v>
      </c>
      <c r="R122" s="270">
        <v>78.708133971291872</v>
      </c>
      <c r="S122" s="271">
        <v>28.571428571428569</v>
      </c>
      <c r="T122" s="272">
        <v>41.142914836690395</v>
      </c>
      <c r="U122" s="273">
        <v>37.288400031203686</v>
      </c>
      <c r="V122" s="273">
        <v>51.656460982885854</v>
      </c>
      <c r="W122" s="274">
        <v>12.882447665056361</v>
      </c>
      <c r="X122" s="279">
        <v>19809</v>
      </c>
      <c r="Y122" s="280">
        <v>12819</v>
      </c>
      <c r="Z122" s="281">
        <v>6369</v>
      </c>
      <c r="AA122" s="282">
        <v>621</v>
      </c>
    </row>
    <row r="123" spans="1:27" s="234" customFormat="1" ht="15.75" customHeight="1">
      <c r="A123" s="260" t="s">
        <v>223</v>
      </c>
      <c r="B123" s="532" t="s">
        <v>224</v>
      </c>
      <c r="C123" s="261" t="s">
        <v>272</v>
      </c>
      <c r="D123" s="262">
        <v>1108</v>
      </c>
      <c r="E123" s="263">
        <v>566</v>
      </c>
      <c r="F123" s="264">
        <v>499</v>
      </c>
      <c r="G123" s="265">
        <v>43</v>
      </c>
      <c r="H123" s="266">
        <v>64.120370370370367</v>
      </c>
      <c r="I123" s="267">
        <v>65.859902257388867</v>
      </c>
      <c r="J123" s="267">
        <v>61.024825730708081</v>
      </c>
      <c r="K123" s="268">
        <v>84.479371316306484</v>
      </c>
      <c r="L123" s="262">
        <v>480</v>
      </c>
      <c r="M123" s="263">
        <v>122</v>
      </c>
      <c r="N123" s="264">
        <v>346</v>
      </c>
      <c r="O123" s="265">
        <v>12</v>
      </c>
      <c r="P123" s="269">
        <v>43.321299638989167</v>
      </c>
      <c r="Q123" s="270">
        <v>21.554770318021202</v>
      </c>
      <c r="R123" s="270">
        <v>69.338677354709418</v>
      </c>
      <c r="S123" s="271">
        <v>27.906976744186046</v>
      </c>
      <c r="T123" s="272">
        <v>27.777777777777775</v>
      </c>
      <c r="U123" s="273">
        <v>14.195950663253432</v>
      </c>
      <c r="V123" s="273">
        <v>42.313807019689371</v>
      </c>
      <c r="W123" s="274">
        <v>23.575638506876228</v>
      </c>
      <c r="X123" s="279">
        <v>17280</v>
      </c>
      <c r="Y123" s="280">
        <v>8594</v>
      </c>
      <c r="Z123" s="281">
        <v>8177</v>
      </c>
      <c r="AA123" s="282">
        <v>509</v>
      </c>
    </row>
    <row r="124" spans="1:27" s="234" customFormat="1" ht="15.75" customHeight="1">
      <c r="A124" s="260" t="s">
        <v>231</v>
      </c>
      <c r="B124" s="532" t="s">
        <v>232</v>
      </c>
      <c r="C124" s="261" t="s">
        <v>272</v>
      </c>
      <c r="D124" s="262">
        <v>6143</v>
      </c>
      <c r="E124" s="263">
        <v>4031</v>
      </c>
      <c r="F124" s="264">
        <v>1463</v>
      </c>
      <c r="G124" s="265">
        <v>649</v>
      </c>
      <c r="H124" s="266">
        <v>64.723111935266346</v>
      </c>
      <c r="I124" s="267">
        <v>62.614557768181669</v>
      </c>
      <c r="J124" s="267">
        <v>64.443661351422776</v>
      </c>
      <c r="K124" s="268">
        <v>82.865168539325836</v>
      </c>
      <c r="L124" s="262">
        <v>1955</v>
      </c>
      <c r="M124" s="263">
        <v>933</v>
      </c>
      <c r="N124" s="264">
        <v>842</v>
      </c>
      <c r="O124" s="265">
        <v>180</v>
      </c>
      <c r="P124" s="269">
        <v>31.824841282760868</v>
      </c>
      <c r="Q124" s="270">
        <v>23.145621433887374</v>
      </c>
      <c r="R124" s="270">
        <v>57.552973342447025</v>
      </c>
      <c r="S124" s="271">
        <v>27.734976887519259</v>
      </c>
      <c r="T124" s="272">
        <v>20.598027646662171</v>
      </c>
      <c r="U124" s="273">
        <v>14.492528503526049</v>
      </c>
      <c r="V124" s="273">
        <v>37.089243238481195</v>
      </c>
      <c r="W124" s="274">
        <v>22.982635342185901</v>
      </c>
      <c r="X124" s="279">
        <v>94912</v>
      </c>
      <c r="Y124" s="280">
        <v>64378</v>
      </c>
      <c r="Z124" s="281">
        <v>22702</v>
      </c>
      <c r="AA124" s="282">
        <v>7832</v>
      </c>
    </row>
    <row r="125" spans="1:27" s="234" customFormat="1" ht="15.75" customHeight="1">
      <c r="A125" s="260" t="s">
        <v>239</v>
      </c>
      <c r="B125" s="532" t="s">
        <v>240</v>
      </c>
      <c r="C125" s="261" t="s">
        <v>272</v>
      </c>
      <c r="D125" s="262">
        <v>86</v>
      </c>
      <c r="E125" s="263">
        <v>55</v>
      </c>
      <c r="F125" s="264">
        <v>17</v>
      </c>
      <c r="G125" s="265">
        <v>14</v>
      </c>
      <c r="H125" s="266">
        <v>18.655097613882862</v>
      </c>
      <c r="I125" s="267">
        <v>15.316067947646895</v>
      </c>
      <c r="J125" s="267">
        <v>28.052805280528052</v>
      </c>
      <c r="K125" s="268">
        <v>33.898305084745765</v>
      </c>
      <c r="L125" s="262">
        <v>32</v>
      </c>
      <c r="M125" s="263">
        <v>14</v>
      </c>
      <c r="N125" s="264">
        <v>9</v>
      </c>
      <c r="O125" s="265">
        <v>9</v>
      </c>
      <c r="P125" s="269">
        <v>37.209302325581397</v>
      </c>
      <c r="Q125" s="270">
        <v>25.454545454545453</v>
      </c>
      <c r="R125" s="270">
        <v>52.941176470588239</v>
      </c>
      <c r="S125" s="271">
        <v>64.285714285714292</v>
      </c>
      <c r="T125" s="272">
        <v>6.9414316702819949</v>
      </c>
      <c r="U125" s="273">
        <v>3.8986354775828458</v>
      </c>
      <c r="V125" s="273">
        <v>14.85148514851485</v>
      </c>
      <c r="W125" s="274">
        <v>21.791767554479417</v>
      </c>
      <c r="X125" s="279">
        <v>4610</v>
      </c>
      <c r="Y125" s="280">
        <v>3591</v>
      </c>
      <c r="Z125" s="281">
        <v>606</v>
      </c>
      <c r="AA125" s="282">
        <v>413</v>
      </c>
    </row>
    <row r="126" spans="1:27" s="234" customFormat="1" ht="15.75" customHeight="1">
      <c r="A126" s="286" t="s">
        <v>241</v>
      </c>
      <c r="B126" s="534" t="s">
        <v>242</v>
      </c>
      <c r="C126" s="287" t="s">
        <v>276</v>
      </c>
      <c r="D126" s="288">
        <v>446</v>
      </c>
      <c r="E126" s="289">
        <v>367</v>
      </c>
      <c r="F126" s="290">
        <v>38</v>
      </c>
      <c r="G126" s="1115">
        <v>41</v>
      </c>
      <c r="H126" s="292">
        <v>80.230257240510895</v>
      </c>
      <c r="I126" s="293">
        <v>79.145999568686648</v>
      </c>
      <c r="J126" s="293">
        <v>56.971514242878555</v>
      </c>
      <c r="K126" s="294">
        <v>160.78431372549022</v>
      </c>
      <c r="L126" s="288">
        <v>241</v>
      </c>
      <c r="M126" s="289">
        <v>197</v>
      </c>
      <c r="N126" s="290">
        <v>24</v>
      </c>
      <c r="O126" s="291">
        <v>20</v>
      </c>
      <c r="P126" s="295">
        <v>54.035874439461885</v>
      </c>
      <c r="Q126" s="296">
        <v>53.678474114441421</v>
      </c>
      <c r="R126" s="296">
        <v>63.157894736842103</v>
      </c>
      <c r="S126" s="297">
        <v>48.780487804878049</v>
      </c>
      <c r="T126" s="298">
        <v>43.353121064939735</v>
      </c>
      <c r="U126" s="299">
        <v>42.484364891093378</v>
      </c>
      <c r="V126" s="299">
        <v>35.982008995502248</v>
      </c>
      <c r="W126" s="300">
        <v>78.431372549019613</v>
      </c>
      <c r="X126" s="301">
        <v>5559</v>
      </c>
      <c r="Y126" s="302">
        <v>4637</v>
      </c>
      <c r="Z126" s="303">
        <v>667</v>
      </c>
      <c r="AA126" s="304">
        <v>255</v>
      </c>
    </row>
    <row r="127" spans="1:27" ht="34.5" customHeight="1">
      <c r="A127" s="1364" t="s">
        <v>1003</v>
      </c>
      <c r="B127" s="1364"/>
      <c r="C127" s="1364"/>
      <c r="D127" s="1364"/>
      <c r="E127" s="1364"/>
      <c r="F127" s="1364"/>
      <c r="G127" s="1364"/>
      <c r="H127" s="1364"/>
      <c r="I127" s="1364"/>
      <c r="J127" s="1364"/>
    </row>
    <row r="128" spans="1:27" s="519" customFormat="1" ht="12.75">
      <c r="A128" s="519" t="s">
        <v>250</v>
      </c>
    </row>
    <row r="129" spans="1:2" s="519" customFormat="1" ht="12.75">
      <c r="A129" s="536" t="s">
        <v>251</v>
      </c>
      <c r="B129" s="407" t="s">
        <v>252</v>
      </c>
    </row>
  </sheetData>
  <mergeCells count="12">
    <mergeCell ref="A127:J127"/>
    <mergeCell ref="A1:L1"/>
    <mergeCell ref="E2:H2"/>
    <mergeCell ref="X3:AA4"/>
    <mergeCell ref="A4:A5"/>
    <mergeCell ref="B4:B5"/>
    <mergeCell ref="C4:C5"/>
    <mergeCell ref="D4:G4"/>
    <mergeCell ref="H4:K4"/>
    <mergeCell ref="L4:O4"/>
    <mergeCell ref="P4:S4"/>
    <mergeCell ref="T4:W4"/>
  </mergeCells>
  <hyperlinks>
    <hyperlink ref="B129" r:id="rId1"/>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Q130"/>
  <sheetViews>
    <sheetView workbookViewId="0">
      <pane ySplit="6" topLeftCell="A7" activePane="bottomLeft" state="frozen"/>
      <selection pane="bottomLeft" activeCell="B14" sqref="B14"/>
    </sheetView>
  </sheetViews>
  <sheetFormatPr defaultRowHeight="12.75"/>
  <cols>
    <col min="1" max="1" width="6.125" style="654" bestFit="1" customWidth="1"/>
    <col min="2" max="2" width="26.375" style="652" customWidth="1"/>
    <col min="3" max="3" width="9.25" style="652" customWidth="1"/>
    <col min="4" max="4" width="1.75" style="652" customWidth="1"/>
    <col min="5" max="7" width="10.875" style="653" customWidth="1"/>
    <col min="8" max="8" width="1.375" style="653" customWidth="1"/>
    <col min="9" max="10" width="13.5" style="654" customWidth="1"/>
    <col min="11" max="11" width="2.625" style="654" customWidth="1"/>
    <col min="12" max="14" width="10.375" style="654" customWidth="1"/>
    <col min="15" max="15" width="2.125" style="654" customWidth="1"/>
    <col min="16" max="17" width="10.375" style="654" customWidth="1"/>
    <col min="18" max="16384" width="9" style="654"/>
  </cols>
  <sheetData>
    <row r="1" spans="1:17" ht="15.75">
      <c r="A1" s="108" t="s">
        <v>961</v>
      </c>
    </row>
    <row r="3" spans="1:17">
      <c r="B3" s="654"/>
      <c r="C3" s="654"/>
      <c r="D3" s="654"/>
    </row>
    <row r="4" spans="1:17" ht="44.25" customHeight="1">
      <c r="E4" s="1388" t="s">
        <v>962</v>
      </c>
      <c r="F4" s="1388"/>
      <c r="G4" s="1388"/>
      <c r="H4" s="404"/>
      <c r="I4" s="1388" t="s">
        <v>963</v>
      </c>
      <c r="J4" s="1388"/>
      <c r="L4" s="1388" t="s">
        <v>971</v>
      </c>
      <c r="M4" s="1388"/>
      <c r="N4" s="1388"/>
      <c r="O4" s="404"/>
      <c r="P4" s="1388" t="s">
        <v>972</v>
      </c>
      <c r="Q4" s="1388"/>
    </row>
    <row r="5" spans="1:17">
      <c r="A5" s="655" t="s">
        <v>4</v>
      </c>
      <c r="B5" s="656" t="s">
        <v>964</v>
      </c>
      <c r="C5" s="656" t="s">
        <v>253</v>
      </c>
      <c r="D5" s="657"/>
      <c r="E5" s="512" t="s">
        <v>328</v>
      </c>
      <c r="F5" s="513" t="s">
        <v>950</v>
      </c>
      <c r="G5" s="511" t="s">
        <v>965</v>
      </c>
      <c r="H5" s="404"/>
      <c r="I5" s="512" t="s">
        <v>950</v>
      </c>
      <c r="J5" s="511" t="s">
        <v>965</v>
      </c>
      <c r="L5" s="512" t="s">
        <v>328</v>
      </c>
      <c r="M5" s="513" t="s">
        <v>950</v>
      </c>
      <c r="N5" s="511" t="s">
        <v>965</v>
      </c>
      <c r="O5" s="404"/>
      <c r="P5" s="512" t="s">
        <v>950</v>
      </c>
      <c r="Q5" s="511" t="s">
        <v>965</v>
      </c>
    </row>
    <row r="6" spans="1:17">
      <c r="A6" s="658" t="s">
        <v>8</v>
      </c>
      <c r="B6" s="659" t="s">
        <v>9</v>
      </c>
      <c r="C6" s="659"/>
      <c r="D6" s="660"/>
      <c r="E6" s="661">
        <v>1688168</v>
      </c>
      <c r="F6" s="662">
        <v>1534844</v>
      </c>
      <c r="G6" s="663">
        <v>153324</v>
      </c>
      <c r="H6" s="404"/>
      <c r="I6" s="664">
        <f>F6/E6</f>
        <v>0.90917728567298994</v>
      </c>
      <c r="J6" s="665">
        <f>G6/E6</f>
        <v>9.0822714327010112E-2</v>
      </c>
      <c r="K6" s="109"/>
      <c r="L6" s="661">
        <v>698173</v>
      </c>
      <c r="M6" s="662">
        <v>644610</v>
      </c>
      <c r="N6" s="663">
        <v>53563</v>
      </c>
      <c r="O6" s="666"/>
      <c r="P6" s="664">
        <f>M6/L6</f>
        <v>0.92328119248381135</v>
      </c>
      <c r="Q6" s="665">
        <f>N6/L6</f>
        <v>7.6718807516188675E-2</v>
      </c>
    </row>
    <row r="7" spans="1:17">
      <c r="A7" s="667" t="s">
        <v>10</v>
      </c>
      <c r="B7" s="668" t="s">
        <v>11</v>
      </c>
      <c r="C7" s="669" t="s">
        <v>272</v>
      </c>
      <c r="D7" s="669"/>
      <c r="E7" s="670">
        <v>7353</v>
      </c>
      <c r="F7" s="671">
        <v>6603</v>
      </c>
      <c r="G7" s="672">
        <v>750</v>
      </c>
      <c r="I7" s="673">
        <f t="shared" ref="I7:I70" si="0">F7/E7</f>
        <v>0.89800081599347203</v>
      </c>
      <c r="J7" s="674">
        <f t="shared" ref="J7:J70" si="1">G7/E7</f>
        <v>0.10199918400652795</v>
      </c>
      <c r="L7" s="675">
        <v>2269</v>
      </c>
      <c r="M7" s="675">
        <v>1955</v>
      </c>
      <c r="N7" s="675">
        <v>314</v>
      </c>
      <c r="P7" s="676">
        <f t="shared" ref="P7:P70" si="2">M7/L7</f>
        <v>0.86161304539444694</v>
      </c>
      <c r="Q7" s="676">
        <f t="shared" ref="Q7:Q70" si="3">N7/L7</f>
        <v>0.13838695460555311</v>
      </c>
    </row>
    <row r="8" spans="1:17">
      <c r="A8" s="667" t="s">
        <v>12</v>
      </c>
      <c r="B8" s="668" t="s">
        <v>13</v>
      </c>
      <c r="C8" s="669" t="s">
        <v>273</v>
      </c>
      <c r="D8" s="669"/>
      <c r="E8" s="670">
        <v>21565</v>
      </c>
      <c r="F8" s="671">
        <v>19600</v>
      </c>
      <c r="G8" s="672">
        <v>1965</v>
      </c>
      <c r="I8" s="673">
        <f t="shared" si="0"/>
        <v>0.90888012984001854</v>
      </c>
      <c r="J8" s="674">
        <f t="shared" si="1"/>
        <v>9.111987015998145E-2</v>
      </c>
      <c r="L8" s="675">
        <v>8644</v>
      </c>
      <c r="M8" s="675">
        <v>8018</v>
      </c>
      <c r="N8" s="675">
        <v>626</v>
      </c>
      <c r="P8" s="676">
        <f t="shared" si="2"/>
        <v>0.92757982415548357</v>
      </c>
      <c r="Q8" s="676">
        <f t="shared" si="3"/>
        <v>7.2420175844516432E-2</v>
      </c>
    </row>
    <row r="9" spans="1:17">
      <c r="A9" s="667" t="s">
        <v>16</v>
      </c>
      <c r="B9" s="668" t="s">
        <v>364</v>
      </c>
      <c r="C9" s="669" t="s">
        <v>273</v>
      </c>
      <c r="D9" s="669"/>
      <c r="E9" s="670">
        <v>5221</v>
      </c>
      <c r="F9" s="671">
        <v>4691</v>
      </c>
      <c r="G9" s="672">
        <v>530</v>
      </c>
      <c r="I9" s="673">
        <f t="shared" si="0"/>
        <v>0.89848687990806364</v>
      </c>
      <c r="J9" s="674">
        <f t="shared" si="1"/>
        <v>0.10151312009193642</v>
      </c>
      <c r="L9" s="675">
        <v>1779</v>
      </c>
      <c r="M9" s="675">
        <v>1555</v>
      </c>
      <c r="N9" s="675">
        <v>224</v>
      </c>
      <c r="P9" s="676">
        <f t="shared" si="2"/>
        <v>0.87408656548622821</v>
      </c>
      <c r="Q9" s="676">
        <f t="shared" si="3"/>
        <v>0.12591343451377179</v>
      </c>
    </row>
    <row r="10" spans="1:17">
      <c r="A10" s="667" t="s">
        <v>18</v>
      </c>
      <c r="B10" s="668" t="s">
        <v>19</v>
      </c>
      <c r="C10" s="669" t="s">
        <v>275</v>
      </c>
      <c r="D10" s="669"/>
      <c r="E10" s="670">
        <v>3038</v>
      </c>
      <c r="F10" s="671">
        <v>2770</v>
      </c>
      <c r="G10" s="672">
        <v>268</v>
      </c>
      <c r="I10" s="673">
        <f t="shared" si="0"/>
        <v>0.91178406846609616</v>
      </c>
      <c r="J10" s="674">
        <f t="shared" si="1"/>
        <v>8.8215931533903891E-2</v>
      </c>
      <c r="L10" s="675">
        <v>1040</v>
      </c>
      <c r="M10" s="675">
        <v>937</v>
      </c>
      <c r="N10" s="675">
        <v>103</v>
      </c>
      <c r="P10" s="676">
        <f t="shared" si="2"/>
        <v>0.90096153846153848</v>
      </c>
      <c r="Q10" s="676">
        <f t="shared" si="3"/>
        <v>9.9038461538461534E-2</v>
      </c>
    </row>
    <row r="11" spans="1:17">
      <c r="A11" s="667" t="s">
        <v>20</v>
      </c>
      <c r="B11" s="668" t="s">
        <v>21</v>
      </c>
      <c r="C11" s="669" t="s">
        <v>273</v>
      </c>
      <c r="D11" s="669"/>
      <c r="E11" s="670">
        <v>7187</v>
      </c>
      <c r="F11" s="671">
        <v>6499</v>
      </c>
      <c r="G11" s="672">
        <v>688</v>
      </c>
      <c r="I11" s="673">
        <f t="shared" si="0"/>
        <v>0.90427160150271324</v>
      </c>
      <c r="J11" s="674">
        <f t="shared" si="1"/>
        <v>9.5728398497286774E-2</v>
      </c>
      <c r="L11" s="675">
        <v>2536</v>
      </c>
      <c r="M11" s="675">
        <v>2238</v>
      </c>
      <c r="N11" s="675">
        <v>298</v>
      </c>
      <c r="P11" s="676">
        <f t="shared" si="2"/>
        <v>0.88249211356466872</v>
      </c>
      <c r="Q11" s="676">
        <f t="shared" si="3"/>
        <v>0.11750788643533124</v>
      </c>
    </row>
    <row r="12" spans="1:17">
      <c r="A12" s="667" t="s">
        <v>22</v>
      </c>
      <c r="B12" s="668" t="s">
        <v>23</v>
      </c>
      <c r="C12" s="669" t="s">
        <v>273</v>
      </c>
      <c r="D12" s="669"/>
      <c r="E12" s="670">
        <v>3614</v>
      </c>
      <c r="F12" s="671">
        <v>3301</v>
      </c>
      <c r="G12" s="672">
        <v>313</v>
      </c>
      <c r="I12" s="673">
        <f t="shared" si="0"/>
        <v>0.91339236303265081</v>
      </c>
      <c r="J12" s="674">
        <f t="shared" si="1"/>
        <v>8.6607636967349202E-2</v>
      </c>
      <c r="L12" s="675">
        <v>1230</v>
      </c>
      <c r="M12" s="675">
        <v>1092</v>
      </c>
      <c r="N12" s="675">
        <v>138</v>
      </c>
      <c r="P12" s="676">
        <f t="shared" si="2"/>
        <v>0.8878048780487805</v>
      </c>
      <c r="Q12" s="676">
        <f t="shared" si="3"/>
        <v>0.11219512195121951</v>
      </c>
    </row>
    <row r="13" spans="1:17">
      <c r="A13" s="667" t="s">
        <v>24</v>
      </c>
      <c r="B13" s="668" t="s">
        <v>25</v>
      </c>
      <c r="C13" s="669" t="s">
        <v>276</v>
      </c>
      <c r="D13" s="669"/>
      <c r="E13" s="670">
        <v>38502</v>
      </c>
      <c r="F13" s="671">
        <v>33218</v>
      </c>
      <c r="G13" s="672">
        <v>5284</v>
      </c>
      <c r="I13" s="673">
        <f t="shared" si="0"/>
        <v>0.86276037608435929</v>
      </c>
      <c r="J13" s="674">
        <f t="shared" si="1"/>
        <v>0.13723962391564073</v>
      </c>
      <c r="L13" s="675">
        <v>14733</v>
      </c>
      <c r="M13" s="675">
        <v>14228</v>
      </c>
      <c r="N13" s="675">
        <v>505</v>
      </c>
      <c r="P13" s="676">
        <f t="shared" si="2"/>
        <v>0.96572320640738474</v>
      </c>
      <c r="Q13" s="676">
        <f t="shared" si="3"/>
        <v>3.4276793592615221E-2</v>
      </c>
    </row>
    <row r="14" spans="1:17">
      <c r="A14" s="667" t="s">
        <v>26</v>
      </c>
      <c r="B14" s="668" t="s">
        <v>1114</v>
      </c>
      <c r="C14" s="669" t="s">
        <v>273</v>
      </c>
      <c r="D14" s="669"/>
      <c r="E14" s="670">
        <v>27621</v>
      </c>
      <c r="F14" s="671">
        <v>24834</v>
      </c>
      <c r="G14" s="672">
        <v>2787</v>
      </c>
      <c r="I14" s="673">
        <f t="shared" si="0"/>
        <v>0.89909851200173785</v>
      </c>
      <c r="J14" s="674">
        <f t="shared" si="1"/>
        <v>0.10090148799826219</v>
      </c>
      <c r="L14" s="675">
        <v>9620</v>
      </c>
      <c r="M14" s="675">
        <v>8571</v>
      </c>
      <c r="N14" s="675">
        <v>1049</v>
      </c>
      <c r="P14" s="676">
        <f t="shared" si="2"/>
        <v>0.89095634095634091</v>
      </c>
      <c r="Q14" s="676">
        <f t="shared" si="3"/>
        <v>0.10904365904365905</v>
      </c>
    </row>
    <row r="15" spans="1:17">
      <c r="A15" s="667" t="s">
        <v>27</v>
      </c>
      <c r="B15" s="668" t="s">
        <v>28</v>
      </c>
      <c r="C15" s="669" t="s">
        <v>273</v>
      </c>
      <c r="D15" s="669"/>
      <c r="E15" s="670">
        <v>1205</v>
      </c>
      <c r="F15" s="671">
        <v>1090</v>
      </c>
      <c r="G15" s="672">
        <v>115</v>
      </c>
      <c r="I15" s="673">
        <f t="shared" si="0"/>
        <v>0.9045643153526971</v>
      </c>
      <c r="J15" s="674">
        <f t="shared" si="1"/>
        <v>9.5435684647302899E-2</v>
      </c>
      <c r="L15" s="675">
        <v>355</v>
      </c>
      <c r="M15" s="675">
        <v>322</v>
      </c>
      <c r="N15" s="675">
        <v>33</v>
      </c>
      <c r="P15" s="676">
        <f t="shared" si="2"/>
        <v>0.90704225352112677</v>
      </c>
      <c r="Q15" s="676">
        <f t="shared" si="3"/>
        <v>9.295774647887324E-2</v>
      </c>
    </row>
    <row r="16" spans="1:17">
      <c r="A16" s="667" t="s">
        <v>29</v>
      </c>
      <c r="B16" s="668" t="s">
        <v>886</v>
      </c>
      <c r="C16" s="669" t="s">
        <v>273</v>
      </c>
      <c r="D16" s="669"/>
      <c r="E16" s="670">
        <v>19414</v>
      </c>
      <c r="F16" s="671">
        <v>18072</v>
      </c>
      <c r="G16" s="672">
        <v>1342</v>
      </c>
      <c r="I16" s="673">
        <f t="shared" si="0"/>
        <v>0.93087462655815389</v>
      </c>
      <c r="J16" s="674">
        <f t="shared" si="1"/>
        <v>6.9125373441846091E-2</v>
      </c>
      <c r="L16" s="675">
        <v>6823</v>
      </c>
      <c r="M16" s="675">
        <v>6351</v>
      </c>
      <c r="N16" s="675">
        <v>472</v>
      </c>
      <c r="P16" s="676">
        <f t="shared" si="2"/>
        <v>0.93082221896526451</v>
      </c>
      <c r="Q16" s="676">
        <f t="shared" si="3"/>
        <v>6.9177781034735458E-2</v>
      </c>
    </row>
    <row r="17" spans="1:17">
      <c r="A17" s="667" t="s">
        <v>31</v>
      </c>
      <c r="B17" s="668" t="s">
        <v>32</v>
      </c>
      <c r="C17" s="669" t="s">
        <v>278</v>
      </c>
      <c r="D17" s="669"/>
      <c r="E17" s="670">
        <v>1613</v>
      </c>
      <c r="F17" s="671">
        <v>1499</v>
      </c>
      <c r="G17" s="672">
        <v>114</v>
      </c>
      <c r="I17" s="673">
        <f t="shared" si="0"/>
        <v>0.92932424054556728</v>
      </c>
      <c r="J17" s="674">
        <f t="shared" si="1"/>
        <v>7.0675759454432732E-2</v>
      </c>
      <c r="L17" s="675">
        <v>486</v>
      </c>
      <c r="M17" s="675">
        <v>451</v>
      </c>
      <c r="N17" s="675">
        <v>35</v>
      </c>
      <c r="P17" s="676">
        <f t="shared" si="2"/>
        <v>0.92798353909465026</v>
      </c>
      <c r="Q17" s="676">
        <f t="shared" si="3"/>
        <v>7.2016460905349799E-2</v>
      </c>
    </row>
    <row r="18" spans="1:17">
      <c r="A18" s="667" t="s">
        <v>33</v>
      </c>
      <c r="B18" s="668" t="s">
        <v>34</v>
      </c>
      <c r="C18" s="669" t="s">
        <v>273</v>
      </c>
      <c r="D18" s="669"/>
      <c r="E18" s="670">
        <v>8784</v>
      </c>
      <c r="F18" s="671">
        <v>8271</v>
      </c>
      <c r="G18" s="672">
        <v>513</v>
      </c>
      <c r="I18" s="673">
        <f t="shared" si="0"/>
        <v>0.94159836065573765</v>
      </c>
      <c r="J18" s="674">
        <f t="shared" si="1"/>
        <v>5.8401639344262297E-2</v>
      </c>
      <c r="L18" s="675">
        <v>3140</v>
      </c>
      <c r="M18" s="675">
        <v>2972</v>
      </c>
      <c r="N18" s="675">
        <v>168</v>
      </c>
      <c r="P18" s="676">
        <f t="shared" si="2"/>
        <v>0.94649681528662422</v>
      </c>
      <c r="Q18" s="676">
        <f t="shared" si="3"/>
        <v>5.3503184713375798E-2</v>
      </c>
    </row>
    <row r="19" spans="1:17">
      <c r="A19" s="667" t="s">
        <v>37</v>
      </c>
      <c r="B19" s="668" t="s">
        <v>38</v>
      </c>
      <c r="C19" s="669" t="s">
        <v>272</v>
      </c>
      <c r="D19" s="669"/>
      <c r="E19" s="670">
        <v>3029</v>
      </c>
      <c r="F19" s="671">
        <v>2666</v>
      </c>
      <c r="G19" s="672">
        <v>363</v>
      </c>
      <c r="I19" s="673">
        <f t="shared" si="0"/>
        <v>0.88015846814130072</v>
      </c>
      <c r="J19" s="674">
        <f t="shared" si="1"/>
        <v>0.11984153185869924</v>
      </c>
      <c r="L19" s="675">
        <v>913</v>
      </c>
      <c r="M19" s="675">
        <v>741</v>
      </c>
      <c r="N19" s="675">
        <v>172</v>
      </c>
      <c r="P19" s="676">
        <f t="shared" si="2"/>
        <v>0.81161007667031759</v>
      </c>
      <c r="Q19" s="676">
        <f t="shared" si="3"/>
        <v>0.18838992332968238</v>
      </c>
    </row>
    <row r="20" spans="1:17">
      <c r="A20" s="667" t="s">
        <v>39</v>
      </c>
      <c r="B20" s="668" t="s">
        <v>40</v>
      </c>
      <c r="C20" s="669" t="s">
        <v>278</v>
      </c>
      <c r="D20" s="669"/>
      <c r="E20" s="670">
        <v>5701</v>
      </c>
      <c r="F20" s="671">
        <v>5346</v>
      </c>
      <c r="G20" s="672">
        <v>355</v>
      </c>
      <c r="I20" s="673">
        <f t="shared" si="0"/>
        <v>0.9377302227679355</v>
      </c>
      <c r="J20" s="674">
        <f t="shared" si="1"/>
        <v>6.2269777232064553E-2</v>
      </c>
      <c r="L20" s="675">
        <v>1790</v>
      </c>
      <c r="M20" s="675">
        <v>1644</v>
      </c>
      <c r="N20" s="675">
        <v>146</v>
      </c>
      <c r="P20" s="676">
        <f t="shared" si="2"/>
        <v>0.91843575418994416</v>
      </c>
      <c r="Q20" s="676">
        <f t="shared" si="3"/>
        <v>8.1564245810055863E-2</v>
      </c>
    </row>
    <row r="21" spans="1:17">
      <c r="A21" s="667" t="s">
        <v>41</v>
      </c>
      <c r="B21" s="668" t="s">
        <v>42</v>
      </c>
      <c r="C21" s="669" t="s">
        <v>275</v>
      </c>
      <c r="D21" s="669"/>
      <c r="E21" s="670">
        <v>3271</v>
      </c>
      <c r="F21" s="671">
        <v>2867</v>
      </c>
      <c r="G21" s="672">
        <v>404</v>
      </c>
      <c r="I21" s="673">
        <f t="shared" si="0"/>
        <v>0.87649036991745644</v>
      </c>
      <c r="J21" s="674">
        <f t="shared" si="1"/>
        <v>0.12350963008254356</v>
      </c>
      <c r="L21" s="675">
        <v>1127</v>
      </c>
      <c r="M21" s="675">
        <v>949</v>
      </c>
      <c r="N21" s="675">
        <v>178</v>
      </c>
      <c r="P21" s="676">
        <f t="shared" si="2"/>
        <v>0.84205856255545697</v>
      </c>
      <c r="Q21" s="676">
        <f t="shared" si="3"/>
        <v>0.15794143744454303</v>
      </c>
    </row>
    <row r="22" spans="1:17">
      <c r="A22" s="667" t="s">
        <v>43</v>
      </c>
      <c r="B22" s="668" t="s">
        <v>44</v>
      </c>
      <c r="C22" s="669" t="s">
        <v>273</v>
      </c>
      <c r="D22" s="669"/>
      <c r="E22" s="670">
        <v>12666</v>
      </c>
      <c r="F22" s="671">
        <v>11598</v>
      </c>
      <c r="G22" s="672">
        <v>1068</v>
      </c>
      <c r="I22" s="673">
        <f t="shared" si="0"/>
        <v>0.91567977261961153</v>
      </c>
      <c r="J22" s="674">
        <f t="shared" si="1"/>
        <v>8.4320227380388441E-2</v>
      </c>
      <c r="L22" s="675">
        <v>4621</v>
      </c>
      <c r="M22" s="675">
        <v>4181</v>
      </c>
      <c r="N22" s="675">
        <v>440</v>
      </c>
      <c r="P22" s="676">
        <f t="shared" si="2"/>
        <v>0.90478251460722792</v>
      </c>
      <c r="Q22" s="676">
        <f t="shared" si="3"/>
        <v>9.5217485392772125E-2</v>
      </c>
    </row>
    <row r="23" spans="1:17">
      <c r="A23" s="667" t="s">
        <v>45</v>
      </c>
      <c r="B23" s="668" t="s">
        <v>46</v>
      </c>
      <c r="C23" s="669" t="s">
        <v>275</v>
      </c>
      <c r="D23" s="669"/>
      <c r="E23" s="670">
        <v>6213</v>
      </c>
      <c r="F23" s="671">
        <v>5487</v>
      </c>
      <c r="G23" s="672">
        <v>726</v>
      </c>
      <c r="I23" s="673">
        <f t="shared" si="0"/>
        <v>0.88314823756639305</v>
      </c>
      <c r="J23" s="674">
        <f t="shared" si="1"/>
        <v>0.11685176243360695</v>
      </c>
      <c r="L23" s="675">
        <v>2422</v>
      </c>
      <c r="M23" s="675">
        <v>2104</v>
      </c>
      <c r="N23" s="675">
        <v>318</v>
      </c>
      <c r="P23" s="676">
        <f t="shared" si="2"/>
        <v>0.86870355078447559</v>
      </c>
      <c r="Q23" s="676">
        <f t="shared" si="3"/>
        <v>0.13129644921552436</v>
      </c>
    </row>
    <row r="24" spans="1:17">
      <c r="A24" s="667" t="s">
        <v>47</v>
      </c>
      <c r="B24" s="668" t="s">
        <v>48</v>
      </c>
      <c r="C24" s="669" t="s">
        <v>278</v>
      </c>
      <c r="D24" s="669"/>
      <c r="E24" s="670">
        <v>7489</v>
      </c>
      <c r="F24" s="671">
        <v>6888</v>
      </c>
      <c r="G24" s="672">
        <v>601</v>
      </c>
      <c r="I24" s="673">
        <f t="shared" si="0"/>
        <v>0.91974896514888504</v>
      </c>
      <c r="J24" s="674">
        <f t="shared" si="1"/>
        <v>8.0251034851114969E-2</v>
      </c>
      <c r="L24" s="675">
        <v>2421</v>
      </c>
      <c r="M24" s="675">
        <v>2165</v>
      </c>
      <c r="N24" s="675">
        <v>256</v>
      </c>
      <c r="P24" s="676">
        <f t="shared" si="2"/>
        <v>0.89425857083849647</v>
      </c>
      <c r="Q24" s="676">
        <f t="shared" si="3"/>
        <v>0.10574142916150352</v>
      </c>
    </row>
    <row r="25" spans="1:17">
      <c r="A25" s="667" t="s">
        <v>49</v>
      </c>
      <c r="B25" s="668" t="s">
        <v>279</v>
      </c>
      <c r="C25" s="669" t="s">
        <v>275</v>
      </c>
      <c r="D25" s="669"/>
      <c r="E25" s="670">
        <v>1642</v>
      </c>
      <c r="F25" s="671">
        <v>1485</v>
      </c>
      <c r="G25" s="672">
        <v>157</v>
      </c>
      <c r="I25" s="673">
        <f t="shared" si="0"/>
        <v>0.90438489646772224</v>
      </c>
      <c r="J25" s="674">
        <f t="shared" si="1"/>
        <v>9.5615103532277715E-2</v>
      </c>
      <c r="L25" s="675">
        <v>444</v>
      </c>
      <c r="M25" s="675">
        <v>392</v>
      </c>
      <c r="N25" s="675">
        <v>52</v>
      </c>
      <c r="P25" s="676">
        <f t="shared" si="2"/>
        <v>0.88288288288288286</v>
      </c>
      <c r="Q25" s="676">
        <f t="shared" si="3"/>
        <v>0.11711711711711711</v>
      </c>
    </row>
    <row r="26" spans="1:17">
      <c r="A26" s="667" t="s">
        <v>51</v>
      </c>
      <c r="B26" s="668" t="s">
        <v>52</v>
      </c>
      <c r="C26" s="669" t="s">
        <v>273</v>
      </c>
      <c r="D26" s="669"/>
      <c r="E26" s="670">
        <v>2715</v>
      </c>
      <c r="F26" s="671">
        <v>2463</v>
      </c>
      <c r="G26" s="672">
        <v>252</v>
      </c>
      <c r="I26" s="673">
        <f t="shared" si="0"/>
        <v>0.90718232044198899</v>
      </c>
      <c r="J26" s="674">
        <f t="shared" si="1"/>
        <v>9.2817679558011054E-2</v>
      </c>
      <c r="L26" s="675">
        <v>903</v>
      </c>
      <c r="M26" s="675">
        <v>811</v>
      </c>
      <c r="N26" s="675">
        <v>92</v>
      </c>
      <c r="P26" s="676">
        <f t="shared" si="2"/>
        <v>0.89811738648947947</v>
      </c>
      <c r="Q26" s="676">
        <f t="shared" si="3"/>
        <v>0.10188261351052048</v>
      </c>
    </row>
    <row r="27" spans="1:17">
      <c r="A27" s="667" t="s">
        <v>57</v>
      </c>
      <c r="B27" s="668" t="s">
        <v>362</v>
      </c>
      <c r="C27" s="669" t="s">
        <v>275</v>
      </c>
      <c r="D27" s="669"/>
      <c r="E27" s="670">
        <v>75033</v>
      </c>
      <c r="F27" s="671">
        <v>69143</v>
      </c>
      <c r="G27" s="672">
        <v>5890</v>
      </c>
      <c r="I27" s="673">
        <f t="shared" si="0"/>
        <v>0.92150120613596687</v>
      </c>
      <c r="J27" s="674">
        <f t="shared" si="1"/>
        <v>7.8498793864033162E-2</v>
      </c>
      <c r="L27" s="675">
        <v>33204</v>
      </c>
      <c r="M27" s="675">
        <v>30858</v>
      </c>
      <c r="N27" s="675">
        <v>2346</v>
      </c>
      <c r="P27" s="676">
        <f t="shared" si="2"/>
        <v>0.9293458619443441</v>
      </c>
      <c r="Q27" s="676">
        <f t="shared" si="3"/>
        <v>7.0654138055655943E-2</v>
      </c>
    </row>
    <row r="28" spans="1:17">
      <c r="A28" s="667" t="s">
        <v>59</v>
      </c>
      <c r="B28" s="668" t="s">
        <v>60</v>
      </c>
      <c r="C28" s="669" t="s">
        <v>276</v>
      </c>
      <c r="D28" s="669"/>
      <c r="E28" s="670">
        <v>3385</v>
      </c>
      <c r="F28" s="671">
        <v>3091</v>
      </c>
      <c r="G28" s="672">
        <v>294</v>
      </c>
      <c r="I28" s="673">
        <f t="shared" si="0"/>
        <v>0.91314623338257017</v>
      </c>
      <c r="J28" s="674">
        <f t="shared" si="1"/>
        <v>8.6853766617429842E-2</v>
      </c>
      <c r="L28" s="675">
        <v>1282</v>
      </c>
      <c r="M28" s="675">
        <v>1196</v>
      </c>
      <c r="N28" s="675">
        <v>86</v>
      </c>
      <c r="P28" s="676">
        <f t="shared" si="2"/>
        <v>0.93291731669266775</v>
      </c>
      <c r="Q28" s="676">
        <f t="shared" si="3"/>
        <v>6.7082683307332289E-2</v>
      </c>
    </row>
    <row r="29" spans="1:17">
      <c r="A29" s="667" t="s">
        <v>61</v>
      </c>
      <c r="B29" s="668" t="s">
        <v>62</v>
      </c>
      <c r="C29" s="669" t="s">
        <v>273</v>
      </c>
      <c r="D29" s="669"/>
      <c r="E29" s="670">
        <v>1331</v>
      </c>
      <c r="F29" s="671">
        <v>1222</v>
      </c>
      <c r="G29" s="672">
        <v>109</v>
      </c>
      <c r="I29" s="673">
        <f t="shared" si="0"/>
        <v>0.91810668670172801</v>
      </c>
      <c r="J29" s="674">
        <f t="shared" si="1"/>
        <v>8.1893313298271972E-2</v>
      </c>
      <c r="L29" s="675">
        <v>444</v>
      </c>
      <c r="M29" s="675">
        <v>410</v>
      </c>
      <c r="N29" s="675">
        <v>34</v>
      </c>
      <c r="P29" s="676">
        <f t="shared" si="2"/>
        <v>0.92342342342342343</v>
      </c>
      <c r="Q29" s="676">
        <f t="shared" si="3"/>
        <v>7.6576576576576572E-2</v>
      </c>
    </row>
    <row r="30" spans="1:17">
      <c r="A30" s="667" t="s">
        <v>63</v>
      </c>
      <c r="B30" s="668" t="s">
        <v>64</v>
      </c>
      <c r="C30" s="669" t="s">
        <v>276</v>
      </c>
      <c r="D30" s="669"/>
      <c r="E30" s="670">
        <v>10145</v>
      </c>
      <c r="F30" s="671">
        <v>9169</v>
      </c>
      <c r="G30" s="672">
        <v>976</v>
      </c>
      <c r="I30" s="673">
        <f t="shared" si="0"/>
        <v>0.90379497289305077</v>
      </c>
      <c r="J30" s="674">
        <f t="shared" si="1"/>
        <v>9.620502710694924E-2</v>
      </c>
      <c r="L30" s="675">
        <v>4330</v>
      </c>
      <c r="M30" s="675">
        <v>3917</v>
      </c>
      <c r="N30" s="675">
        <v>413</v>
      </c>
      <c r="P30" s="676">
        <f t="shared" si="2"/>
        <v>0.90461893764434176</v>
      </c>
      <c r="Q30" s="676">
        <f t="shared" si="3"/>
        <v>9.53810623556582E-2</v>
      </c>
    </row>
    <row r="31" spans="1:17">
      <c r="A31" s="667" t="s">
        <v>65</v>
      </c>
      <c r="B31" s="668" t="s">
        <v>66</v>
      </c>
      <c r="C31" s="669" t="s">
        <v>275</v>
      </c>
      <c r="D31" s="669"/>
      <c r="E31" s="670">
        <v>2180</v>
      </c>
      <c r="F31" s="671">
        <v>1954</v>
      </c>
      <c r="G31" s="672">
        <v>226</v>
      </c>
      <c r="I31" s="673">
        <f t="shared" si="0"/>
        <v>0.89633027522935782</v>
      </c>
      <c r="J31" s="674">
        <f t="shared" si="1"/>
        <v>0.10366972477064221</v>
      </c>
      <c r="L31" s="675">
        <v>747</v>
      </c>
      <c r="M31" s="675">
        <v>654</v>
      </c>
      <c r="N31" s="675">
        <v>93</v>
      </c>
      <c r="P31" s="676">
        <f t="shared" si="2"/>
        <v>0.87550200803212852</v>
      </c>
      <c r="Q31" s="676">
        <f t="shared" si="3"/>
        <v>0.12449799196787148</v>
      </c>
    </row>
    <row r="32" spans="1:17">
      <c r="A32" s="667" t="s">
        <v>69</v>
      </c>
      <c r="B32" s="668" t="s">
        <v>70</v>
      </c>
      <c r="C32" s="669" t="s">
        <v>278</v>
      </c>
      <c r="D32" s="669"/>
      <c r="E32" s="670">
        <v>3825</v>
      </c>
      <c r="F32" s="671">
        <v>3568</v>
      </c>
      <c r="G32" s="672">
        <v>257</v>
      </c>
      <c r="I32" s="673">
        <f t="shared" si="0"/>
        <v>0.93281045751633984</v>
      </c>
      <c r="J32" s="674">
        <f t="shared" si="1"/>
        <v>6.7189542483660131E-2</v>
      </c>
      <c r="L32" s="675">
        <v>1341</v>
      </c>
      <c r="M32" s="675">
        <v>1233</v>
      </c>
      <c r="N32" s="675">
        <v>108</v>
      </c>
      <c r="P32" s="676">
        <f t="shared" si="2"/>
        <v>0.91946308724832215</v>
      </c>
      <c r="Q32" s="676">
        <f t="shared" si="3"/>
        <v>8.0536912751677847E-2</v>
      </c>
    </row>
    <row r="33" spans="1:17">
      <c r="A33" s="667" t="s">
        <v>71</v>
      </c>
      <c r="B33" s="668" t="s">
        <v>72</v>
      </c>
      <c r="C33" s="669" t="s">
        <v>272</v>
      </c>
      <c r="D33" s="669"/>
      <c r="E33" s="670">
        <v>6031</v>
      </c>
      <c r="F33" s="671">
        <v>5383</v>
      </c>
      <c r="G33" s="672">
        <v>648</v>
      </c>
      <c r="I33" s="673">
        <f t="shared" si="0"/>
        <v>0.89255513181893553</v>
      </c>
      <c r="J33" s="674">
        <f t="shared" si="1"/>
        <v>0.1074448681810645</v>
      </c>
      <c r="L33" s="675">
        <v>2234</v>
      </c>
      <c r="M33" s="675">
        <v>1975</v>
      </c>
      <c r="N33" s="675">
        <v>259</v>
      </c>
      <c r="P33" s="676">
        <f t="shared" si="2"/>
        <v>0.88406445837063563</v>
      </c>
      <c r="Q33" s="676">
        <f t="shared" si="3"/>
        <v>0.11593554162936437</v>
      </c>
    </row>
    <row r="34" spans="1:17">
      <c r="A34" s="667" t="s">
        <v>73</v>
      </c>
      <c r="B34" s="668" t="s">
        <v>74</v>
      </c>
      <c r="C34" s="669" t="s">
        <v>275</v>
      </c>
      <c r="D34" s="669"/>
      <c r="E34" s="670">
        <v>2428</v>
      </c>
      <c r="F34" s="671">
        <v>2093</v>
      </c>
      <c r="G34" s="672">
        <v>335</v>
      </c>
      <c r="I34" s="673">
        <f t="shared" si="0"/>
        <v>0.86202635914332781</v>
      </c>
      <c r="J34" s="674">
        <f t="shared" si="1"/>
        <v>0.13797364085667216</v>
      </c>
      <c r="L34" s="675">
        <v>766</v>
      </c>
      <c r="M34" s="675">
        <v>641</v>
      </c>
      <c r="N34" s="675">
        <v>125</v>
      </c>
      <c r="P34" s="676">
        <f t="shared" si="2"/>
        <v>0.83681462140992169</v>
      </c>
      <c r="Q34" s="676">
        <f t="shared" si="3"/>
        <v>0.16318537859007834</v>
      </c>
    </row>
    <row r="35" spans="1:17">
      <c r="A35" s="667" t="s">
        <v>75</v>
      </c>
      <c r="B35" s="668" t="s">
        <v>885</v>
      </c>
      <c r="C35" s="669" t="s">
        <v>276</v>
      </c>
      <c r="D35" s="669"/>
      <c r="E35" s="670">
        <v>246380</v>
      </c>
      <c r="F35" s="671">
        <v>231762</v>
      </c>
      <c r="G35" s="672">
        <v>14618</v>
      </c>
      <c r="I35" s="673">
        <f t="shared" si="0"/>
        <v>0.94066888546148231</v>
      </c>
      <c r="J35" s="674">
        <f t="shared" si="1"/>
        <v>5.9331114538517735E-2</v>
      </c>
      <c r="L35" s="675">
        <v>116691</v>
      </c>
      <c r="M35" s="675">
        <v>112931</v>
      </c>
      <c r="N35" s="675">
        <v>3760</v>
      </c>
      <c r="P35" s="676">
        <f t="shared" si="2"/>
        <v>0.96777814912889593</v>
      </c>
      <c r="Q35" s="676">
        <f t="shared" si="3"/>
        <v>3.2221850871104026E-2</v>
      </c>
    </row>
    <row r="36" spans="1:17">
      <c r="A36" s="667" t="s">
        <v>77</v>
      </c>
      <c r="B36" s="668" t="s">
        <v>78</v>
      </c>
      <c r="C36" s="669" t="s">
        <v>276</v>
      </c>
      <c r="D36" s="669"/>
      <c r="E36" s="670">
        <v>15535</v>
      </c>
      <c r="F36" s="671">
        <v>14399</v>
      </c>
      <c r="G36" s="672">
        <v>1136</v>
      </c>
      <c r="I36" s="673">
        <f t="shared" si="0"/>
        <v>0.92687479884132606</v>
      </c>
      <c r="J36" s="674">
        <f t="shared" si="1"/>
        <v>7.3125201158673964E-2</v>
      </c>
      <c r="L36" s="675">
        <v>6485</v>
      </c>
      <c r="M36" s="675">
        <v>6125</v>
      </c>
      <c r="N36" s="675">
        <v>360</v>
      </c>
      <c r="P36" s="676">
        <f t="shared" si="2"/>
        <v>0.94448727833461832</v>
      </c>
      <c r="Q36" s="676">
        <f t="shared" si="3"/>
        <v>5.5512721665381647E-2</v>
      </c>
    </row>
    <row r="37" spans="1:17">
      <c r="A37" s="667" t="s">
        <v>79</v>
      </c>
      <c r="B37" s="668" t="s">
        <v>80</v>
      </c>
      <c r="C37" s="669" t="s">
        <v>278</v>
      </c>
      <c r="D37" s="669"/>
      <c r="E37" s="670">
        <v>3869</v>
      </c>
      <c r="F37" s="671">
        <v>3548</v>
      </c>
      <c r="G37" s="672">
        <v>321</v>
      </c>
      <c r="I37" s="673">
        <f t="shared" si="0"/>
        <v>0.91703282501938488</v>
      </c>
      <c r="J37" s="674">
        <f t="shared" si="1"/>
        <v>8.2967174980615149E-2</v>
      </c>
      <c r="L37" s="675">
        <v>1322</v>
      </c>
      <c r="M37" s="675">
        <v>1210</v>
      </c>
      <c r="N37" s="675">
        <v>112</v>
      </c>
      <c r="P37" s="676">
        <f t="shared" si="2"/>
        <v>0.91527987897125562</v>
      </c>
      <c r="Q37" s="676">
        <f t="shared" si="3"/>
        <v>8.4720121028744322E-2</v>
      </c>
    </row>
    <row r="38" spans="1:17">
      <c r="A38" s="667" t="s">
        <v>81</v>
      </c>
      <c r="B38" s="668" t="s">
        <v>82</v>
      </c>
      <c r="C38" s="669" t="s">
        <v>275</v>
      </c>
      <c r="D38" s="669"/>
      <c r="E38" s="670">
        <v>6232</v>
      </c>
      <c r="F38" s="671">
        <v>5755</v>
      </c>
      <c r="G38" s="672">
        <v>477</v>
      </c>
      <c r="I38" s="673">
        <f t="shared" si="0"/>
        <v>0.92345956354300385</v>
      </c>
      <c r="J38" s="674">
        <f t="shared" si="1"/>
        <v>7.6540436456996153E-2</v>
      </c>
      <c r="L38" s="675">
        <v>2395</v>
      </c>
      <c r="M38" s="675">
        <v>2200</v>
      </c>
      <c r="N38" s="675">
        <v>195</v>
      </c>
      <c r="P38" s="676">
        <f t="shared" si="2"/>
        <v>0.91858037578288099</v>
      </c>
      <c r="Q38" s="676">
        <f t="shared" si="3"/>
        <v>8.1419624217118999E-2</v>
      </c>
    </row>
    <row r="39" spans="1:17">
      <c r="A39" s="667" t="s">
        <v>85</v>
      </c>
      <c r="B39" s="668" t="s">
        <v>387</v>
      </c>
      <c r="C39" s="669" t="s">
        <v>273</v>
      </c>
      <c r="D39" s="669"/>
      <c r="E39" s="670">
        <v>13879</v>
      </c>
      <c r="F39" s="671">
        <v>12622</v>
      </c>
      <c r="G39" s="672">
        <v>1257</v>
      </c>
      <c r="I39" s="673">
        <f t="shared" si="0"/>
        <v>0.90943151523885002</v>
      </c>
      <c r="J39" s="674">
        <f t="shared" si="1"/>
        <v>9.0568484761149939E-2</v>
      </c>
      <c r="L39" s="675">
        <v>4374</v>
      </c>
      <c r="M39" s="675">
        <v>3876</v>
      </c>
      <c r="N39" s="675">
        <v>498</v>
      </c>
      <c r="P39" s="676">
        <f t="shared" si="2"/>
        <v>0.88614540466392322</v>
      </c>
      <c r="Q39" s="676">
        <f t="shared" si="3"/>
        <v>0.11385459533607682</v>
      </c>
    </row>
    <row r="40" spans="1:17">
      <c r="A40" s="667" t="s">
        <v>87</v>
      </c>
      <c r="B40" s="668" t="s">
        <v>88</v>
      </c>
      <c r="C40" s="669" t="s">
        <v>276</v>
      </c>
      <c r="D40" s="669"/>
      <c r="E40" s="670">
        <v>18784</v>
      </c>
      <c r="F40" s="671">
        <v>16992</v>
      </c>
      <c r="G40" s="672">
        <v>1792</v>
      </c>
      <c r="I40" s="673">
        <f t="shared" si="0"/>
        <v>0.90459965928449748</v>
      </c>
      <c r="J40" s="674">
        <f t="shared" si="1"/>
        <v>9.540034071550256E-2</v>
      </c>
      <c r="L40" s="675">
        <v>7847</v>
      </c>
      <c r="M40" s="675">
        <v>7146</v>
      </c>
      <c r="N40" s="675">
        <v>701</v>
      </c>
      <c r="P40" s="676">
        <f t="shared" si="2"/>
        <v>0.9106664967503505</v>
      </c>
      <c r="Q40" s="676">
        <f t="shared" si="3"/>
        <v>8.9333503249649546E-2</v>
      </c>
    </row>
    <row r="41" spans="1:17">
      <c r="A41" s="667" t="s">
        <v>93</v>
      </c>
      <c r="B41" s="668" t="s">
        <v>94</v>
      </c>
      <c r="C41" s="669" t="s">
        <v>278</v>
      </c>
      <c r="D41" s="669"/>
      <c r="E41" s="670">
        <v>4201</v>
      </c>
      <c r="F41" s="671">
        <v>3785</v>
      </c>
      <c r="G41" s="672">
        <v>416</v>
      </c>
      <c r="I41" s="673">
        <f t="shared" si="0"/>
        <v>0.90097595810521303</v>
      </c>
      <c r="J41" s="674">
        <f t="shared" si="1"/>
        <v>9.902404189478696E-2</v>
      </c>
      <c r="L41" s="675">
        <v>1456</v>
      </c>
      <c r="M41" s="675">
        <v>1284</v>
      </c>
      <c r="N41" s="675">
        <v>172</v>
      </c>
      <c r="P41" s="676">
        <f t="shared" si="2"/>
        <v>0.88186813186813184</v>
      </c>
      <c r="Q41" s="676">
        <f t="shared" si="3"/>
        <v>0.11813186813186813</v>
      </c>
    </row>
    <row r="42" spans="1:17">
      <c r="A42" s="667" t="s">
        <v>95</v>
      </c>
      <c r="B42" s="668" t="s">
        <v>96</v>
      </c>
      <c r="C42" s="669" t="s">
        <v>272</v>
      </c>
      <c r="D42" s="669"/>
      <c r="E42" s="670">
        <v>9117</v>
      </c>
      <c r="F42" s="671">
        <v>8306</v>
      </c>
      <c r="G42" s="672">
        <v>811</v>
      </c>
      <c r="I42" s="673">
        <f t="shared" si="0"/>
        <v>0.9110452999890315</v>
      </c>
      <c r="J42" s="674">
        <f t="shared" si="1"/>
        <v>8.8954700010968515E-2</v>
      </c>
      <c r="L42" s="675">
        <v>3312</v>
      </c>
      <c r="M42" s="675">
        <v>3009</v>
      </c>
      <c r="N42" s="675">
        <v>303</v>
      </c>
      <c r="P42" s="676">
        <f t="shared" si="2"/>
        <v>0.90851449275362317</v>
      </c>
      <c r="Q42" s="676">
        <f t="shared" si="3"/>
        <v>9.1485507246376815E-2</v>
      </c>
    </row>
    <row r="43" spans="1:17">
      <c r="A43" s="667" t="s">
        <v>97</v>
      </c>
      <c r="B43" s="668" t="s">
        <v>98</v>
      </c>
      <c r="C43" s="669" t="s">
        <v>275</v>
      </c>
      <c r="D43" s="669"/>
      <c r="E43" s="670">
        <v>5533</v>
      </c>
      <c r="F43" s="671">
        <v>5256</v>
      </c>
      <c r="G43" s="672">
        <v>277</v>
      </c>
      <c r="I43" s="673">
        <f t="shared" si="0"/>
        <v>0.94993674317729981</v>
      </c>
      <c r="J43" s="674">
        <f t="shared" si="1"/>
        <v>5.0063256822700165E-2</v>
      </c>
      <c r="L43" s="675">
        <v>1877</v>
      </c>
      <c r="M43" s="675">
        <v>1797</v>
      </c>
      <c r="N43" s="675">
        <v>80</v>
      </c>
      <c r="P43" s="676">
        <f t="shared" si="2"/>
        <v>0.95737879595098563</v>
      </c>
      <c r="Q43" s="676">
        <f t="shared" si="3"/>
        <v>4.2621204049014386E-2</v>
      </c>
    </row>
    <row r="44" spans="1:17">
      <c r="A44" s="667" t="s">
        <v>99</v>
      </c>
      <c r="B44" s="668" t="s">
        <v>100</v>
      </c>
      <c r="C44" s="669" t="s">
        <v>278</v>
      </c>
      <c r="D44" s="669"/>
      <c r="E44" s="670">
        <v>3931</v>
      </c>
      <c r="F44" s="671">
        <v>3633</v>
      </c>
      <c r="G44" s="672">
        <v>298</v>
      </c>
      <c r="I44" s="673">
        <f t="shared" si="0"/>
        <v>0.92419231747646913</v>
      </c>
      <c r="J44" s="674">
        <f t="shared" si="1"/>
        <v>7.5807682523530914E-2</v>
      </c>
      <c r="L44" s="675">
        <v>1146</v>
      </c>
      <c r="M44" s="675">
        <v>1021</v>
      </c>
      <c r="N44" s="675">
        <v>125</v>
      </c>
      <c r="P44" s="676">
        <f t="shared" si="2"/>
        <v>0.89092495636998259</v>
      </c>
      <c r="Q44" s="676">
        <f t="shared" si="3"/>
        <v>0.10907504363001745</v>
      </c>
    </row>
    <row r="45" spans="1:17">
      <c r="A45" s="667" t="s">
        <v>101</v>
      </c>
      <c r="B45" s="668" t="s">
        <v>102</v>
      </c>
      <c r="C45" s="669" t="s">
        <v>276</v>
      </c>
      <c r="D45" s="669"/>
      <c r="E45" s="670">
        <v>4414</v>
      </c>
      <c r="F45" s="671">
        <v>4003</v>
      </c>
      <c r="G45" s="672">
        <v>411</v>
      </c>
      <c r="I45" s="673">
        <f t="shared" si="0"/>
        <v>0.90688717716357048</v>
      </c>
      <c r="J45" s="674">
        <f t="shared" si="1"/>
        <v>9.3112822836429548E-2</v>
      </c>
      <c r="L45" s="675">
        <v>1796</v>
      </c>
      <c r="M45" s="675">
        <v>1628</v>
      </c>
      <c r="N45" s="675">
        <v>168</v>
      </c>
      <c r="P45" s="676">
        <f t="shared" si="2"/>
        <v>0.90645879732739421</v>
      </c>
      <c r="Q45" s="676">
        <f t="shared" si="3"/>
        <v>9.3541202672605794E-2</v>
      </c>
    </row>
    <row r="46" spans="1:17">
      <c r="A46" s="667" t="s">
        <v>103</v>
      </c>
      <c r="B46" s="668" t="s">
        <v>329</v>
      </c>
      <c r="C46" s="669" t="s">
        <v>272</v>
      </c>
      <c r="D46" s="669"/>
      <c r="E46" s="670">
        <v>2719</v>
      </c>
      <c r="F46" s="671">
        <v>2329</v>
      </c>
      <c r="G46" s="672">
        <v>390</v>
      </c>
      <c r="I46" s="673">
        <f t="shared" si="0"/>
        <v>0.85656491357116582</v>
      </c>
      <c r="J46" s="674">
        <f t="shared" si="1"/>
        <v>0.14343508642883412</v>
      </c>
      <c r="L46" s="675">
        <v>902</v>
      </c>
      <c r="M46" s="675">
        <v>709</v>
      </c>
      <c r="N46" s="675">
        <v>193</v>
      </c>
      <c r="P46" s="676">
        <f t="shared" si="2"/>
        <v>0.78603104212860309</v>
      </c>
      <c r="Q46" s="676">
        <f t="shared" si="3"/>
        <v>0.21396895787139689</v>
      </c>
    </row>
    <row r="47" spans="1:17">
      <c r="A47" s="667" t="s">
        <v>105</v>
      </c>
      <c r="B47" s="668" t="s">
        <v>871</v>
      </c>
      <c r="C47" s="669" t="s">
        <v>273</v>
      </c>
      <c r="D47" s="669"/>
      <c r="E47" s="670">
        <v>7601</v>
      </c>
      <c r="F47" s="671">
        <v>6980</v>
      </c>
      <c r="G47" s="672">
        <v>621</v>
      </c>
      <c r="I47" s="673">
        <f t="shared" si="0"/>
        <v>0.91830022365478225</v>
      </c>
      <c r="J47" s="674">
        <f t="shared" si="1"/>
        <v>8.1699776345217731E-2</v>
      </c>
      <c r="L47" s="675">
        <v>2470</v>
      </c>
      <c r="M47" s="675">
        <v>2191</v>
      </c>
      <c r="N47" s="675">
        <v>279</v>
      </c>
      <c r="P47" s="676">
        <f t="shared" si="2"/>
        <v>0.8870445344129555</v>
      </c>
      <c r="Q47" s="676">
        <f t="shared" si="3"/>
        <v>0.11295546558704453</v>
      </c>
    </row>
    <row r="48" spans="1:17">
      <c r="A48" s="667" t="s">
        <v>109</v>
      </c>
      <c r="B48" s="668" t="s">
        <v>110</v>
      </c>
      <c r="C48" s="669" t="s">
        <v>275</v>
      </c>
      <c r="D48" s="669"/>
      <c r="E48" s="670">
        <v>24235</v>
      </c>
      <c r="F48" s="671">
        <v>22810</v>
      </c>
      <c r="G48" s="672">
        <v>1425</v>
      </c>
      <c r="I48" s="673">
        <f t="shared" si="0"/>
        <v>0.94120074272746024</v>
      </c>
      <c r="J48" s="674">
        <f t="shared" si="1"/>
        <v>5.8799257272539714E-2</v>
      </c>
      <c r="L48" s="675">
        <v>10521</v>
      </c>
      <c r="M48" s="675">
        <v>10021</v>
      </c>
      <c r="N48" s="675">
        <v>500</v>
      </c>
      <c r="P48" s="676">
        <f t="shared" si="2"/>
        <v>0.95247600038019198</v>
      </c>
      <c r="Q48" s="676">
        <f t="shared" si="3"/>
        <v>4.7523999619808001E-2</v>
      </c>
    </row>
    <row r="49" spans="1:17">
      <c r="A49" s="667" t="s">
        <v>111</v>
      </c>
      <c r="B49" s="668" t="s">
        <v>112</v>
      </c>
      <c r="C49" s="669" t="s">
        <v>275</v>
      </c>
      <c r="D49" s="669"/>
      <c r="E49" s="670">
        <v>63078</v>
      </c>
      <c r="F49" s="671">
        <v>56537</v>
      </c>
      <c r="G49" s="672">
        <v>6541</v>
      </c>
      <c r="I49" s="673">
        <f t="shared" si="0"/>
        <v>0.89630298994895208</v>
      </c>
      <c r="J49" s="674">
        <f t="shared" si="1"/>
        <v>0.10369701005104791</v>
      </c>
      <c r="L49" s="675">
        <v>27549</v>
      </c>
      <c r="M49" s="675">
        <v>25239</v>
      </c>
      <c r="N49" s="675">
        <v>2310</v>
      </c>
      <c r="P49" s="676">
        <f t="shared" si="2"/>
        <v>0.91614940651203314</v>
      </c>
      <c r="Q49" s="676">
        <f t="shared" si="3"/>
        <v>8.385059348796689E-2</v>
      </c>
    </row>
    <row r="50" spans="1:17">
      <c r="A50" s="667" t="s">
        <v>113</v>
      </c>
      <c r="B50" s="668" t="s">
        <v>367</v>
      </c>
      <c r="C50" s="669" t="s">
        <v>273</v>
      </c>
      <c r="D50" s="669"/>
      <c r="E50" s="670">
        <v>14517</v>
      </c>
      <c r="F50" s="671">
        <v>13130</v>
      </c>
      <c r="G50" s="672">
        <v>1387</v>
      </c>
      <c r="I50" s="673">
        <f t="shared" si="0"/>
        <v>0.90445684370048907</v>
      </c>
      <c r="J50" s="674">
        <f t="shared" si="1"/>
        <v>9.554315629951092E-2</v>
      </c>
      <c r="L50" s="675">
        <v>4598</v>
      </c>
      <c r="M50" s="675">
        <v>3985</v>
      </c>
      <c r="N50" s="675">
        <v>613</v>
      </c>
      <c r="P50" s="676">
        <f t="shared" si="2"/>
        <v>0.86668116572422793</v>
      </c>
      <c r="Q50" s="676">
        <f t="shared" si="3"/>
        <v>0.13331883427577207</v>
      </c>
    </row>
    <row r="51" spans="1:17">
      <c r="A51" s="667" t="s">
        <v>115</v>
      </c>
      <c r="B51" s="668" t="s">
        <v>116</v>
      </c>
      <c r="C51" s="669" t="s">
        <v>273</v>
      </c>
      <c r="D51" s="669"/>
      <c r="E51" s="670">
        <v>667</v>
      </c>
      <c r="F51" s="671">
        <v>621</v>
      </c>
      <c r="G51" s="672">
        <v>46</v>
      </c>
      <c r="I51" s="673">
        <f t="shared" si="0"/>
        <v>0.93103448275862066</v>
      </c>
      <c r="J51" s="674">
        <f t="shared" si="1"/>
        <v>6.8965517241379309E-2</v>
      </c>
      <c r="L51" s="675">
        <v>157</v>
      </c>
      <c r="M51" s="675">
        <v>144</v>
      </c>
      <c r="N51" s="675">
        <v>13</v>
      </c>
      <c r="P51" s="676">
        <f t="shared" si="2"/>
        <v>0.91719745222929938</v>
      </c>
      <c r="Q51" s="676">
        <f t="shared" si="3"/>
        <v>8.2802547770700632E-2</v>
      </c>
    </row>
    <row r="52" spans="1:17">
      <c r="A52" s="667" t="s">
        <v>119</v>
      </c>
      <c r="B52" s="668" t="s">
        <v>120</v>
      </c>
      <c r="C52" s="669" t="s">
        <v>272</v>
      </c>
      <c r="D52" s="669"/>
      <c r="E52" s="670">
        <v>8522</v>
      </c>
      <c r="F52" s="671">
        <v>7966</v>
      </c>
      <c r="G52" s="672">
        <v>556</v>
      </c>
      <c r="I52" s="673">
        <f t="shared" si="0"/>
        <v>0.9347570992724713</v>
      </c>
      <c r="J52" s="674">
        <f t="shared" si="1"/>
        <v>6.5242900727528752E-2</v>
      </c>
      <c r="L52" s="675">
        <v>3096</v>
      </c>
      <c r="M52" s="675">
        <v>2886</v>
      </c>
      <c r="N52" s="675">
        <v>210</v>
      </c>
      <c r="P52" s="676">
        <f t="shared" si="2"/>
        <v>0.93217054263565891</v>
      </c>
      <c r="Q52" s="676">
        <f t="shared" si="3"/>
        <v>6.7829457364341081E-2</v>
      </c>
    </row>
    <row r="53" spans="1:17">
      <c r="A53" s="667" t="s">
        <v>121</v>
      </c>
      <c r="B53" s="668" t="s">
        <v>122</v>
      </c>
      <c r="C53" s="669" t="s">
        <v>272</v>
      </c>
      <c r="D53" s="669"/>
      <c r="E53" s="670">
        <v>17151</v>
      </c>
      <c r="F53" s="671">
        <v>16192</v>
      </c>
      <c r="G53" s="672">
        <v>959</v>
      </c>
      <c r="I53" s="673">
        <f t="shared" si="0"/>
        <v>0.94408489300915399</v>
      </c>
      <c r="J53" s="674">
        <f t="shared" si="1"/>
        <v>5.5915106990846015E-2</v>
      </c>
      <c r="L53" s="675">
        <v>5736</v>
      </c>
      <c r="M53" s="675">
        <v>5418</v>
      </c>
      <c r="N53" s="675">
        <v>318</v>
      </c>
      <c r="P53" s="676">
        <f t="shared" si="2"/>
        <v>0.94456066945606698</v>
      </c>
      <c r="Q53" s="676">
        <f t="shared" si="3"/>
        <v>5.5439330543933053E-2</v>
      </c>
    </row>
    <row r="54" spans="1:17">
      <c r="A54" s="667" t="s">
        <v>123</v>
      </c>
      <c r="B54" s="668" t="s">
        <v>284</v>
      </c>
      <c r="C54" s="669" t="s">
        <v>275</v>
      </c>
      <c r="D54" s="669"/>
      <c r="E54" s="670">
        <v>1580</v>
      </c>
      <c r="F54" s="671">
        <v>1427</v>
      </c>
      <c r="G54" s="672">
        <v>153</v>
      </c>
      <c r="I54" s="673">
        <f t="shared" si="0"/>
        <v>0.90316455696202536</v>
      </c>
      <c r="J54" s="674">
        <f t="shared" si="1"/>
        <v>9.6835443037974686E-2</v>
      </c>
      <c r="L54" s="675">
        <v>513</v>
      </c>
      <c r="M54" s="675">
        <v>449</v>
      </c>
      <c r="N54" s="675">
        <v>64</v>
      </c>
      <c r="P54" s="676">
        <f t="shared" si="2"/>
        <v>0.87524366471734893</v>
      </c>
      <c r="Q54" s="676">
        <f t="shared" si="3"/>
        <v>0.12475633528265107</v>
      </c>
    </row>
    <row r="55" spans="1:17">
      <c r="A55" s="667" t="s">
        <v>125</v>
      </c>
      <c r="B55" s="668" t="s">
        <v>126</v>
      </c>
      <c r="C55" s="669" t="s">
        <v>276</v>
      </c>
      <c r="D55" s="669"/>
      <c r="E55" s="670">
        <v>5512</v>
      </c>
      <c r="F55" s="671">
        <v>5032</v>
      </c>
      <c r="G55" s="672">
        <v>480</v>
      </c>
      <c r="I55" s="673">
        <f t="shared" si="0"/>
        <v>0.91291727140783741</v>
      </c>
      <c r="J55" s="674">
        <f t="shared" si="1"/>
        <v>8.7082728592162553E-2</v>
      </c>
      <c r="L55" s="675">
        <v>2485</v>
      </c>
      <c r="M55" s="675">
        <v>2298</v>
      </c>
      <c r="N55" s="675">
        <v>187</v>
      </c>
      <c r="P55" s="676">
        <f t="shared" si="2"/>
        <v>0.92474849094567402</v>
      </c>
      <c r="Q55" s="676">
        <f t="shared" si="3"/>
        <v>7.5251509054325955E-2</v>
      </c>
    </row>
    <row r="56" spans="1:17">
      <c r="A56" s="667" t="s">
        <v>127</v>
      </c>
      <c r="B56" s="668" t="s">
        <v>128</v>
      </c>
      <c r="C56" s="669" t="s">
        <v>275</v>
      </c>
      <c r="D56" s="669"/>
      <c r="E56" s="670">
        <v>3882</v>
      </c>
      <c r="F56" s="671">
        <v>3561</v>
      </c>
      <c r="G56" s="672">
        <v>321</v>
      </c>
      <c r="I56" s="673">
        <f t="shared" si="0"/>
        <v>0.91731066460587329</v>
      </c>
      <c r="J56" s="674">
        <f t="shared" si="1"/>
        <v>8.2689335394126734E-2</v>
      </c>
      <c r="L56" s="675">
        <v>1605</v>
      </c>
      <c r="M56" s="675">
        <v>1483</v>
      </c>
      <c r="N56" s="675">
        <v>122</v>
      </c>
      <c r="P56" s="676">
        <f t="shared" si="2"/>
        <v>0.92398753894080998</v>
      </c>
      <c r="Q56" s="676">
        <f t="shared" si="3"/>
        <v>7.6012461059190031E-2</v>
      </c>
    </row>
    <row r="57" spans="1:17">
      <c r="A57" s="667" t="s">
        <v>129</v>
      </c>
      <c r="B57" s="668" t="s">
        <v>130</v>
      </c>
      <c r="C57" s="669" t="s">
        <v>275</v>
      </c>
      <c r="D57" s="669"/>
      <c r="E57" s="670">
        <v>2835</v>
      </c>
      <c r="F57" s="671">
        <v>2584</v>
      </c>
      <c r="G57" s="672">
        <v>251</v>
      </c>
      <c r="I57" s="673">
        <f t="shared" si="0"/>
        <v>0.91146384479717812</v>
      </c>
      <c r="J57" s="674">
        <f t="shared" si="1"/>
        <v>8.8536155202821876E-2</v>
      </c>
      <c r="L57" s="675">
        <v>587</v>
      </c>
      <c r="M57" s="675">
        <v>498</v>
      </c>
      <c r="N57" s="675">
        <v>89</v>
      </c>
      <c r="P57" s="676">
        <f t="shared" si="2"/>
        <v>0.848381601362862</v>
      </c>
      <c r="Q57" s="676">
        <f t="shared" si="3"/>
        <v>0.151618398637138</v>
      </c>
    </row>
    <row r="58" spans="1:17">
      <c r="A58" s="667" t="s">
        <v>131</v>
      </c>
      <c r="B58" s="668" t="s">
        <v>132</v>
      </c>
      <c r="C58" s="669" t="s">
        <v>278</v>
      </c>
      <c r="D58" s="669"/>
      <c r="E58" s="670">
        <v>5554</v>
      </c>
      <c r="F58" s="671">
        <v>5116</v>
      </c>
      <c r="G58" s="672">
        <v>438</v>
      </c>
      <c r="I58" s="673">
        <f t="shared" si="0"/>
        <v>0.92113791861721284</v>
      </c>
      <c r="J58" s="674">
        <f t="shared" si="1"/>
        <v>7.8862081382787177E-2</v>
      </c>
      <c r="L58" s="675">
        <v>1970</v>
      </c>
      <c r="M58" s="675">
        <v>1793</v>
      </c>
      <c r="N58" s="675">
        <v>177</v>
      </c>
      <c r="P58" s="676">
        <f t="shared" si="2"/>
        <v>0.91015228426395944</v>
      </c>
      <c r="Q58" s="676">
        <f t="shared" si="3"/>
        <v>8.9847715736040612E-2</v>
      </c>
    </row>
    <row r="59" spans="1:17">
      <c r="A59" s="667" t="s">
        <v>133</v>
      </c>
      <c r="B59" s="668" t="s">
        <v>134</v>
      </c>
      <c r="C59" s="669" t="s">
        <v>276</v>
      </c>
      <c r="D59" s="669"/>
      <c r="E59" s="670">
        <v>72122</v>
      </c>
      <c r="F59" s="671">
        <v>68056</v>
      </c>
      <c r="G59" s="672">
        <v>4066</v>
      </c>
      <c r="I59" s="673">
        <f t="shared" si="0"/>
        <v>0.94362330495549207</v>
      </c>
      <c r="J59" s="674">
        <f t="shared" si="1"/>
        <v>5.6376695044507916E-2</v>
      </c>
      <c r="L59" s="675">
        <v>42139</v>
      </c>
      <c r="M59" s="675">
        <v>40889</v>
      </c>
      <c r="N59" s="675">
        <v>1250</v>
      </c>
      <c r="P59" s="676">
        <f t="shared" si="2"/>
        <v>0.97033626806521278</v>
      </c>
      <c r="Q59" s="676">
        <f t="shared" si="3"/>
        <v>2.9663731934787253E-2</v>
      </c>
    </row>
    <row r="60" spans="1:17">
      <c r="A60" s="667" t="s">
        <v>135</v>
      </c>
      <c r="B60" s="668" t="s">
        <v>136</v>
      </c>
      <c r="C60" s="669" t="s">
        <v>276</v>
      </c>
      <c r="D60" s="669"/>
      <c r="E60" s="670">
        <v>8200</v>
      </c>
      <c r="F60" s="671">
        <v>7362</v>
      </c>
      <c r="G60" s="672">
        <v>838</v>
      </c>
      <c r="I60" s="673">
        <f t="shared" si="0"/>
        <v>0.89780487804878051</v>
      </c>
      <c r="J60" s="674">
        <f t="shared" si="1"/>
        <v>0.10219512195121951</v>
      </c>
      <c r="L60" s="675">
        <v>2829</v>
      </c>
      <c r="M60" s="675">
        <v>2514</v>
      </c>
      <c r="N60" s="675">
        <v>315</v>
      </c>
      <c r="P60" s="676">
        <f t="shared" si="2"/>
        <v>0.88865323435843058</v>
      </c>
      <c r="Q60" s="676">
        <f t="shared" si="3"/>
        <v>0.11134676564156946</v>
      </c>
    </row>
    <row r="61" spans="1:17">
      <c r="A61" s="667" t="s">
        <v>137</v>
      </c>
      <c r="B61" s="668" t="s">
        <v>138</v>
      </c>
      <c r="C61" s="669" t="s">
        <v>275</v>
      </c>
      <c r="D61" s="669"/>
      <c r="E61" s="670">
        <v>2533</v>
      </c>
      <c r="F61" s="671">
        <v>2294</v>
      </c>
      <c r="G61" s="672">
        <v>239</v>
      </c>
      <c r="I61" s="673">
        <f t="shared" si="0"/>
        <v>0.90564547966837738</v>
      </c>
      <c r="J61" s="674">
        <f t="shared" si="1"/>
        <v>9.4354520331622588E-2</v>
      </c>
      <c r="L61" s="675">
        <v>820</v>
      </c>
      <c r="M61" s="675">
        <v>714</v>
      </c>
      <c r="N61" s="675">
        <v>106</v>
      </c>
      <c r="P61" s="676">
        <f t="shared" si="2"/>
        <v>0.87073170731707317</v>
      </c>
      <c r="Q61" s="676">
        <f t="shared" si="3"/>
        <v>0.12926829268292683</v>
      </c>
    </row>
    <row r="62" spans="1:17">
      <c r="A62" s="667" t="s">
        <v>141</v>
      </c>
      <c r="B62" s="668" t="s">
        <v>142</v>
      </c>
      <c r="C62" s="669" t="s">
        <v>276</v>
      </c>
      <c r="D62" s="669"/>
      <c r="E62" s="670">
        <v>3275</v>
      </c>
      <c r="F62" s="671">
        <v>3038</v>
      </c>
      <c r="G62" s="672">
        <v>237</v>
      </c>
      <c r="I62" s="673">
        <f t="shared" si="0"/>
        <v>0.92763358778625959</v>
      </c>
      <c r="J62" s="674">
        <f t="shared" si="1"/>
        <v>7.2366412213740461E-2</v>
      </c>
      <c r="L62" s="675">
        <v>1155</v>
      </c>
      <c r="M62" s="675">
        <v>1059</v>
      </c>
      <c r="N62" s="675">
        <v>96</v>
      </c>
      <c r="P62" s="676">
        <f t="shared" si="2"/>
        <v>0.91688311688311686</v>
      </c>
      <c r="Q62" s="676">
        <f t="shared" si="3"/>
        <v>8.3116883116883117E-2</v>
      </c>
    </row>
    <row r="63" spans="1:17">
      <c r="A63" s="667" t="s">
        <v>147</v>
      </c>
      <c r="B63" s="668" t="s">
        <v>148</v>
      </c>
      <c r="C63" s="669" t="s">
        <v>272</v>
      </c>
      <c r="D63" s="669"/>
      <c r="E63" s="670">
        <v>2330</v>
      </c>
      <c r="F63" s="671">
        <v>2197</v>
      </c>
      <c r="G63" s="672">
        <v>133</v>
      </c>
      <c r="I63" s="673">
        <f t="shared" si="0"/>
        <v>0.94291845493562232</v>
      </c>
      <c r="J63" s="674">
        <f t="shared" si="1"/>
        <v>5.7081545064377681E-2</v>
      </c>
      <c r="L63" s="675">
        <v>638</v>
      </c>
      <c r="M63" s="675">
        <v>601</v>
      </c>
      <c r="N63" s="675">
        <v>37</v>
      </c>
      <c r="P63" s="676">
        <f t="shared" si="2"/>
        <v>0.94200626959247646</v>
      </c>
      <c r="Q63" s="676">
        <f t="shared" si="3"/>
        <v>5.7993730407523508E-2</v>
      </c>
    </row>
    <row r="64" spans="1:17">
      <c r="A64" s="667" t="s">
        <v>149</v>
      </c>
      <c r="B64" s="668" t="s">
        <v>150</v>
      </c>
      <c r="C64" s="669" t="s">
        <v>273</v>
      </c>
      <c r="D64" s="669"/>
      <c r="E64" s="670">
        <v>6861</v>
      </c>
      <c r="F64" s="671">
        <v>6186</v>
      </c>
      <c r="G64" s="672">
        <v>675</v>
      </c>
      <c r="I64" s="673">
        <f t="shared" si="0"/>
        <v>0.90161783996501965</v>
      </c>
      <c r="J64" s="674">
        <f t="shared" si="1"/>
        <v>9.838216003498032E-2</v>
      </c>
      <c r="L64" s="675">
        <v>1992</v>
      </c>
      <c r="M64" s="675">
        <v>1717</v>
      </c>
      <c r="N64" s="675">
        <v>275</v>
      </c>
      <c r="P64" s="676">
        <f t="shared" si="2"/>
        <v>0.86194779116465858</v>
      </c>
      <c r="Q64" s="676">
        <f t="shared" si="3"/>
        <v>0.13805220883534136</v>
      </c>
    </row>
    <row r="65" spans="1:17">
      <c r="A65" s="667" t="s">
        <v>151</v>
      </c>
      <c r="B65" s="668" t="s">
        <v>152</v>
      </c>
      <c r="C65" s="669" t="s">
        <v>275</v>
      </c>
      <c r="D65" s="669"/>
      <c r="E65" s="670">
        <v>2747</v>
      </c>
      <c r="F65" s="671">
        <v>2538</v>
      </c>
      <c r="G65" s="672">
        <v>209</v>
      </c>
      <c r="I65" s="673">
        <f t="shared" si="0"/>
        <v>0.92391700036403346</v>
      </c>
      <c r="J65" s="674">
        <f t="shared" si="1"/>
        <v>7.6082999635966514E-2</v>
      </c>
      <c r="L65" s="675">
        <v>658</v>
      </c>
      <c r="M65" s="675">
        <v>585</v>
      </c>
      <c r="N65" s="675">
        <v>73</v>
      </c>
      <c r="P65" s="676">
        <f t="shared" si="2"/>
        <v>0.88905775075987847</v>
      </c>
      <c r="Q65" s="676">
        <f t="shared" si="3"/>
        <v>0.11094224924012158</v>
      </c>
    </row>
    <row r="66" spans="1:17">
      <c r="A66" s="667" t="s">
        <v>153</v>
      </c>
      <c r="B66" s="668" t="s">
        <v>154</v>
      </c>
      <c r="C66" s="669" t="s">
        <v>278</v>
      </c>
      <c r="D66" s="669"/>
      <c r="E66" s="670">
        <v>16873</v>
      </c>
      <c r="F66" s="671">
        <v>14910</v>
      </c>
      <c r="G66" s="672">
        <v>1963</v>
      </c>
      <c r="I66" s="673">
        <f t="shared" si="0"/>
        <v>0.88366028566348609</v>
      </c>
      <c r="J66" s="674">
        <f t="shared" si="1"/>
        <v>0.11633971433651395</v>
      </c>
      <c r="L66" s="675">
        <v>6218</v>
      </c>
      <c r="M66" s="675">
        <v>5687</v>
      </c>
      <c r="N66" s="675">
        <v>531</v>
      </c>
      <c r="P66" s="676">
        <f t="shared" si="2"/>
        <v>0.91460276616275327</v>
      </c>
      <c r="Q66" s="676">
        <f t="shared" si="3"/>
        <v>8.5397233837246705E-2</v>
      </c>
    </row>
    <row r="67" spans="1:17">
      <c r="A67" s="667" t="s">
        <v>155</v>
      </c>
      <c r="B67" s="668" t="s">
        <v>156</v>
      </c>
      <c r="C67" s="669" t="s">
        <v>273</v>
      </c>
      <c r="D67" s="669"/>
      <c r="E67" s="670">
        <v>3674</v>
      </c>
      <c r="F67" s="671">
        <v>3298</v>
      </c>
      <c r="G67" s="672">
        <v>376</v>
      </c>
      <c r="I67" s="673">
        <f t="shared" si="0"/>
        <v>0.89765922700054435</v>
      </c>
      <c r="J67" s="674">
        <f t="shared" si="1"/>
        <v>0.10234077299945564</v>
      </c>
      <c r="L67" s="675">
        <v>1100</v>
      </c>
      <c r="M67" s="675">
        <v>953</v>
      </c>
      <c r="N67" s="675">
        <v>147</v>
      </c>
      <c r="P67" s="676">
        <f t="shared" si="2"/>
        <v>0.86636363636363634</v>
      </c>
      <c r="Q67" s="676">
        <f t="shared" si="3"/>
        <v>0.13363636363636364</v>
      </c>
    </row>
    <row r="68" spans="1:17">
      <c r="A68" s="667" t="s">
        <v>157</v>
      </c>
      <c r="B68" s="668" t="s">
        <v>158</v>
      </c>
      <c r="C68" s="669" t="s">
        <v>275</v>
      </c>
      <c r="D68" s="669"/>
      <c r="E68" s="670">
        <v>4793</v>
      </c>
      <c r="F68" s="671">
        <v>4456</v>
      </c>
      <c r="G68" s="672">
        <v>337</v>
      </c>
      <c r="I68" s="673">
        <f t="shared" si="0"/>
        <v>0.92968912998122266</v>
      </c>
      <c r="J68" s="674">
        <f t="shared" si="1"/>
        <v>7.031087001877738E-2</v>
      </c>
      <c r="L68" s="675">
        <v>1749</v>
      </c>
      <c r="M68" s="675">
        <v>1625</v>
      </c>
      <c r="N68" s="675">
        <v>124</v>
      </c>
      <c r="P68" s="676">
        <f t="shared" si="2"/>
        <v>0.9291023441966838</v>
      </c>
      <c r="Q68" s="676">
        <f t="shared" si="3"/>
        <v>7.0897655803316181E-2</v>
      </c>
    </row>
    <row r="69" spans="1:17">
      <c r="A69" s="667" t="s">
        <v>163</v>
      </c>
      <c r="B69" s="668" t="s">
        <v>164</v>
      </c>
      <c r="C69" s="669" t="s">
        <v>272</v>
      </c>
      <c r="D69" s="669"/>
      <c r="E69" s="670">
        <v>2588</v>
      </c>
      <c r="F69" s="671">
        <v>2305</v>
      </c>
      <c r="G69" s="672">
        <v>283</v>
      </c>
      <c r="I69" s="673">
        <f t="shared" si="0"/>
        <v>0.89064914992272026</v>
      </c>
      <c r="J69" s="674">
        <f t="shared" si="1"/>
        <v>0.10935085007727975</v>
      </c>
      <c r="L69" s="675">
        <v>711</v>
      </c>
      <c r="M69" s="675">
        <v>599</v>
      </c>
      <c r="N69" s="675">
        <v>112</v>
      </c>
      <c r="P69" s="676">
        <f t="shared" si="2"/>
        <v>0.84247538677918421</v>
      </c>
      <c r="Q69" s="676">
        <f t="shared" si="3"/>
        <v>0.15752461322081576</v>
      </c>
    </row>
    <row r="70" spans="1:17">
      <c r="A70" s="667" t="s">
        <v>165</v>
      </c>
      <c r="B70" s="668" t="s">
        <v>166</v>
      </c>
      <c r="C70" s="669" t="s">
        <v>275</v>
      </c>
      <c r="D70" s="669"/>
      <c r="E70" s="670">
        <v>3261</v>
      </c>
      <c r="F70" s="671">
        <v>3009</v>
      </c>
      <c r="G70" s="672">
        <v>252</v>
      </c>
      <c r="I70" s="673">
        <f t="shared" si="0"/>
        <v>0.92272309107635697</v>
      </c>
      <c r="J70" s="674">
        <f t="shared" si="1"/>
        <v>7.7276908923643056E-2</v>
      </c>
      <c r="L70" s="675">
        <v>657</v>
      </c>
      <c r="M70" s="675">
        <v>584</v>
      </c>
      <c r="N70" s="675">
        <v>73</v>
      </c>
      <c r="P70" s="676">
        <f t="shared" si="2"/>
        <v>0.88888888888888884</v>
      </c>
      <c r="Q70" s="676">
        <f t="shared" si="3"/>
        <v>0.1111111111111111</v>
      </c>
    </row>
    <row r="71" spans="1:17">
      <c r="A71" s="667" t="s">
        <v>169</v>
      </c>
      <c r="B71" s="668" t="s">
        <v>170</v>
      </c>
      <c r="C71" s="669" t="s">
        <v>275</v>
      </c>
      <c r="D71" s="669"/>
      <c r="E71" s="670">
        <v>2872</v>
      </c>
      <c r="F71" s="671">
        <v>2555</v>
      </c>
      <c r="G71" s="672">
        <v>317</v>
      </c>
      <c r="I71" s="673">
        <f t="shared" ref="I71:I126" si="4">F71/E71</f>
        <v>0.88962395543175488</v>
      </c>
      <c r="J71" s="674">
        <f t="shared" ref="J71:J126" si="5">G71/E71</f>
        <v>0.11037604456824512</v>
      </c>
      <c r="L71" s="675">
        <v>1023</v>
      </c>
      <c r="M71" s="675">
        <v>879</v>
      </c>
      <c r="N71" s="675">
        <v>144</v>
      </c>
      <c r="P71" s="676">
        <f t="shared" ref="P71:P126" si="6">M71/L71</f>
        <v>0.85923753665689151</v>
      </c>
      <c r="Q71" s="676">
        <f t="shared" ref="Q71:Q126" si="7">N71/L71</f>
        <v>0.14076246334310852</v>
      </c>
    </row>
    <row r="72" spans="1:17">
      <c r="A72" s="667" t="s">
        <v>171</v>
      </c>
      <c r="B72" s="668" t="s">
        <v>172</v>
      </c>
      <c r="C72" s="669" t="s">
        <v>276</v>
      </c>
      <c r="D72" s="669"/>
      <c r="E72" s="670">
        <v>8029</v>
      </c>
      <c r="F72" s="671">
        <v>7323</v>
      </c>
      <c r="G72" s="672">
        <v>706</v>
      </c>
      <c r="I72" s="673">
        <f t="shared" si="4"/>
        <v>0.91206875077842819</v>
      </c>
      <c r="J72" s="674">
        <f t="shared" si="5"/>
        <v>8.7931249221571806E-2</v>
      </c>
      <c r="L72" s="675">
        <v>2859</v>
      </c>
      <c r="M72" s="675">
        <v>2581</v>
      </c>
      <c r="N72" s="675">
        <v>278</v>
      </c>
      <c r="P72" s="676">
        <f t="shared" si="6"/>
        <v>0.90276320391745368</v>
      </c>
      <c r="Q72" s="676">
        <f t="shared" si="7"/>
        <v>9.7236796082546345E-2</v>
      </c>
    </row>
    <row r="73" spans="1:17">
      <c r="A73" s="667" t="s">
        <v>173</v>
      </c>
      <c r="B73" s="668" t="s">
        <v>174</v>
      </c>
      <c r="C73" s="669" t="s">
        <v>276</v>
      </c>
      <c r="D73" s="669"/>
      <c r="E73" s="670">
        <v>5801</v>
      </c>
      <c r="F73" s="671">
        <v>5126</v>
      </c>
      <c r="G73" s="672">
        <v>675</v>
      </c>
      <c r="I73" s="673">
        <f t="shared" si="4"/>
        <v>0.88364075159455269</v>
      </c>
      <c r="J73" s="674">
        <f t="shared" si="5"/>
        <v>0.11635924840544734</v>
      </c>
      <c r="L73" s="675">
        <v>2042</v>
      </c>
      <c r="M73" s="675">
        <v>1748</v>
      </c>
      <c r="N73" s="675">
        <v>294</v>
      </c>
      <c r="P73" s="676">
        <f t="shared" si="6"/>
        <v>0.85602350636630753</v>
      </c>
      <c r="Q73" s="676">
        <f t="shared" si="7"/>
        <v>0.14397649363369247</v>
      </c>
    </row>
    <row r="74" spans="1:17">
      <c r="A74" s="667" t="s">
        <v>175</v>
      </c>
      <c r="B74" s="668" t="s">
        <v>176</v>
      </c>
      <c r="C74" s="669" t="s">
        <v>278</v>
      </c>
      <c r="D74" s="669"/>
      <c r="E74" s="670">
        <v>4631</v>
      </c>
      <c r="F74" s="671">
        <v>4305</v>
      </c>
      <c r="G74" s="672">
        <v>326</v>
      </c>
      <c r="I74" s="673">
        <f t="shared" si="4"/>
        <v>0.92960483696825735</v>
      </c>
      <c r="J74" s="674">
        <f t="shared" si="5"/>
        <v>7.0395163031742605E-2</v>
      </c>
      <c r="L74" s="675">
        <v>1404</v>
      </c>
      <c r="M74" s="675">
        <v>1272</v>
      </c>
      <c r="N74" s="675">
        <v>132</v>
      </c>
      <c r="P74" s="676">
        <f t="shared" si="6"/>
        <v>0.90598290598290598</v>
      </c>
      <c r="Q74" s="676">
        <f t="shared" si="7"/>
        <v>9.4017094017094016E-2</v>
      </c>
    </row>
    <row r="75" spans="1:17">
      <c r="A75" s="667" t="s">
        <v>179</v>
      </c>
      <c r="B75" s="668" t="s">
        <v>180</v>
      </c>
      <c r="C75" s="669" t="s">
        <v>273</v>
      </c>
      <c r="D75" s="669"/>
      <c r="E75" s="670">
        <v>14710</v>
      </c>
      <c r="F75" s="671">
        <v>13591</v>
      </c>
      <c r="G75" s="672">
        <v>1119</v>
      </c>
      <c r="I75" s="673">
        <f t="shared" si="4"/>
        <v>0.92392929979605709</v>
      </c>
      <c r="J75" s="674">
        <f t="shared" si="5"/>
        <v>7.6070700203942895E-2</v>
      </c>
      <c r="L75" s="675">
        <v>4922</v>
      </c>
      <c r="M75" s="675">
        <v>4454</v>
      </c>
      <c r="N75" s="675">
        <v>468</v>
      </c>
      <c r="P75" s="676">
        <f t="shared" si="6"/>
        <v>0.90491670052824058</v>
      </c>
      <c r="Q75" s="676">
        <f t="shared" si="7"/>
        <v>9.5083299471759447E-2</v>
      </c>
    </row>
    <row r="76" spans="1:17">
      <c r="A76" s="667" t="s">
        <v>183</v>
      </c>
      <c r="B76" s="668" t="s">
        <v>184</v>
      </c>
      <c r="C76" s="669" t="s">
        <v>275</v>
      </c>
      <c r="D76" s="669"/>
      <c r="E76" s="670">
        <v>6742</v>
      </c>
      <c r="F76" s="671">
        <v>6381</v>
      </c>
      <c r="G76" s="672">
        <v>361</v>
      </c>
      <c r="I76" s="673">
        <f t="shared" si="4"/>
        <v>0.94645505784633643</v>
      </c>
      <c r="J76" s="674">
        <f t="shared" si="5"/>
        <v>5.3544942153663601E-2</v>
      </c>
      <c r="L76" s="675">
        <v>2714</v>
      </c>
      <c r="M76" s="675">
        <v>2587</v>
      </c>
      <c r="N76" s="675">
        <v>127</v>
      </c>
      <c r="P76" s="676">
        <f t="shared" si="6"/>
        <v>0.95320560058953574</v>
      </c>
      <c r="Q76" s="676">
        <f t="shared" si="7"/>
        <v>4.679439941046426E-2</v>
      </c>
    </row>
    <row r="77" spans="1:17">
      <c r="A77" s="667" t="s">
        <v>185</v>
      </c>
      <c r="B77" s="668" t="s">
        <v>186</v>
      </c>
      <c r="C77" s="669" t="s">
        <v>275</v>
      </c>
      <c r="D77" s="669"/>
      <c r="E77" s="670">
        <v>3707</v>
      </c>
      <c r="F77" s="671">
        <v>3275</v>
      </c>
      <c r="G77" s="672">
        <v>432</v>
      </c>
      <c r="I77" s="673">
        <f t="shared" si="4"/>
        <v>0.88346371729161044</v>
      </c>
      <c r="J77" s="674">
        <f t="shared" si="5"/>
        <v>0.11653628270838953</v>
      </c>
      <c r="L77" s="675">
        <v>1279</v>
      </c>
      <c r="M77" s="675">
        <v>1098</v>
      </c>
      <c r="N77" s="675">
        <v>181</v>
      </c>
      <c r="P77" s="676">
        <f t="shared" si="6"/>
        <v>0.85848318999218143</v>
      </c>
      <c r="Q77" s="676">
        <f t="shared" si="7"/>
        <v>0.1415168100078186</v>
      </c>
    </row>
    <row r="78" spans="1:17">
      <c r="A78" s="667" t="s">
        <v>187</v>
      </c>
      <c r="B78" s="668" t="s">
        <v>188</v>
      </c>
      <c r="C78" s="669" t="s">
        <v>272</v>
      </c>
      <c r="D78" s="669"/>
      <c r="E78" s="670">
        <v>7326</v>
      </c>
      <c r="F78" s="671">
        <v>6849</v>
      </c>
      <c r="G78" s="672">
        <v>477</v>
      </c>
      <c r="I78" s="673">
        <f t="shared" si="4"/>
        <v>0.93488943488943488</v>
      </c>
      <c r="J78" s="674">
        <f t="shared" si="5"/>
        <v>6.5110565110565108E-2</v>
      </c>
      <c r="L78" s="675">
        <v>2939</v>
      </c>
      <c r="M78" s="675">
        <v>2743</v>
      </c>
      <c r="N78" s="675">
        <v>196</v>
      </c>
      <c r="P78" s="676">
        <f t="shared" si="6"/>
        <v>0.93331064988091184</v>
      </c>
      <c r="Q78" s="676">
        <f t="shared" si="7"/>
        <v>6.6689350119088123E-2</v>
      </c>
    </row>
    <row r="79" spans="1:17">
      <c r="A79" s="667" t="s">
        <v>189</v>
      </c>
      <c r="B79" s="668" t="s">
        <v>190</v>
      </c>
      <c r="C79" s="669" t="s">
        <v>276</v>
      </c>
      <c r="D79" s="669"/>
      <c r="E79" s="670">
        <v>84487</v>
      </c>
      <c r="F79" s="671">
        <v>78037</v>
      </c>
      <c r="G79" s="672">
        <v>6450</v>
      </c>
      <c r="I79" s="673">
        <f t="shared" si="4"/>
        <v>0.92365689396001749</v>
      </c>
      <c r="J79" s="674">
        <f t="shared" si="5"/>
        <v>7.6343106039982483E-2</v>
      </c>
      <c r="L79" s="675">
        <v>44548</v>
      </c>
      <c r="M79" s="675">
        <v>41816</v>
      </c>
      <c r="N79" s="675">
        <v>2732</v>
      </c>
      <c r="P79" s="676">
        <f t="shared" si="6"/>
        <v>0.93867289216126426</v>
      </c>
      <c r="Q79" s="676">
        <f t="shared" si="7"/>
        <v>6.1327107838735746E-2</v>
      </c>
    </row>
    <row r="80" spans="1:17">
      <c r="A80" s="667" t="s">
        <v>191</v>
      </c>
      <c r="B80" s="668" t="s">
        <v>192</v>
      </c>
      <c r="C80" s="669" t="s">
        <v>278</v>
      </c>
      <c r="D80" s="669"/>
      <c r="E80" s="670">
        <v>8123</v>
      </c>
      <c r="F80" s="671">
        <v>7332</v>
      </c>
      <c r="G80" s="672">
        <v>791</v>
      </c>
      <c r="I80" s="673">
        <f t="shared" si="4"/>
        <v>0.90262218392219629</v>
      </c>
      <c r="J80" s="674">
        <f t="shared" si="5"/>
        <v>9.7377816077803769E-2</v>
      </c>
      <c r="L80" s="675">
        <v>2499</v>
      </c>
      <c r="M80" s="675">
        <v>2197</v>
      </c>
      <c r="N80" s="675">
        <v>302</v>
      </c>
      <c r="P80" s="676">
        <f t="shared" si="6"/>
        <v>0.87915166066426575</v>
      </c>
      <c r="Q80" s="676">
        <f t="shared" si="7"/>
        <v>0.1208483393357343</v>
      </c>
    </row>
    <row r="81" spans="1:17">
      <c r="A81" s="667" t="s">
        <v>195</v>
      </c>
      <c r="B81" s="668" t="s">
        <v>196</v>
      </c>
      <c r="C81" s="669" t="s">
        <v>276</v>
      </c>
      <c r="D81" s="669"/>
      <c r="E81" s="670">
        <v>1838</v>
      </c>
      <c r="F81" s="671">
        <v>1685</v>
      </c>
      <c r="G81" s="672">
        <v>153</v>
      </c>
      <c r="I81" s="673">
        <f t="shared" si="4"/>
        <v>0.91675734494015237</v>
      </c>
      <c r="J81" s="674">
        <f t="shared" si="5"/>
        <v>8.3242655059847667E-2</v>
      </c>
      <c r="L81" s="675">
        <v>573</v>
      </c>
      <c r="M81" s="675">
        <v>521</v>
      </c>
      <c r="N81" s="675">
        <v>52</v>
      </c>
      <c r="P81" s="676">
        <f t="shared" si="6"/>
        <v>0.90924956369982546</v>
      </c>
      <c r="Q81" s="676">
        <f t="shared" si="7"/>
        <v>9.0750436300174514E-2</v>
      </c>
    </row>
    <row r="82" spans="1:17">
      <c r="A82" s="667" t="s">
        <v>199</v>
      </c>
      <c r="B82" s="668" t="s">
        <v>200</v>
      </c>
      <c r="C82" s="669" t="s">
        <v>275</v>
      </c>
      <c r="D82" s="669"/>
      <c r="E82" s="670">
        <v>1629</v>
      </c>
      <c r="F82" s="671">
        <v>1480</v>
      </c>
      <c r="G82" s="672">
        <v>149</v>
      </c>
      <c r="I82" s="673">
        <f t="shared" si="4"/>
        <v>0.9085328422344997</v>
      </c>
      <c r="J82" s="674">
        <f t="shared" si="5"/>
        <v>9.1467157765500309E-2</v>
      </c>
      <c r="L82" s="675">
        <v>553</v>
      </c>
      <c r="M82" s="675">
        <v>488</v>
      </c>
      <c r="N82" s="675">
        <v>65</v>
      </c>
      <c r="P82" s="676">
        <f t="shared" si="6"/>
        <v>0.88245931283905965</v>
      </c>
      <c r="Q82" s="676">
        <f t="shared" si="7"/>
        <v>0.11754068716094032</v>
      </c>
    </row>
    <row r="83" spans="1:17">
      <c r="A83" s="667" t="s">
        <v>203</v>
      </c>
      <c r="B83" s="668" t="s">
        <v>887</v>
      </c>
      <c r="C83" s="669" t="s">
        <v>273</v>
      </c>
      <c r="D83" s="669"/>
      <c r="E83" s="670">
        <v>27391</v>
      </c>
      <c r="F83" s="671">
        <v>25544</v>
      </c>
      <c r="G83" s="672">
        <v>1847</v>
      </c>
      <c r="I83" s="673">
        <f t="shared" si="4"/>
        <v>0.93256909203753058</v>
      </c>
      <c r="J83" s="674">
        <f t="shared" si="5"/>
        <v>6.7430907962469422E-2</v>
      </c>
      <c r="L83" s="675">
        <v>10136</v>
      </c>
      <c r="M83" s="675">
        <v>9529</v>
      </c>
      <c r="N83" s="675">
        <v>607</v>
      </c>
      <c r="P83" s="676">
        <f t="shared" si="6"/>
        <v>0.94011444356748219</v>
      </c>
      <c r="Q83" s="676">
        <f t="shared" si="7"/>
        <v>5.9885556432517757E-2</v>
      </c>
    </row>
    <row r="84" spans="1:17">
      <c r="A84" s="667" t="s">
        <v>205</v>
      </c>
      <c r="B84" s="668" t="s">
        <v>359</v>
      </c>
      <c r="C84" s="669" t="s">
        <v>273</v>
      </c>
      <c r="D84" s="669"/>
      <c r="E84" s="670">
        <v>7830</v>
      </c>
      <c r="F84" s="671">
        <v>7065</v>
      </c>
      <c r="G84" s="672">
        <v>765</v>
      </c>
      <c r="I84" s="673">
        <f t="shared" si="4"/>
        <v>0.9022988505747126</v>
      </c>
      <c r="J84" s="674">
        <f t="shared" si="5"/>
        <v>9.7701149425287362E-2</v>
      </c>
      <c r="L84" s="675">
        <v>2523</v>
      </c>
      <c r="M84" s="675">
        <v>2233</v>
      </c>
      <c r="N84" s="675">
        <v>290</v>
      </c>
      <c r="P84" s="676">
        <f t="shared" si="6"/>
        <v>0.88505747126436785</v>
      </c>
      <c r="Q84" s="676">
        <f t="shared" si="7"/>
        <v>0.11494252873563218</v>
      </c>
    </row>
    <row r="85" spans="1:17">
      <c r="A85" s="667" t="s">
        <v>207</v>
      </c>
      <c r="B85" s="668" t="s">
        <v>360</v>
      </c>
      <c r="C85" s="669" t="s">
        <v>276</v>
      </c>
      <c r="D85" s="669"/>
      <c r="E85" s="670">
        <v>24868</v>
      </c>
      <c r="F85" s="671">
        <v>22377</v>
      </c>
      <c r="G85" s="672">
        <v>2491</v>
      </c>
      <c r="I85" s="673">
        <f t="shared" si="4"/>
        <v>0.89983110825156831</v>
      </c>
      <c r="J85" s="674">
        <f t="shared" si="5"/>
        <v>0.10016889174843172</v>
      </c>
      <c r="L85" s="675">
        <v>9709</v>
      </c>
      <c r="M85" s="675">
        <v>8763</v>
      </c>
      <c r="N85" s="675">
        <v>946</v>
      </c>
      <c r="P85" s="676">
        <f t="shared" si="6"/>
        <v>0.90256463075496962</v>
      </c>
      <c r="Q85" s="676">
        <f t="shared" si="7"/>
        <v>9.7435369245030379E-2</v>
      </c>
    </row>
    <row r="86" spans="1:17">
      <c r="A86" s="667" t="s">
        <v>209</v>
      </c>
      <c r="B86" s="668" t="s">
        <v>210</v>
      </c>
      <c r="C86" s="669" t="s">
        <v>278</v>
      </c>
      <c r="D86" s="669"/>
      <c r="E86" s="670">
        <v>7121</v>
      </c>
      <c r="F86" s="671">
        <v>6663</v>
      </c>
      <c r="G86" s="672">
        <v>458</v>
      </c>
      <c r="I86" s="673">
        <f t="shared" si="4"/>
        <v>0.9356831905631231</v>
      </c>
      <c r="J86" s="674">
        <f t="shared" si="5"/>
        <v>6.4316809436876843E-2</v>
      </c>
      <c r="L86" s="675">
        <v>2435</v>
      </c>
      <c r="M86" s="675">
        <v>2264</v>
      </c>
      <c r="N86" s="675">
        <v>171</v>
      </c>
      <c r="P86" s="676">
        <f t="shared" si="6"/>
        <v>0.92977412731006159</v>
      </c>
      <c r="Q86" s="676">
        <f t="shared" si="7"/>
        <v>7.0225872689938393E-2</v>
      </c>
    </row>
    <row r="87" spans="1:17">
      <c r="A87" s="667" t="s">
        <v>211</v>
      </c>
      <c r="B87" s="668" t="s">
        <v>212</v>
      </c>
      <c r="C87" s="669" t="s">
        <v>278</v>
      </c>
      <c r="D87" s="669"/>
      <c r="E87" s="670">
        <v>5615</v>
      </c>
      <c r="F87" s="671">
        <v>5267</v>
      </c>
      <c r="G87" s="672">
        <v>348</v>
      </c>
      <c r="I87" s="673">
        <f t="shared" si="4"/>
        <v>0.93802315227070343</v>
      </c>
      <c r="J87" s="674">
        <f t="shared" si="5"/>
        <v>6.1976847729296528E-2</v>
      </c>
      <c r="L87" s="675">
        <v>1805</v>
      </c>
      <c r="M87" s="675">
        <v>1674</v>
      </c>
      <c r="N87" s="675">
        <v>131</v>
      </c>
      <c r="P87" s="676">
        <f t="shared" si="6"/>
        <v>0.92742382271468149</v>
      </c>
      <c r="Q87" s="676">
        <f t="shared" si="7"/>
        <v>7.2576177285318566E-2</v>
      </c>
    </row>
    <row r="88" spans="1:17">
      <c r="A88" s="667" t="s">
        <v>213</v>
      </c>
      <c r="B88" s="668" t="s">
        <v>214</v>
      </c>
      <c r="C88" s="669" t="s">
        <v>276</v>
      </c>
      <c r="D88" s="669"/>
      <c r="E88" s="670">
        <v>10226</v>
      </c>
      <c r="F88" s="671">
        <v>9052</v>
      </c>
      <c r="G88" s="672">
        <v>1174</v>
      </c>
      <c r="I88" s="673">
        <f t="shared" si="4"/>
        <v>0.88519460199491495</v>
      </c>
      <c r="J88" s="674">
        <f t="shared" si="5"/>
        <v>0.11480539800508507</v>
      </c>
      <c r="L88" s="675">
        <v>3535</v>
      </c>
      <c r="M88" s="675">
        <v>3074</v>
      </c>
      <c r="N88" s="675">
        <v>461</v>
      </c>
      <c r="P88" s="676">
        <f t="shared" si="6"/>
        <v>0.86958981612446962</v>
      </c>
      <c r="Q88" s="676">
        <f t="shared" si="7"/>
        <v>0.13041018387553041</v>
      </c>
    </row>
    <row r="89" spans="1:17">
      <c r="A89" s="667" t="s">
        <v>215</v>
      </c>
      <c r="B89" s="668" t="s">
        <v>216</v>
      </c>
      <c r="C89" s="669" t="s">
        <v>278</v>
      </c>
      <c r="D89" s="669"/>
      <c r="E89" s="670">
        <v>7375</v>
      </c>
      <c r="F89" s="671">
        <v>6640</v>
      </c>
      <c r="G89" s="672">
        <v>735</v>
      </c>
      <c r="I89" s="673">
        <f t="shared" si="4"/>
        <v>0.90033898305084747</v>
      </c>
      <c r="J89" s="674">
        <f t="shared" si="5"/>
        <v>9.9661016949152539E-2</v>
      </c>
      <c r="L89" s="675">
        <v>2466</v>
      </c>
      <c r="M89" s="675">
        <v>2168</v>
      </c>
      <c r="N89" s="675">
        <v>298</v>
      </c>
      <c r="P89" s="676">
        <f t="shared" si="6"/>
        <v>0.87915652879156525</v>
      </c>
      <c r="Q89" s="676">
        <f t="shared" si="7"/>
        <v>0.12084347120843471</v>
      </c>
    </row>
    <row r="90" spans="1:17">
      <c r="A90" s="667" t="s">
        <v>217</v>
      </c>
      <c r="B90" s="668" t="s">
        <v>218</v>
      </c>
      <c r="C90" s="669" t="s">
        <v>272</v>
      </c>
      <c r="D90" s="669"/>
      <c r="E90" s="670">
        <v>3804</v>
      </c>
      <c r="F90" s="671">
        <v>3501</v>
      </c>
      <c r="G90" s="672">
        <v>303</v>
      </c>
      <c r="I90" s="673">
        <f t="shared" si="4"/>
        <v>0.92034700315457418</v>
      </c>
      <c r="J90" s="674">
        <f t="shared" si="5"/>
        <v>7.9652996845425872E-2</v>
      </c>
      <c r="L90" s="675">
        <v>1348</v>
      </c>
      <c r="M90" s="675">
        <v>1235</v>
      </c>
      <c r="N90" s="675">
        <v>113</v>
      </c>
      <c r="P90" s="676">
        <f t="shared" si="6"/>
        <v>0.91617210682492578</v>
      </c>
      <c r="Q90" s="676">
        <f t="shared" si="7"/>
        <v>8.3827893175074178E-2</v>
      </c>
    </row>
    <row r="91" spans="1:17">
      <c r="A91" s="667" t="s">
        <v>219</v>
      </c>
      <c r="B91" s="668" t="s">
        <v>220</v>
      </c>
      <c r="C91" s="669" t="s">
        <v>276</v>
      </c>
      <c r="D91" s="669"/>
      <c r="E91" s="670">
        <v>27740</v>
      </c>
      <c r="F91" s="671">
        <v>25473</v>
      </c>
      <c r="G91" s="672">
        <v>2267</v>
      </c>
      <c r="I91" s="673">
        <f t="shared" si="4"/>
        <v>0.91827685652487379</v>
      </c>
      <c r="J91" s="674">
        <f t="shared" si="5"/>
        <v>8.1723143475126173E-2</v>
      </c>
      <c r="L91" s="675">
        <v>12842</v>
      </c>
      <c r="M91" s="675">
        <v>11937</v>
      </c>
      <c r="N91" s="675">
        <v>905</v>
      </c>
      <c r="P91" s="676">
        <f t="shared" si="6"/>
        <v>0.92952811088615483</v>
      </c>
      <c r="Q91" s="676">
        <f t="shared" si="7"/>
        <v>7.0471889113845193E-2</v>
      </c>
    </row>
    <row r="92" spans="1:17">
      <c r="A92" s="667" t="s">
        <v>221</v>
      </c>
      <c r="B92" s="668" t="s">
        <v>222</v>
      </c>
      <c r="C92" s="669" t="s">
        <v>276</v>
      </c>
      <c r="D92" s="669"/>
      <c r="E92" s="670">
        <v>28707</v>
      </c>
      <c r="F92" s="671">
        <v>26742</v>
      </c>
      <c r="G92" s="672">
        <v>1965</v>
      </c>
      <c r="I92" s="673">
        <f t="shared" si="4"/>
        <v>0.93154979621695055</v>
      </c>
      <c r="J92" s="674">
        <f t="shared" si="5"/>
        <v>6.8450203783049432E-2</v>
      </c>
      <c r="L92" s="675">
        <v>14418</v>
      </c>
      <c r="M92" s="675">
        <v>13579</v>
      </c>
      <c r="N92" s="675">
        <v>839</v>
      </c>
      <c r="P92" s="676">
        <f t="shared" si="6"/>
        <v>0.94180885004855042</v>
      </c>
      <c r="Q92" s="676">
        <f t="shared" si="7"/>
        <v>5.8191149951449576E-2</v>
      </c>
    </row>
    <row r="93" spans="1:17">
      <c r="A93" s="667" t="s">
        <v>225</v>
      </c>
      <c r="B93" s="668" t="s">
        <v>226</v>
      </c>
      <c r="C93" s="669" t="s">
        <v>272</v>
      </c>
      <c r="D93" s="669"/>
      <c r="E93" s="670">
        <v>1585</v>
      </c>
      <c r="F93" s="671">
        <v>1455</v>
      </c>
      <c r="G93" s="672">
        <v>130</v>
      </c>
      <c r="I93" s="673">
        <f t="shared" si="4"/>
        <v>0.917981072555205</v>
      </c>
      <c r="J93" s="674">
        <f t="shared" si="5"/>
        <v>8.2018927444794956E-2</v>
      </c>
      <c r="L93" s="675">
        <v>492</v>
      </c>
      <c r="M93" s="675">
        <v>446</v>
      </c>
      <c r="N93" s="675">
        <v>46</v>
      </c>
      <c r="P93" s="676">
        <f t="shared" si="6"/>
        <v>0.9065040650406504</v>
      </c>
      <c r="Q93" s="676">
        <f t="shared" si="7"/>
        <v>9.3495934959349589E-2</v>
      </c>
    </row>
    <row r="94" spans="1:17">
      <c r="A94" s="667" t="s">
        <v>227</v>
      </c>
      <c r="B94" s="668" t="s">
        <v>228</v>
      </c>
      <c r="C94" s="669" t="s">
        <v>272</v>
      </c>
      <c r="D94" s="669"/>
      <c r="E94" s="670">
        <v>1927</v>
      </c>
      <c r="F94" s="671">
        <v>1700</v>
      </c>
      <c r="G94" s="672">
        <v>227</v>
      </c>
      <c r="I94" s="673">
        <f t="shared" si="4"/>
        <v>0.8822003113648158</v>
      </c>
      <c r="J94" s="674">
        <f t="shared" si="5"/>
        <v>0.11779968863518422</v>
      </c>
      <c r="L94" s="675">
        <v>596</v>
      </c>
      <c r="M94" s="675">
        <v>516</v>
      </c>
      <c r="N94" s="675">
        <v>80</v>
      </c>
      <c r="P94" s="676">
        <f t="shared" si="6"/>
        <v>0.86577181208053688</v>
      </c>
      <c r="Q94" s="676">
        <f t="shared" si="7"/>
        <v>0.13422818791946309</v>
      </c>
    </row>
    <row r="95" spans="1:17">
      <c r="A95" s="667" t="s">
        <v>229</v>
      </c>
      <c r="B95" s="668" t="s">
        <v>230</v>
      </c>
      <c r="C95" s="669" t="s">
        <v>278</v>
      </c>
      <c r="D95" s="669"/>
      <c r="E95" s="670">
        <v>10694</v>
      </c>
      <c r="F95" s="671">
        <v>9927</v>
      </c>
      <c r="G95" s="672">
        <v>767</v>
      </c>
      <c r="I95" s="673">
        <f t="shared" si="4"/>
        <v>0.92827753880680752</v>
      </c>
      <c r="J95" s="674">
        <f t="shared" si="5"/>
        <v>7.1722461193192449E-2</v>
      </c>
      <c r="L95" s="675">
        <v>3630</v>
      </c>
      <c r="M95" s="675">
        <v>3309</v>
      </c>
      <c r="N95" s="675">
        <v>321</v>
      </c>
      <c r="P95" s="676">
        <f t="shared" si="6"/>
        <v>0.9115702479338843</v>
      </c>
      <c r="Q95" s="676">
        <f t="shared" si="7"/>
        <v>8.8429752066115697E-2</v>
      </c>
    </row>
    <row r="96" spans="1:17">
      <c r="A96" s="667" t="s">
        <v>233</v>
      </c>
      <c r="B96" s="668" t="s">
        <v>234</v>
      </c>
      <c r="C96" s="669" t="s">
        <v>276</v>
      </c>
      <c r="D96" s="669"/>
      <c r="E96" s="670">
        <v>8466</v>
      </c>
      <c r="F96" s="671">
        <v>7448</v>
      </c>
      <c r="G96" s="672">
        <v>1018</v>
      </c>
      <c r="I96" s="673">
        <f t="shared" si="4"/>
        <v>0.87975431136309945</v>
      </c>
      <c r="J96" s="674">
        <f t="shared" si="5"/>
        <v>0.12024568863690055</v>
      </c>
      <c r="L96" s="675">
        <v>3365</v>
      </c>
      <c r="M96" s="675">
        <v>2964</v>
      </c>
      <c r="N96" s="675">
        <v>401</v>
      </c>
      <c r="P96" s="676">
        <f t="shared" si="6"/>
        <v>0.88083209509658245</v>
      </c>
      <c r="Q96" s="676">
        <f t="shared" si="7"/>
        <v>0.11916790490341754</v>
      </c>
    </row>
    <row r="97" spans="1:17">
      <c r="A97" s="667" t="s">
        <v>235</v>
      </c>
      <c r="B97" s="668" t="s">
        <v>236</v>
      </c>
      <c r="C97" s="669" t="s">
        <v>278</v>
      </c>
      <c r="D97" s="669"/>
      <c r="E97" s="670">
        <v>13451</v>
      </c>
      <c r="F97" s="671">
        <v>12472</v>
      </c>
      <c r="G97" s="672">
        <v>979</v>
      </c>
      <c r="I97" s="673">
        <f t="shared" si="4"/>
        <v>0.92721730726340046</v>
      </c>
      <c r="J97" s="674">
        <f t="shared" si="5"/>
        <v>7.2782692736599514E-2</v>
      </c>
      <c r="L97" s="675">
        <v>4316</v>
      </c>
      <c r="M97" s="675">
        <v>3992</v>
      </c>
      <c r="N97" s="675">
        <v>324</v>
      </c>
      <c r="P97" s="676">
        <f t="shared" si="6"/>
        <v>0.92493049119555149</v>
      </c>
      <c r="Q97" s="676">
        <f t="shared" si="7"/>
        <v>7.506950880444857E-2</v>
      </c>
    </row>
    <row r="98" spans="1:17">
      <c r="A98" s="667" t="s">
        <v>237</v>
      </c>
      <c r="B98" s="668" t="s">
        <v>238</v>
      </c>
      <c r="C98" s="669" t="s">
        <v>275</v>
      </c>
      <c r="D98" s="669"/>
      <c r="E98" s="670">
        <v>3942</v>
      </c>
      <c r="F98" s="671">
        <v>3509</v>
      </c>
      <c r="G98" s="672">
        <v>433</v>
      </c>
      <c r="I98" s="673">
        <f t="shared" si="4"/>
        <v>0.89015728056823951</v>
      </c>
      <c r="J98" s="674">
        <f t="shared" si="5"/>
        <v>0.10984271943176052</v>
      </c>
      <c r="L98" s="675">
        <v>1096</v>
      </c>
      <c r="M98" s="675">
        <v>949</v>
      </c>
      <c r="N98" s="675">
        <v>147</v>
      </c>
      <c r="P98" s="676">
        <f t="shared" si="6"/>
        <v>0.86587591240875916</v>
      </c>
      <c r="Q98" s="676">
        <f t="shared" si="7"/>
        <v>0.13412408759124086</v>
      </c>
    </row>
    <row r="99" spans="1:17">
      <c r="A99" s="667" t="s">
        <v>243</v>
      </c>
      <c r="B99" s="668" t="s">
        <v>244</v>
      </c>
      <c r="C99" s="669" t="s">
        <v>278</v>
      </c>
      <c r="D99" s="669"/>
      <c r="E99" s="670">
        <v>8806</v>
      </c>
      <c r="F99" s="671">
        <v>8036</v>
      </c>
      <c r="G99" s="672">
        <v>770</v>
      </c>
      <c r="I99" s="673">
        <f t="shared" si="4"/>
        <v>0.91255961844197142</v>
      </c>
      <c r="J99" s="674">
        <f t="shared" si="5"/>
        <v>8.7440381558028621E-2</v>
      </c>
      <c r="L99" s="675">
        <v>3189</v>
      </c>
      <c r="M99" s="675">
        <v>2847</v>
      </c>
      <c r="N99" s="675">
        <v>342</v>
      </c>
      <c r="P99" s="676">
        <f t="shared" si="6"/>
        <v>0.89275634995296327</v>
      </c>
      <c r="Q99" s="676">
        <f t="shared" si="7"/>
        <v>0.10724365004703669</v>
      </c>
    </row>
    <row r="100" spans="1:17">
      <c r="A100" s="667" t="s">
        <v>245</v>
      </c>
      <c r="B100" s="668" t="s">
        <v>246</v>
      </c>
      <c r="C100" s="669" t="s">
        <v>278</v>
      </c>
      <c r="D100" s="669"/>
      <c r="E100" s="670">
        <v>7017</v>
      </c>
      <c r="F100" s="671">
        <v>6427</v>
      </c>
      <c r="G100" s="672">
        <v>590</v>
      </c>
      <c r="I100" s="673">
        <f t="shared" si="4"/>
        <v>0.91591848368248541</v>
      </c>
      <c r="J100" s="674">
        <f t="shared" si="5"/>
        <v>8.4081516317514607E-2</v>
      </c>
      <c r="L100" s="675">
        <v>2359</v>
      </c>
      <c r="M100" s="675">
        <v>2122</v>
      </c>
      <c r="N100" s="675">
        <v>237</v>
      </c>
      <c r="P100" s="676">
        <f t="shared" si="6"/>
        <v>0.89953370072064431</v>
      </c>
      <c r="Q100" s="676">
        <f t="shared" si="7"/>
        <v>0.10046629927935566</v>
      </c>
    </row>
    <row r="101" spans="1:17">
      <c r="A101" s="667" t="s">
        <v>247</v>
      </c>
      <c r="B101" s="668" t="s">
        <v>248</v>
      </c>
      <c r="C101" s="669" t="s">
        <v>272</v>
      </c>
      <c r="D101" s="669"/>
      <c r="E101" s="670">
        <v>19258</v>
      </c>
      <c r="F101" s="671">
        <v>18334</v>
      </c>
      <c r="G101" s="672">
        <v>924</v>
      </c>
      <c r="I101" s="673">
        <f t="shared" si="4"/>
        <v>0.95201993976529231</v>
      </c>
      <c r="J101" s="674">
        <f t="shared" si="5"/>
        <v>4.7980060234707654E-2</v>
      </c>
      <c r="L101" s="675">
        <v>8546</v>
      </c>
      <c r="M101" s="675">
        <v>8213</v>
      </c>
      <c r="N101" s="675">
        <v>333</v>
      </c>
      <c r="P101" s="676">
        <f t="shared" si="6"/>
        <v>0.96103440205944302</v>
      </c>
      <c r="Q101" s="676">
        <f t="shared" si="7"/>
        <v>3.8965597940556984E-2</v>
      </c>
    </row>
    <row r="102" spans="1:17">
      <c r="A102" s="667" t="s">
        <v>14</v>
      </c>
      <c r="B102" s="668" t="s">
        <v>15</v>
      </c>
      <c r="C102" s="669" t="s">
        <v>276</v>
      </c>
      <c r="D102" s="669"/>
      <c r="E102" s="670">
        <v>26684</v>
      </c>
      <c r="F102" s="671">
        <v>22819</v>
      </c>
      <c r="G102" s="672">
        <v>3865</v>
      </c>
      <c r="I102" s="673">
        <f t="shared" si="4"/>
        <v>0.85515664817868386</v>
      </c>
      <c r="J102" s="674">
        <f t="shared" si="5"/>
        <v>0.14484335182131614</v>
      </c>
      <c r="L102" s="675">
        <v>9744</v>
      </c>
      <c r="M102" s="675">
        <v>8972</v>
      </c>
      <c r="N102" s="675">
        <v>772</v>
      </c>
      <c r="P102" s="676">
        <f t="shared" si="6"/>
        <v>0.92077175697865354</v>
      </c>
      <c r="Q102" s="676">
        <f t="shared" si="7"/>
        <v>7.922824302134647E-2</v>
      </c>
    </row>
    <row r="103" spans="1:17">
      <c r="A103" s="667" t="s">
        <v>35</v>
      </c>
      <c r="B103" s="668" t="s">
        <v>36</v>
      </c>
      <c r="C103" s="669" t="s">
        <v>278</v>
      </c>
      <c r="D103" s="669"/>
      <c r="E103" s="670">
        <v>3682</v>
      </c>
      <c r="F103" s="671">
        <v>3261</v>
      </c>
      <c r="G103" s="672">
        <v>421</v>
      </c>
      <c r="I103" s="673">
        <f t="shared" si="4"/>
        <v>0.88565996740901687</v>
      </c>
      <c r="J103" s="674">
        <f t="shared" si="5"/>
        <v>0.11434003259098316</v>
      </c>
      <c r="L103" s="675">
        <v>1243</v>
      </c>
      <c r="M103" s="675">
        <v>1037</v>
      </c>
      <c r="N103" s="675">
        <v>206</v>
      </c>
      <c r="P103" s="676">
        <f t="shared" si="6"/>
        <v>0.83427192276749795</v>
      </c>
      <c r="Q103" s="676">
        <f t="shared" si="7"/>
        <v>0.16572807723250202</v>
      </c>
    </row>
    <row r="104" spans="1:17">
      <c r="A104" s="667" t="s">
        <v>53</v>
      </c>
      <c r="B104" s="668" t="s">
        <v>54</v>
      </c>
      <c r="C104" s="669" t="s">
        <v>273</v>
      </c>
      <c r="D104" s="669"/>
      <c r="E104" s="670">
        <v>6044</v>
      </c>
      <c r="F104" s="671">
        <v>4996</v>
      </c>
      <c r="G104" s="672">
        <v>1048</v>
      </c>
      <c r="I104" s="673">
        <f t="shared" si="4"/>
        <v>0.82660489741892784</v>
      </c>
      <c r="J104" s="674">
        <f t="shared" si="5"/>
        <v>0.17339510258107213</v>
      </c>
      <c r="L104" s="675">
        <v>2127</v>
      </c>
      <c r="M104" s="675">
        <v>1907</v>
      </c>
      <c r="N104" s="675">
        <v>220</v>
      </c>
      <c r="P104" s="676">
        <f t="shared" si="6"/>
        <v>0.89656793606017871</v>
      </c>
      <c r="Q104" s="676">
        <f t="shared" si="7"/>
        <v>0.10343206393982135</v>
      </c>
    </row>
    <row r="105" spans="1:17">
      <c r="A105" s="667" t="s">
        <v>55</v>
      </c>
      <c r="B105" s="668" t="s">
        <v>56</v>
      </c>
      <c r="C105" s="669" t="s">
        <v>272</v>
      </c>
      <c r="D105" s="669"/>
      <c r="E105" s="670">
        <v>47445</v>
      </c>
      <c r="F105" s="671">
        <v>43872</v>
      </c>
      <c r="G105" s="672">
        <v>3573</v>
      </c>
      <c r="I105" s="673">
        <f t="shared" si="4"/>
        <v>0.92469174834018342</v>
      </c>
      <c r="J105" s="674">
        <f t="shared" si="5"/>
        <v>7.5308251659816625E-2</v>
      </c>
      <c r="L105" s="675">
        <v>20777</v>
      </c>
      <c r="M105" s="675">
        <v>19371</v>
      </c>
      <c r="N105" s="675">
        <v>1406</v>
      </c>
      <c r="P105" s="676">
        <f t="shared" si="6"/>
        <v>0.93232901766376286</v>
      </c>
      <c r="Q105" s="676">
        <f t="shared" si="7"/>
        <v>6.7670982336237182E-2</v>
      </c>
    </row>
    <row r="106" spans="1:17">
      <c r="A106" s="667" t="s">
        <v>67</v>
      </c>
      <c r="B106" s="668" t="s">
        <v>68</v>
      </c>
      <c r="C106" s="669" t="s">
        <v>273</v>
      </c>
      <c r="D106" s="669"/>
      <c r="E106" s="670">
        <v>7064</v>
      </c>
      <c r="F106" s="671">
        <v>6212</v>
      </c>
      <c r="G106" s="672">
        <v>852</v>
      </c>
      <c r="I106" s="673">
        <f t="shared" si="4"/>
        <v>0.87938844847112119</v>
      </c>
      <c r="J106" s="674">
        <f t="shared" si="5"/>
        <v>0.12061155152887883</v>
      </c>
      <c r="L106" s="675">
        <v>2114</v>
      </c>
      <c r="M106" s="675">
        <v>1728</v>
      </c>
      <c r="N106" s="675">
        <v>386</v>
      </c>
      <c r="P106" s="676">
        <f t="shared" si="6"/>
        <v>0.81740775780510877</v>
      </c>
      <c r="Q106" s="676">
        <f t="shared" si="7"/>
        <v>0.1825922421948912</v>
      </c>
    </row>
    <row r="107" spans="1:17">
      <c r="A107" s="667" t="s">
        <v>83</v>
      </c>
      <c r="B107" s="668" t="s">
        <v>390</v>
      </c>
      <c r="C107" s="669" t="s">
        <v>272</v>
      </c>
      <c r="D107" s="669"/>
      <c r="E107" s="670">
        <v>1509</v>
      </c>
      <c r="F107" s="671">
        <v>1349</v>
      </c>
      <c r="G107" s="672">
        <v>160</v>
      </c>
      <c r="I107" s="673">
        <f t="shared" si="4"/>
        <v>0.8939695162359178</v>
      </c>
      <c r="J107" s="674">
        <f t="shared" si="5"/>
        <v>0.10603048376408217</v>
      </c>
      <c r="L107" s="675">
        <v>507</v>
      </c>
      <c r="M107" s="675">
        <v>438</v>
      </c>
      <c r="N107" s="675">
        <v>69</v>
      </c>
      <c r="P107" s="676">
        <f t="shared" si="6"/>
        <v>0.86390532544378695</v>
      </c>
      <c r="Q107" s="676">
        <f t="shared" si="7"/>
        <v>0.13609467455621302</v>
      </c>
    </row>
    <row r="108" spans="1:17">
      <c r="A108" s="667" t="s">
        <v>89</v>
      </c>
      <c r="B108" s="668" t="s">
        <v>90</v>
      </c>
      <c r="C108" s="669" t="s">
        <v>276</v>
      </c>
      <c r="D108" s="669"/>
      <c r="E108" s="670">
        <v>3709</v>
      </c>
      <c r="F108" s="671">
        <v>3044</v>
      </c>
      <c r="G108" s="672">
        <v>665</v>
      </c>
      <c r="I108" s="673">
        <f t="shared" si="4"/>
        <v>0.82070638986249667</v>
      </c>
      <c r="J108" s="674">
        <f t="shared" si="5"/>
        <v>0.17929361013750336</v>
      </c>
      <c r="L108" s="675">
        <v>1483</v>
      </c>
      <c r="M108" s="675">
        <v>1250</v>
      </c>
      <c r="N108" s="675">
        <v>233</v>
      </c>
      <c r="P108" s="676">
        <f t="shared" si="6"/>
        <v>0.84288604180714766</v>
      </c>
      <c r="Q108" s="676">
        <f t="shared" si="7"/>
        <v>0.15711395819285232</v>
      </c>
    </row>
    <row r="109" spans="1:17">
      <c r="A109" s="667" t="s">
        <v>91</v>
      </c>
      <c r="B109" s="668" t="s">
        <v>92</v>
      </c>
      <c r="C109" s="669" t="s">
        <v>278</v>
      </c>
      <c r="D109" s="669"/>
      <c r="E109" s="670">
        <v>1355</v>
      </c>
      <c r="F109" s="671">
        <v>1218</v>
      </c>
      <c r="G109" s="672">
        <v>137</v>
      </c>
      <c r="I109" s="673">
        <f t="shared" si="4"/>
        <v>0.89889298892988934</v>
      </c>
      <c r="J109" s="674">
        <f t="shared" si="5"/>
        <v>0.10110701107011071</v>
      </c>
      <c r="L109" s="675">
        <v>489</v>
      </c>
      <c r="M109" s="675">
        <v>432</v>
      </c>
      <c r="N109" s="675">
        <v>57</v>
      </c>
      <c r="P109" s="676">
        <f t="shared" si="6"/>
        <v>0.8834355828220859</v>
      </c>
      <c r="Q109" s="676">
        <f t="shared" si="7"/>
        <v>0.1165644171779141</v>
      </c>
    </row>
    <row r="110" spans="1:17">
      <c r="A110" s="667" t="s">
        <v>107</v>
      </c>
      <c r="B110" s="668" t="s">
        <v>108</v>
      </c>
      <c r="C110" s="669" t="s">
        <v>272</v>
      </c>
      <c r="D110" s="669"/>
      <c r="E110" s="670">
        <v>25384</v>
      </c>
      <c r="F110" s="671">
        <v>22545</v>
      </c>
      <c r="G110" s="672">
        <v>2839</v>
      </c>
      <c r="I110" s="673">
        <f t="shared" si="4"/>
        <v>0.88815789473684215</v>
      </c>
      <c r="J110" s="674">
        <f t="shared" si="5"/>
        <v>0.1118421052631579</v>
      </c>
      <c r="L110" s="675">
        <v>9354</v>
      </c>
      <c r="M110" s="675">
        <v>8280</v>
      </c>
      <c r="N110" s="675">
        <v>1074</v>
      </c>
      <c r="P110" s="676">
        <f t="shared" si="6"/>
        <v>0.88518280949326489</v>
      </c>
      <c r="Q110" s="676">
        <f t="shared" si="7"/>
        <v>0.11481719050673508</v>
      </c>
    </row>
    <row r="111" spans="1:17">
      <c r="A111" s="667" t="s">
        <v>117</v>
      </c>
      <c r="B111" s="668" t="s">
        <v>118</v>
      </c>
      <c r="C111" s="669" t="s">
        <v>275</v>
      </c>
      <c r="D111" s="669"/>
      <c r="E111" s="670">
        <v>3847</v>
      </c>
      <c r="F111" s="671">
        <v>3220</v>
      </c>
      <c r="G111" s="672">
        <v>627</v>
      </c>
      <c r="I111" s="673">
        <f t="shared" si="4"/>
        <v>0.8370158565115674</v>
      </c>
      <c r="J111" s="674">
        <f t="shared" si="5"/>
        <v>0.16298414348843254</v>
      </c>
      <c r="L111" s="675">
        <v>1388</v>
      </c>
      <c r="M111" s="675">
        <v>1087</v>
      </c>
      <c r="N111" s="675">
        <v>301</v>
      </c>
      <c r="P111" s="676">
        <f t="shared" si="6"/>
        <v>0.7831412103746398</v>
      </c>
      <c r="Q111" s="676">
        <f t="shared" si="7"/>
        <v>0.21685878962536023</v>
      </c>
    </row>
    <row r="112" spans="1:17">
      <c r="A112" s="667" t="s">
        <v>139</v>
      </c>
      <c r="B112" s="668" t="s">
        <v>140</v>
      </c>
      <c r="C112" s="669" t="s">
        <v>273</v>
      </c>
      <c r="D112" s="669"/>
      <c r="E112" s="670">
        <v>11948</v>
      </c>
      <c r="F112" s="671">
        <v>10598</v>
      </c>
      <c r="G112" s="672">
        <v>1350</v>
      </c>
      <c r="I112" s="673">
        <f t="shared" si="4"/>
        <v>0.88701037830599261</v>
      </c>
      <c r="J112" s="674">
        <f t="shared" si="5"/>
        <v>0.11298962169400736</v>
      </c>
      <c r="L112" s="675">
        <v>4394</v>
      </c>
      <c r="M112" s="675">
        <v>3862</v>
      </c>
      <c r="N112" s="675">
        <v>532</v>
      </c>
      <c r="P112" s="676">
        <f t="shared" si="6"/>
        <v>0.87892580791989072</v>
      </c>
      <c r="Q112" s="676">
        <f t="shared" si="7"/>
        <v>0.12107419208010924</v>
      </c>
    </row>
    <row r="113" spans="1:17">
      <c r="A113" s="667" t="s">
        <v>143</v>
      </c>
      <c r="B113" s="668" t="s">
        <v>144</v>
      </c>
      <c r="C113" s="669" t="s">
        <v>276</v>
      </c>
      <c r="D113" s="669"/>
      <c r="E113" s="670">
        <v>7239</v>
      </c>
      <c r="F113" s="671">
        <v>6439</v>
      </c>
      <c r="G113" s="672">
        <v>800</v>
      </c>
      <c r="I113" s="673">
        <f t="shared" si="4"/>
        <v>0.88948749827324214</v>
      </c>
      <c r="J113" s="674">
        <f t="shared" si="5"/>
        <v>0.11051250172675783</v>
      </c>
      <c r="L113" s="675">
        <v>3701</v>
      </c>
      <c r="M113" s="675">
        <v>3336</v>
      </c>
      <c r="N113" s="675">
        <v>365</v>
      </c>
      <c r="P113" s="676">
        <f t="shared" si="6"/>
        <v>0.90137800594433937</v>
      </c>
      <c r="Q113" s="676">
        <f t="shared" si="7"/>
        <v>9.8621994055660633E-2</v>
      </c>
    </row>
    <row r="114" spans="1:17">
      <c r="A114" s="667" t="s">
        <v>145</v>
      </c>
      <c r="B114" s="668" t="s">
        <v>146</v>
      </c>
      <c r="C114" s="669" t="s">
        <v>276</v>
      </c>
      <c r="D114" s="669"/>
      <c r="E114" s="670">
        <v>2654</v>
      </c>
      <c r="F114" s="671">
        <v>2314</v>
      </c>
      <c r="G114" s="672">
        <v>340</v>
      </c>
      <c r="I114" s="673">
        <f t="shared" si="4"/>
        <v>0.87189148455162024</v>
      </c>
      <c r="J114" s="674">
        <f t="shared" si="5"/>
        <v>0.12810851544837981</v>
      </c>
      <c r="L114" s="675">
        <v>1470</v>
      </c>
      <c r="M114" s="675">
        <v>1327</v>
      </c>
      <c r="N114" s="675">
        <v>143</v>
      </c>
      <c r="P114" s="676">
        <f t="shared" si="6"/>
        <v>0.90272108843537413</v>
      </c>
      <c r="Q114" s="676">
        <f t="shared" si="7"/>
        <v>9.7278911564625856E-2</v>
      </c>
    </row>
    <row r="115" spans="1:17">
      <c r="A115" s="667" t="s">
        <v>159</v>
      </c>
      <c r="B115" s="668" t="s">
        <v>160</v>
      </c>
      <c r="C115" s="669" t="s">
        <v>272</v>
      </c>
      <c r="D115" s="669"/>
      <c r="E115" s="670">
        <v>32304</v>
      </c>
      <c r="F115" s="671">
        <v>28003</v>
      </c>
      <c r="G115" s="672">
        <v>4301</v>
      </c>
      <c r="I115" s="673">
        <f t="shared" si="4"/>
        <v>0.86685859336305104</v>
      </c>
      <c r="J115" s="674">
        <f t="shared" si="5"/>
        <v>0.13314140663694898</v>
      </c>
      <c r="L115" s="675">
        <v>13357</v>
      </c>
      <c r="M115" s="675">
        <v>11608</v>
      </c>
      <c r="N115" s="675">
        <v>1749</v>
      </c>
      <c r="P115" s="676">
        <f t="shared" si="6"/>
        <v>0.86905742307404354</v>
      </c>
      <c r="Q115" s="676">
        <f t="shared" si="7"/>
        <v>0.13094257692595643</v>
      </c>
    </row>
    <row r="116" spans="1:17">
      <c r="A116" s="667" t="s">
        <v>161</v>
      </c>
      <c r="B116" s="668" t="s">
        <v>162</v>
      </c>
      <c r="C116" s="669" t="s">
        <v>272</v>
      </c>
      <c r="D116" s="669"/>
      <c r="E116" s="670">
        <v>35173</v>
      </c>
      <c r="F116" s="671">
        <v>29572</v>
      </c>
      <c r="G116" s="672">
        <v>5601</v>
      </c>
      <c r="I116" s="673">
        <f t="shared" si="4"/>
        <v>0.84075853637733489</v>
      </c>
      <c r="J116" s="674">
        <f t="shared" si="5"/>
        <v>0.15924146362266511</v>
      </c>
      <c r="L116" s="675">
        <v>13805</v>
      </c>
      <c r="M116" s="675">
        <v>11821</v>
      </c>
      <c r="N116" s="675">
        <v>1984</v>
      </c>
      <c r="P116" s="676">
        <f t="shared" si="6"/>
        <v>0.856283955088736</v>
      </c>
      <c r="Q116" s="676">
        <f t="shared" si="7"/>
        <v>0.14371604491126402</v>
      </c>
    </row>
    <row r="117" spans="1:17">
      <c r="A117" s="667" t="s">
        <v>167</v>
      </c>
      <c r="B117" s="668" t="s">
        <v>168</v>
      </c>
      <c r="C117" s="669" t="s">
        <v>278</v>
      </c>
      <c r="D117" s="669"/>
      <c r="E117" s="670">
        <v>747</v>
      </c>
      <c r="F117" s="671">
        <v>648</v>
      </c>
      <c r="G117" s="672">
        <v>99</v>
      </c>
      <c r="I117" s="673">
        <f t="shared" si="4"/>
        <v>0.86746987951807231</v>
      </c>
      <c r="J117" s="674">
        <f t="shared" si="5"/>
        <v>0.13253012048192772</v>
      </c>
      <c r="L117" s="675">
        <v>270</v>
      </c>
      <c r="M117" s="675">
        <v>229</v>
      </c>
      <c r="N117" s="675">
        <v>41</v>
      </c>
      <c r="P117" s="676">
        <f t="shared" si="6"/>
        <v>0.8481481481481481</v>
      </c>
      <c r="Q117" s="676">
        <f t="shared" si="7"/>
        <v>0.15185185185185185</v>
      </c>
    </row>
    <row r="118" spans="1:17">
      <c r="A118" s="667" t="s">
        <v>177</v>
      </c>
      <c r="B118" s="668" t="s">
        <v>178</v>
      </c>
      <c r="C118" s="669" t="s">
        <v>275</v>
      </c>
      <c r="D118" s="669"/>
      <c r="E118" s="670">
        <v>4395</v>
      </c>
      <c r="F118" s="671">
        <v>3408</v>
      </c>
      <c r="G118" s="672">
        <v>987</v>
      </c>
      <c r="I118" s="673">
        <f t="shared" si="4"/>
        <v>0.7754266211604095</v>
      </c>
      <c r="J118" s="674">
        <f t="shared" si="5"/>
        <v>0.22457337883959044</v>
      </c>
      <c r="L118" s="675">
        <v>1322</v>
      </c>
      <c r="M118" s="675">
        <v>895</v>
      </c>
      <c r="N118" s="675">
        <v>427</v>
      </c>
      <c r="P118" s="676">
        <f t="shared" si="6"/>
        <v>0.67700453857791221</v>
      </c>
      <c r="Q118" s="676">
        <f t="shared" si="7"/>
        <v>0.32299546142208774</v>
      </c>
    </row>
    <row r="119" spans="1:17">
      <c r="A119" s="667" t="s">
        <v>181</v>
      </c>
      <c r="B119" s="668" t="s">
        <v>182</v>
      </c>
      <c r="C119" s="669" t="s">
        <v>272</v>
      </c>
      <c r="D119" s="669"/>
      <c r="E119" s="670">
        <v>16082</v>
      </c>
      <c r="F119" s="671">
        <v>13929</v>
      </c>
      <c r="G119" s="672">
        <v>2153</v>
      </c>
      <c r="I119" s="673">
        <f t="shared" si="4"/>
        <v>0.86612361646561375</v>
      </c>
      <c r="J119" s="674">
        <f t="shared" si="5"/>
        <v>0.13387638353438627</v>
      </c>
      <c r="L119" s="675">
        <v>5886</v>
      </c>
      <c r="M119" s="675">
        <v>5014</v>
      </c>
      <c r="N119" s="675">
        <v>872</v>
      </c>
      <c r="P119" s="676">
        <f t="shared" si="6"/>
        <v>0.85185185185185186</v>
      </c>
      <c r="Q119" s="676">
        <f t="shared" si="7"/>
        <v>0.14814814814814814</v>
      </c>
    </row>
    <row r="120" spans="1:17">
      <c r="A120" s="667" t="s">
        <v>193</v>
      </c>
      <c r="B120" s="668" t="s">
        <v>194</v>
      </c>
      <c r="C120" s="669" t="s">
        <v>278</v>
      </c>
      <c r="D120" s="669"/>
      <c r="E120" s="670">
        <v>2056</v>
      </c>
      <c r="F120" s="671">
        <v>1742</v>
      </c>
      <c r="G120" s="672">
        <v>314</v>
      </c>
      <c r="I120" s="673">
        <f t="shared" si="4"/>
        <v>0.84727626459143968</v>
      </c>
      <c r="J120" s="674">
        <f t="shared" si="5"/>
        <v>0.15272373540856032</v>
      </c>
      <c r="L120" s="675">
        <v>738</v>
      </c>
      <c r="M120" s="675">
        <v>646</v>
      </c>
      <c r="N120" s="675">
        <v>92</v>
      </c>
      <c r="P120" s="676">
        <f t="shared" si="6"/>
        <v>0.87533875338753386</v>
      </c>
      <c r="Q120" s="676">
        <f t="shared" si="7"/>
        <v>0.12466124661246612</v>
      </c>
    </row>
    <row r="121" spans="1:17">
      <c r="A121" s="667" t="s">
        <v>197</v>
      </c>
      <c r="B121" s="668" t="s">
        <v>391</v>
      </c>
      <c r="C121" s="669" t="s">
        <v>275</v>
      </c>
      <c r="D121" s="669"/>
      <c r="E121" s="670">
        <v>27273</v>
      </c>
      <c r="F121" s="671">
        <v>20914</v>
      </c>
      <c r="G121" s="672">
        <v>6359</v>
      </c>
      <c r="I121" s="673">
        <f t="shared" si="4"/>
        <v>0.76683899827668389</v>
      </c>
      <c r="J121" s="674">
        <f t="shared" si="5"/>
        <v>0.23316100172331611</v>
      </c>
      <c r="L121" s="675">
        <v>9095</v>
      </c>
      <c r="M121" s="675">
        <v>7239</v>
      </c>
      <c r="N121" s="675">
        <v>1856</v>
      </c>
      <c r="P121" s="676">
        <f t="shared" si="6"/>
        <v>0.79593183067619566</v>
      </c>
      <c r="Q121" s="676">
        <f t="shared" si="7"/>
        <v>0.20406816932380428</v>
      </c>
    </row>
    <row r="122" spans="1:17">
      <c r="A122" s="667" t="s">
        <v>201</v>
      </c>
      <c r="B122" s="668" t="s">
        <v>392</v>
      </c>
      <c r="C122" s="669" t="s">
        <v>273</v>
      </c>
      <c r="D122" s="669"/>
      <c r="E122" s="670">
        <v>17064</v>
      </c>
      <c r="F122" s="671">
        <v>14014</v>
      </c>
      <c r="G122" s="672">
        <v>3050</v>
      </c>
      <c r="I122" s="673">
        <f t="shared" si="4"/>
        <v>0.82126113455227379</v>
      </c>
      <c r="J122" s="674">
        <f t="shared" si="5"/>
        <v>0.17873886544772621</v>
      </c>
      <c r="L122" s="675">
        <v>6061</v>
      </c>
      <c r="M122" s="675">
        <v>4916</v>
      </c>
      <c r="N122" s="675">
        <v>1145</v>
      </c>
      <c r="P122" s="676">
        <f t="shared" si="6"/>
        <v>0.81108727932684377</v>
      </c>
      <c r="Q122" s="676">
        <f t="shared" si="7"/>
        <v>0.18891272067315623</v>
      </c>
    </row>
    <row r="123" spans="1:17">
      <c r="A123" s="667" t="s">
        <v>223</v>
      </c>
      <c r="B123" s="668" t="s">
        <v>224</v>
      </c>
      <c r="C123" s="669" t="s">
        <v>272</v>
      </c>
      <c r="D123" s="669"/>
      <c r="E123" s="670">
        <v>18140</v>
      </c>
      <c r="F123" s="671">
        <v>16818</v>
      </c>
      <c r="G123" s="672">
        <v>1322</v>
      </c>
      <c r="I123" s="673">
        <f t="shared" si="4"/>
        <v>0.92712238147739801</v>
      </c>
      <c r="J123" s="674">
        <f t="shared" si="5"/>
        <v>7.2877618522601981E-2</v>
      </c>
      <c r="L123" s="675">
        <v>7711</v>
      </c>
      <c r="M123" s="675">
        <v>7175</v>
      </c>
      <c r="N123" s="675">
        <v>536</v>
      </c>
      <c r="P123" s="676">
        <f t="shared" si="6"/>
        <v>0.93048891194397609</v>
      </c>
      <c r="Q123" s="676">
        <f t="shared" si="7"/>
        <v>6.9511088056023865E-2</v>
      </c>
    </row>
    <row r="124" spans="1:17">
      <c r="A124" s="667" t="s">
        <v>231</v>
      </c>
      <c r="B124" s="668" t="s">
        <v>232</v>
      </c>
      <c r="C124" s="669" t="s">
        <v>272</v>
      </c>
      <c r="D124" s="669"/>
      <c r="E124" s="670">
        <v>92701</v>
      </c>
      <c r="F124" s="671">
        <v>83732</v>
      </c>
      <c r="G124" s="672">
        <v>8969</v>
      </c>
      <c r="I124" s="673">
        <f t="shared" si="4"/>
        <v>0.90324807715127131</v>
      </c>
      <c r="J124" s="674">
        <f t="shared" si="5"/>
        <v>9.6751922848728703E-2</v>
      </c>
      <c r="L124" s="675">
        <v>39373</v>
      </c>
      <c r="M124" s="675">
        <v>36360</v>
      </c>
      <c r="N124" s="675">
        <v>3013</v>
      </c>
      <c r="P124" s="676">
        <f t="shared" si="6"/>
        <v>0.92347547811952357</v>
      </c>
      <c r="Q124" s="676">
        <f t="shared" si="7"/>
        <v>7.6524521880476468E-2</v>
      </c>
    </row>
    <row r="125" spans="1:17">
      <c r="A125" s="667" t="s">
        <v>239</v>
      </c>
      <c r="B125" s="668" t="s">
        <v>240</v>
      </c>
      <c r="C125" s="669" t="s">
        <v>272</v>
      </c>
      <c r="D125" s="669"/>
      <c r="E125" s="670">
        <v>1929</v>
      </c>
      <c r="F125" s="671">
        <v>1680</v>
      </c>
      <c r="G125" s="672">
        <v>249</v>
      </c>
      <c r="I125" s="673">
        <f t="shared" si="4"/>
        <v>0.87091757387247282</v>
      </c>
      <c r="J125" s="674">
        <f t="shared" si="5"/>
        <v>0.12908242612752721</v>
      </c>
      <c r="L125" s="675">
        <v>484</v>
      </c>
      <c r="M125" s="675">
        <v>439</v>
      </c>
      <c r="N125" s="675">
        <v>45</v>
      </c>
      <c r="P125" s="676">
        <f t="shared" si="6"/>
        <v>0.90702479338842978</v>
      </c>
      <c r="Q125" s="676">
        <f t="shared" si="7"/>
        <v>9.2975206611570244E-2</v>
      </c>
    </row>
    <row r="126" spans="1:17">
      <c r="A126" s="677" t="s">
        <v>241</v>
      </c>
      <c r="B126" s="678" t="s">
        <v>242</v>
      </c>
      <c r="C126" s="679" t="s">
        <v>276</v>
      </c>
      <c r="D126" s="669"/>
      <c r="E126" s="680">
        <v>4836</v>
      </c>
      <c r="F126" s="681">
        <v>4060</v>
      </c>
      <c r="G126" s="682">
        <v>776</v>
      </c>
      <c r="I126" s="683">
        <f t="shared" si="4"/>
        <v>0.8395368072787428</v>
      </c>
      <c r="J126" s="684">
        <f t="shared" si="5"/>
        <v>0.16046319272125723</v>
      </c>
      <c r="L126" s="675">
        <v>1919</v>
      </c>
      <c r="M126" s="675">
        <v>1614</v>
      </c>
      <c r="N126" s="675">
        <v>305</v>
      </c>
      <c r="P126" s="676">
        <f t="shared" si="6"/>
        <v>0.84106305367378842</v>
      </c>
      <c r="Q126" s="676">
        <f t="shared" si="7"/>
        <v>0.15893694632621158</v>
      </c>
    </row>
    <row r="127" spans="1:17">
      <c r="A127" s="685" t="s">
        <v>966</v>
      </c>
      <c r="B127" s="686"/>
      <c r="C127" s="686"/>
      <c r="D127" s="686"/>
      <c r="E127" s="654"/>
      <c r="F127" s="654"/>
      <c r="G127" s="654"/>
      <c r="H127" s="654"/>
    </row>
    <row r="128" spans="1:17">
      <c r="A128" s="686"/>
      <c r="B128" s="686"/>
      <c r="C128" s="686"/>
      <c r="D128" s="686"/>
      <c r="E128" s="654"/>
      <c r="F128" s="654"/>
      <c r="G128" s="654"/>
      <c r="H128" s="654"/>
    </row>
    <row r="129" spans="1:8">
      <c r="A129" s="654" t="s">
        <v>250</v>
      </c>
      <c r="B129" s="687"/>
      <c r="C129" s="687"/>
      <c r="D129" s="687"/>
      <c r="E129" s="654"/>
      <c r="F129" s="654"/>
      <c r="G129" s="654"/>
      <c r="H129" s="654"/>
    </row>
    <row r="130" spans="1:8">
      <c r="A130" s="654" t="s">
        <v>251</v>
      </c>
      <c r="B130" s="407" t="s">
        <v>252</v>
      </c>
      <c r="C130" s="688"/>
      <c r="D130" s="688"/>
      <c r="E130" s="654"/>
      <c r="F130" s="654"/>
      <c r="G130" s="654"/>
      <c r="H130" s="654"/>
    </row>
  </sheetData>
  <mergeCells count="4">
    <mergeCell ref="E4:G4"/>
    <mergeCell ref="I4:J4"/>
    <mergeCell ref="L4:N4"/>
    <mergeCell ref="P4:Q4"/>
  </mergeCells>
  <hyperlinks>
    <hyperlink ref="B130" r:id="rId1"/>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J129"/>
  <sheetViews>
    <sheetView workbookViewId="0">
      <pane ySplit="4" topLeftCell="A94" activePane="bottomLeft" state="frozen"/>
      <selection pane="bottomLeft" activeCell="B12" sqref="B12"/>
    </sheetView>
  </sheetViews>
  <sheetFormatPr defaultRowHeight="12.75"/>
  <cols>
    <col min="1" max="1" width="6.375" style="950" customWidth="1"/>
    <col min="2" max="2" width="29.75" style="950" customWidth="1"/>
    <col min="3" max="3" width="9.375" style="950" customWidth="1"/>
    <col min="4" max="10" width="5.875" style="950" customWidth="1"/>
    <col min="11" max="16384" width="9" style="950"/>
  </cols>
  <sheetData>
    <row r="1" spans="1:10" ht="15.75">
      <c r="A1" s="1389" t="s">
        <v>353</v>
      </c>
      <c r="B1" s="1390"/>
      <c r="C1" s="1390"/>
      <c r="D1" s="1390"/>
      <c r="E1" s="1390"/>
      <c r="F1" s="1390"/>
      <c r="G1" s="1390"/>
      <c r="H1" s="1390"/>
      <c r="I1" s="1390"/>
      <c r="J1" s="1390"/>
    </row>
    <row r="2" spans="1:10">
      <c r="A2" s="967"/>
      <c r="B2" s="968"/>
      <c r="C2" s="968"/>
      <c r="D2" s="968"/>
      <c r="E2" s="968"/>
      <c r="F2" s="968"/>
      <c r="G2" s="968"/>
      <c r="H2" s="968"/>
      <c r="I2" s="968"/>
      <c r="J2" s="968"/>
    </row>
    <row r="3" spans="1:10" s="953" customFormat="1" ht="15">
      <c r="A3" s="951" t="s">
        <v>4</v>
      </c>
      <c r="B3" s="951" t="s">
        <v>5</v>
      </c>
      <c r="C3" s="951" t="s">
        <v>253</v>
      </c>
      <c r="D3" s="952" t="s">
        <v>319</v>
      </c>
      <c r="E3" s="952" t="s">
        <v>320</v>
      </c>
      <c r="F3" s="952" t="s">
        <v>321</v>
      </c>
      <c r="G3" s="952" t="s">
        <v>322</v>
      </c>
      <c r="H3" s="952" t="s">
        <v>323</v>
      </c>
      <c r="I3" s="952" t="s">
        <v>324</v>
      </c>
      <c r="J3" s="952" t="s">
        <v>1035</v>
      </c>
    </row>
    <row r="4" spans="1:10" s="953" customFormat="1">
      <c r="A4" s="954">
        <v>999</v>
      </c>
      <c r="B4" s="969" t="s">
        <v>9</v>
      </c>
      <c r="C4" s="955"/>
      <c r="D4" s="956">
        <v>0.46586525895923542</v>
      </c>
      <c r="E4" s="956">
        <v>0.51433899357406598</v>
      </c>
      <c r="F4" s="956">
        <v>0.52770533252457774</v>
      </c>
      <c r="G4" s="956">
        <v>0.48474833730191313</v>
      </c>
      <c r="H4" s="956">
        <v>0.54354690633463587</v>
      </c>
      <c r="I4" s="956">
        <v>0.65914620694302894</v>
      </c>
      <c r="J4" s="956">
        <v>0.74632806565018006</v>
      </c>
    </row>
    <row r="5" spans="1:10" ht="13.5" customHeight="1">
      <c r="A5" s="957" t="s">
        <v>10</v>
      </c>
      <c r="B5" s="958" t="s">
        <v>11</v>
      </c>
      <c r="C5" s="958" t="s">
        <v>272</v>
      </c>
      <c r="D5" s="959">
        <v>0.45034688609228785</v>
      </c>
      <c r="E5" s="959">
        <v>0.41541191654119164</v>
      </c>
      <c r="F5" s="959">
        <v>0.49280769390208512</v>
      </c>
      <c r="G5" s="959">
        <v>0.44929031790861035</v>
      </c>
      <c r="H5" s="959">
        <v>0.41868038512365491</v>
      </c>
      <c r="I5" s="959">
        <v>0.48250582090491473</v>
      </c>
      <c r="J5" s="959">
        <v>0.54831036435718328</v>
      </c>
    </row>
    <row r="6" spans="1:10" ht="13.5" customHeight="1">
      <c r="A6" s="957" t="s">
        <v>12</v>
      </c>
      <c r="B6" s="958" t="s">
        <v>13</v>
      </c>
      <c r="C6" s="958" t="s">
        <v>273</v>
      </c>
      <c r="D6" s="959">
        <v>0.28974198918019145</v>
      </c>
      <c r="E6" s="959">
        <v>0.36215757106609897</v>
      </c>
      <c r="F6" s="959">
        <v>0.36683244379750929</v>
      </c>
      <c r="G6" s="959">
        <v>0.29816299888101455</v>
      </c>
      <c r="H6" s="959">
        <v>0.4403373425667193</v>
      </c>
      <c r="I6" s="959">
        <v>0.5727736605515733</v>
      </c>
      <c r="J6" s="959">
        <v>0.66737941926861866</v>
      </c>
    </row>
    <row r="7" spans="1:10" ht="13.5" customHeight="1">
      <c r="A7" s="957" t="s">
        <v>16</v>
      </c>
      <c r="B7" s="958" t="s">
        <v>354</v>
      </c>
      <c r="C7" s="958" t="s">
        <v>273</v>
      </c>
      <c r="D7" s="959">
        <v>0.62072503419972636</v>
      </c>
      <c r="E7" s="959">
        <v>0.66097366694780246</v>
      </c>
      <c r="F7" s="959">
        <v>0.63330286410725167</v>
      </c>
      <c r="G7" s="959">
        <v>0.62403965303593556</v>
      </c>
      <c r="H7" s="959">
        <v>0.79528931381336521</v>
      </c>
      <c r="I7" s="959">
        <v>0.75589098532494758</v>
      </c>
      <c r="J7" s="959">
        <v>0.8105157232704403</v>
      </c>
    </row>
    <row r="8" spans="1:10" ht="13.5" customHeight="1">
      <c r="A8" s="957" t="s">
        <v>18</v>
      </c>
      <c r="B8" s="958" t="s">
        <v>19</v>
      </c>
      <c r="C8" s="958" t="s">
        <v>275</v>
      </c>
      <c r="D8" s="959">
        <v>0.54383460236886638</v>
      </c>
      <c r="E8" s="959">
        <v>0.64199873497786208</v>
      </c>
      <c r="F8" s="959">
        <v>0.69769330734243018</v>
      </c>
      <c r="G8" s="959">
        <v>0.62956827309236951</v>
      </c>
      <c r="H8" s="959">
        <v>0.72102102102102106</v>
      </c>
      <c r="I8" s="959">
        <v>1.0326826826826827</v>
      </c>
      <c r="J8" s="959">
        <v>1.1711711711711712</v>
      </c>
    </row>
    <row r="9" spans="1:10" ht="13.5" customHeight="1">
      <c r="A9" s="957" t="s">
        <v>20</v>
      </c>
      <c r="B9" s="958" t="s">
        <v>21</v>
      </c>
      <c r="C9" s="958" t="s">
        <v>273</v>
      </c>
      <c r="D9" s="959">
        <v>0.53661899897854959</v>
      </c>
      <c r="E9" s="959">
        <v>0.59540025146689024</v>
      </c>
      <c r="F9" s="959">
        <v>0.56495648034815726</v>
      </c>
      <c r="G9" s="959">
        <v>0.49520328212721326</v>
      </c>
      <c r="H9" s="959">
        <v>0.51880858023526455</v>
      </c>
      <c r="I9" s="959">
        <v>0.64603384286343335</v>
      </c>
      <c r="J9" s="959">
        <v>0.73221362521230415</v>
      </c>
    </row>
    <row r="10" spans="1:10" ht="13.5" customHeight="1">
      <c r="A10" s="957" t="s">
        <v>22</v>
      </c>
      <c r="B10" s="958" t="s">
        <v>23</v>
      </c>
      <c r="C10" s="958" t="s">
        <v>273</v>
      </c>
      <c r="D10" s="959">
        <v>0.61866638200967838</v>
      </c>
      <c r="E10" s="959">
        <v>0.68785181804351136</v>
      </c>
      <c r="F10" s="959">
        <v>0.62509960159362554</v>
      </c>
      <c r="G10" s="959">
        <v>0.62384844946152851</v>
      </c>
      <c r="H10" s="959">
        <v>0.69308385579937304</v>
      </c>
      <c r="I10" s="959">
        <v>0.80005877742946707</v>
      </c>
      <c r="J10" s="959">
        <v>0.9050156739811912</v>
      </c>
    </row>
    <row r="11" spans="1:10" ht="13.5" customHeight="1">
      <c r="A11" s="957" t="s">
        <v>24</v>
      </c>
      <c r="B11" s="958" t="s">
        <v>25</v>
      </c>
      <c r="C11" s="958" t="s">
        <v>276</v>
      </c>
      <c r="D11" s="959">
        <v>0.20834828216561599</v>
      </c>
      <c r="E11" s="959">
        <v>0.20396186766439445</v>
      </c>
      <c r="F11" s="959">
        <v>0.20425436229537686</v>
      </c>
      <c r="G11" s="959">
        <v>0.19807410157147656</v>
      </c>
      <c r="H11" s="959">
        <v>0.21975252874174062</v>
      </c>
      <c r="I11" s="959">
        <v>0.27225824166090945</v>
      </c>
      <c r="J11" s="959">
        <v>0.31860551628846256</v>
      </c>
    </row>
    <row r="12" spans="1:10" ht="13.5" customHeight="1">
      <c r="A12" s="957" t="s">
        <v>26</v>
      </c>
      <c r="B12" s="960" t="s">
        <v>1114</v>
      </c>
      <c r="C12" s="958" t="s">
        <v>273</v>
      </c>
      <c r="D12" s="959">
        <v>0.47039166039371338</v>
      </c>
      <c r="E12" s="959">
        <v>0.52842846727345427</v>
      </c>
      <c r="F12" s="959">
        <v>0.51882973369220331</v>
      </c>
      <c r="G12" s="959">
        <v>0.50106524898950677</v>
      </c>
      <c r="H12" s="959">
        <v>0.67554376786319814</v>
      </c>
      <c r="I12" s="959">
        <v>0.74325394311775517</v>
      </c>
      <c r="J12" s="959">
        <v>0.83376195603977954</v>
      </c>
    </row>
    <row r="13" spans="1:10" ht="13.5" customHeight="1">
      <c r="A13" s="957" t="s">
        <v>27</v>
      </c>
      <c r="B13" s="958" t="s">
        <v>28</v>
      </c>
      <c r="C13" s="958" t="s">
        <v>273</v>
      </c>
      <c r="D13" s="959">
        <v>0.30604288499025339</v>
      </c>
      <c r="E13" s="959">
        <v>0.31868898186889821</v>
      </c>
      <c r="F13" s="959">
        <v>0.33193407960199006</v>
      </c>
      <c r="G13" s="959">
        <v>0.35159010600706714</v>
      </c>
      <c r="H13" s="959">
        <v>0.45288624787775894</v>
      </c>
      <c r="I13" s="959">
        <v>0.55333899264289754</v>
      </c>
      <c r="J13" s="959">
        <v>0.59932088285229201</v>
      </c>
    </row>
    <row r="14" spans="1:10" ht="13.5" customHeight="1">
      <c r="A14" s="957" t="s">
        <v>29</v>
      </c>
      <c r="B14" s="958" t="s">
        <v>355</v>
      </c>
      <c r="C14" s="958" t="s">
        <v>273</v>
      </c>
      <c r="D14" s="959">
        <v>0.41019570707070707</v>
      </c>
      <c r="E14" s="959">
        <v>0.46042944785276074</v>
      </c>
      <c r="F14" s="959">
        <v>0.48036295766817566</v>
      </c>
      <c r="G14" s="959">
        <v>0.41342153436511897</v>
      </c>
      <c r="H14" s="959">
        <v>0.55485123452817642</v>
      </c>
      <c r="I14" s="959">
        <v>0.64231493468282919</v>
      </c>
      <c r="J14" s="959">
        <v>0.74007296692950453</v>
      </c>
    </row>
    <row r="15" spans="1:10" ht="13.5" customHeight="1">
      <c r="A15" s="957" t="s">
        <v>31</v>
      </c>
      <c r="B15" s="958" t="s">
        <v>32</v>
      </c>
      <c r="C15" s="958" t="s">
        <v>278</v>
      </c>
      <c r="D15" s="959">
        <v>0.41518136335209505</v>
      </c>
      <c r="E15" s="959">
        <v>0.39920919128618321</v>
      </c>
      <c r="F15" s="959">
        <v>0.46311600857055402</v>
      </c>
      <c r="G15" s="959">
        <v>0.4013104013104013</v>
      </c>
      <c r="H15" s="959">
        <v>0.39938370846730975</v>
      </c>
      <c r="I15" s="959">
        <v>0.41579581993569131</v>
      </c>
      <c r="J15" s="959">
        <v>0.47877813504823152</v>
      </c>
    </row>
    <row r="16" spans="1:10" ht="13.5" customHeight="1">
      <c r="A16" s="957" t="s">
        <v>33</v>
      </c>
      <c r="B16" s="958" t="s">
        <v>34</v>
      </c>
      <c r="C16" s="958" t="s">
        <v>273</v>
      </c>
      <c r="D16" s="959">
        <v>0.29975908080059305</v>
      </c>
      <c r="E16" s="959">
        <v>0.32346189164370981</v>
      </c>
      <c r="F16" s="959">
        <v>0.31836191218498311</v>
      </c>
      <c r="G16" s="959">
        <v>0.31581740976645434</v>
      </c>
      <c r="H16" s="959">
        <v>0.34562989752863171</v>
      </c>
      <c r="I16" s="959">
        <v>0.47510548523206753</v>
      </c>
      <c r="J16" s="959">
        <v>0.56810126582278486</v>
      </c>
    </row>
    <row r="17" spans="1:10" ht="13.5" customHeight="1">
      <c r="A17" s="957" t="s">
        <v>37</v>
      </c>
      <c r="B17" s="958" t="s">
        <v>38</v>
      </c>
      <c r="C17" s="958" t="s">
        <v>272</v>
      </c>
      <c r="D17" s="959">
        <v>0.62984946236559136</v>
      </c>
      <c r="E17" s="959">
        <v>0.64689051586299751</v>
      </c>
      <c r="F17" s="959">
        <v>0.70859442993907751</v>
      </c>
      <c r="G17" s="959">
        <v>0.61184065327742221</v>
      </c>
      <c r="H17" s="959">
        <v>0.66252915068080942</v>
      </c>
      <c r="I17" s="959">
        <v>0.75161739261265326</v>
      </c>
      <c r="J17" s="959">
        <v>0.81313473256601221</v>
      </c>
    </row>
    <row r="18" spans="1:10" ht="13.5" customHeight="1">
      <c r="A18" s="957" t="s">
        <v>39</v>
      </c>
      <c r="B18" s="958" t="s">
        <v>40</v>
      </c>
      <c r="C18" s="958" t="s">
        <v>278</v>
      </c>
      <c r="D18" s="959">
        <v>0.63551368896415472</v>
      </c>
      <c r="E18" s="959">
        <v>0.54313809059912321</v>
      </c>
      <c r="F18" s="959">
        <v>0.60614453325854256</v>
      </c>
      <c r="G18" s="959">
        <v>0.59252760621373757</v>
      </c>
      <c r="H18" s="959">
        <v>0.60020406226271827</v>
      </c>
      <c r="I18" s="959">
        <v>0.63570140470766889</v>
      </c>
      <c r="J18" s="959">
        <v>0.66289863325740317</v>
      </c>
    </row>
    <row r="19" spans="1:10" ht="13.5" customHeight="1">
      <c r="A19" s="957" t="s">
        <v>41</v>
      </c>
      <c r="B19" s="958" t="s">
        <v>42</v>
      </c>
      <c r="C19" s="958" t="s">
        <v>275</v>
      </c>
      <c r="D19" s="959">
        <v>0.54798572406375279</v>
      </c>
      <c r="E19" s="959">
        <v>0.51311605723370435</v>
      </c>
      <c r="F19" s="959">
        <v>0.6006150249059673</v>
      </c>
      <c r="G19" s="959">
        <v>0.53811708169506334</v>
      </c>
      <c r="H19" s="959">
        <v>0.60386139526310945</v>
      </c>
      <c r="I19" s="959">
        <v>0.75218873836512767</v>
      </c>
      <c r="J19" s="959">
        <v>0.84672380425767213</v>
      </c>
    </row>
    <row r="20" spans="1:10" ht="13.5" customHeight="1">
      <c r="A20" s="957" t="s">
        <v>43</v>
      </c>
      <c r="B20" s="958" t="s">
        <v>44</v>
      </c>
      <c r="C20" s="958" t="s">
        <v>273</v>
      </c>
      <c r="D20" s="959">
        <v>0.54</v>
      </c>
      <c r="E20" s="959">
        <v>0.61437543767507008</v>
      </c>
      <c r="F20" s="959">
        <v>0.57307846678707608</v>
      </c>
      <c r="G20" s="959">
        <v>0.55848873126644549</v>
      </c>
      <c r="H20" s="959">
        <v>0.58974802181762309</v>
      </c>
      <c r="I20" s="959">
        <v>0.72430283475455171</v>
      </c>
      <c r="J20" s="959">
        <v>0.81011753860336488</v>
      </c>
    </row>
    <row r="21" spans="1:10" ht="13.5" customHeight="1">
      <c r="A21" s="957" t="s">
        <v>45</v>
      </c>
      <c r="B21" s="958" t="s">
        <v>46</v>
      </c>
      <c r="C21" s="958" t="s">
        <v>275</v>
      </c>
      <c r="D21" s="959">
        <v>0.6696306094454243</v>
      </c>
      <c r="E21" s="959">
        <v>0.73873735825927056</v>
      </c>
      <c r="F21" s="959">
        <v>0.74314377898769912</v>
      </c>
      <c r="G21" s="959">
        <v>0.76818438116718357</v>
      </c>
      <c r="H21" s="959">
        <v>0.90231884057971012</v>
      </c>
      <c r="I21" s="959">
        <v>1.1741062801932367</v>
      </c>
      <c r="J21" s="959">
        <v>1.2823188405797101</v>
      </c>
    </row>
    <row r="22" spans="1:10" ht="13.5" customHeight="1">
      <c r="A22" s="957" t="s">
        <v>47</v>
      </c>
      <c r="B22" s="958" t="s">
        <v>48</v>
      </c>
      <c r="C22" s="958" t="s">
        <v>278</v>
      </c>
      <c r="D22" s="959">
        <v>0.57748118953780003</v>
      </c>
      <c r="E22" s="959">
        <v>0.5329052969502408</v>
      </c>
      <c r="F22" s="959">
        <v>0.63190779496511984</v>
      </c>
      <c r="G22" s="959">
        <v>0.63223894208846332</v>
      </c>
      <c r="H22" s="959">
        <v>0.64257060333761229</v>
      </c>
      <c r="I22" s="959">
        <v>0.75583012409071459</v>
      </c>
      <c r="J22" s="959">
        <v>0.83080872913992299</v>
      </c>
    </row>
    <row r="23" spans="1:10" ht="13.5" customHeight="1">
      <c r="A23" s="957" t="s">
        <v>49</v>
      </c>
      <c r="B23" s="958" t="s">
        <v>279</v>
      </c>
      <c r="C23" s="958" t="s">
        <v>275</v>
      </c>
      <c r="D23" s="959">
        <v>0.49942301351796903</v>
      </c>
      <c r="E23" s="959">
        <v>0.52976774615636246</v>
      </c>
      <c r="F23" s="959">
        <v>0.57137004260898061</v>
      </c>
      <c r="G23" s="959">
        <v>0.56529680365296808</v>
      </c>
      <c r="H23" s="959">
        <v>0.61650120336943437</v>
      </c>
      <c r="I23" s="959">
        <v>0.76022864019253911</v>
      </c>
      <c r="J23" s="959">
        <v>0.85451263537906141</v>
      </c>
    </row>
    <row r="24" spans="1:10" ht="13.5" customHeight="1">
      <c r="A24" s="957" t="s">
        <v>51</v>
      </c>
      <c r="B24" s="958" t="s">
        <v>52</v>
      </c>
      <c r="C24" s="958" t="s">
        <v>273</v>
      </c>
      <c r="D24" s="959">
        <v>0.53851461548111901</v>
      </c>
      <c r="E24" s="959">
        <v>0.546844894026975</v>
      </c>
      <c r="F24" s="959">
        <v>0.58021452722397104</v>
      </c>
      <c r="G24" s="959">
        <v>0.53463681278250819</v>
      </c>
      <c r="H24" s="959">
        <v>0.65291975091058629</v>
      </c>
      <c r="I24" s="959">
        <v>0.76362942074961815</v>
      </c>
      <c r="J24" s="959">
        <v>0.79689813182939728</v>
      </c>
    </row>
    <row r="25" spans="1:10" ht="13.5" customHeight="1">
      <c r="A25" s="957" t="s">
        <v>57</v>
      </c>
      <c r="B25" s="958" t="s">
        <v>362</v>
      </c>
      <c r="C25" s="958" t="s">
        <v>275</v>
      </c>
      <c r="D25" s="959">
        <v>0.42259082341095616</v>
      </c>
      <c r="E25" s="959">
        <v>0.51769905743894185</v>
      </c>
      <c r="F25" s="959">
        <v>0.59980428423950449</v>
      </c>
      <c r="G25" s="959">
        <v>0.53899600648945467</v>
      </c>
      <c r="H25" s="959">
        <v>0.65745087280781966</v>
      </c>
      <c r="I25" s="959">
        <v>0.86218112161508387</v>
      </c>
      <c r="J25" s="959">
        <v>1.021684383948535</v>
      </c>
    </row>
    <row r="26" spans="1:10" ht="13.5" customHeight="1">
      <c r="A26" s="957" t="s">
        <v>59</v>
      </c>
      <c r="B26" s="958" t="s">
        <v>60</v>
      </c>
      <c r="C26" s="958" t="s">
        <v>276</v>
      </c>
      <c r="D26" s="959">
        <v>0.26273623664749385</v>
      </c>
      <c r="E26" s="959">
        <v>0.26749311294765843</v>
      </c>
      <c r="F26" s="959">
        <v>0.31091814754981151</v>
      </c>
      <c r="G26" s="959">
        <v>0.32128125805620006</v>
      </c>
      <c r="H26" s="959">
        <v>0.32996859578286225</v>
      </c>
      <c r="I26" s="959">
        <v>0.44599596231493943</v>
      </c>
      <c r="J26" s="959">
        <v>0.50107671601615078</v>
      </c>
    </row>
    <row r="27" spans="1:10" ht="13.5" customHeight="1">
      <c r="A27" s="957" t="s">
        <v>61</v>
      </c>
      <c r="B27" s="958" t="s">
        <v>62</v>
      </c>
      <c r="C27" s="958" t="s">
        <v>273</v>
      </c>
      <c r="D27" s="959">
        <v>0.419157947184853</v>
      </c>
      <c r="E27" s="959">
        <v>0.45292439372325249</v>
      </c>
      <c r="F27" s="959">
        <v>0.46559945504087191</v>
      </c>
      <c r="G27" s="959">
        <v>0.45931244560487378</v>
      </c>
      <c r="H27" s="959">
        <v>0.47545219638242892</v>
      </c>
      <c r="I27" s="959">
        <v>0.64804048234280798</v>
      </c>
      <c r="J27" s="959">
        <v>0.68682170542635657</v>
      </c>
    </row>
    <row r="28" spans="1:10" ht="13.5" customHeight="1">
      <c r="A28" s="957" t="s">
        <v>63</v>
      </c>
      <c r="B28" s="958" t="s">
        <v>64</v>
      </c>
      <c r="C28" s="958" t="s">
        <v>276</v>
      </c>
      <c r="D28" s="959">
        <v>0.38213125406107862</v>
      </c>
      <c r="E28" s="959">
        <v>0.42691159508786214</v>
      </c>
      <c r="F28" s="959">
        <v>0.45232248823409044</v>
      </c>
      <c r="G28" s="959">
        <v>0.47933333333333333</v>
      </c>
      <c r="H28" s="959">
        <v>0.61356440312584204</v>
      </c>
      <c r="I28" s="959">
        <v>0.89283548908649957</v>
      </c>
      <c r="J28" s="959">
        <v>1.0588520614389652</v>
      </c>
    </row>
    <row r="29" spans="1:10" ht="13.5" customHeight="1">
      <c r="A29" s="957" t="s">
        <v>65</v>
      </c>
      <c r="B29" s="958" t="s">
        <v>66</v>
      </c>
      <c r="C29" s="958" t="s">
        <v>275</v>
      </c>
      <c r="D29" s="959">
        <v>0.65049415992812221</v>
      </c>
      <c r="E29" s="959">
        <v>0.64267103714910068</v>
      </c>
      <c r="F29" s="959">
        <v>0.67856517935258098</v>
      </c>
      <c r="G29" s="959">
        <v>0.64125722543352603</v>
      </c>
      <c r="H29" s="959">
        <v>0.70461095100864557</v>
      </c>
      <c r="I29" s="959">
        <v>0.87307877041306436</v>
      </c>
      <c r="J29" s="959">
        <v>0.94380403458213258</v>
      </c>
    </row>
    <row r="30" spans="1:10" ht="13.5" customHeight="1">
      <c r="A30" s="957" t="s">
        <v>69</v>
      </c>
      <c r="B30" s="958" t="s">
        <v>70</v>
      </c>
      <c r="C30" s="958" t="s">
        <v>278</v>
      </c>
      <c r="D30" s="959">
        <v>0.63736176935229072</v>
      </c>
      <c r="E30" s="959">
        <v>0.56630824372759858</v>
      </c>
      <c r="F30" s="959">
        <v>0.65258724428399517</v>
      </c>
      <c r="G30" s="959">
        <v>0.55255913539967372</v>
      </c>
      <c r="H30" s="959">
        <v>0.55871133305590237</v>
      </c>
      <c r="I30" s="959">
        <v>0.60682827021778329</v>
      </c>
      <c r="J30" s="959">
        <v>0.64565126924677485</v>
      </c>
    </row>
    <row r="31" spans="1:10" ht="13.5" customHeight="1">
      <c r="A31" s="957" t="s">
        <v>71</v>
      </c>
      <c r="B31" s="958" t="s">
        <v>72</v>
      </c>
      <c r="C31" s="958" t="s">
        <v>272</v>
      </c>
      <c r="D31" s="959">
        <v>0.68108209304502476</v>
      </c>
      <c r="E31" s="959">
        <v>0.80683540466808124</v>
      </c>
      <c r="F31" s="959">
        <v>0.73746766568548749</v>
      </c>
      <c r="G31" s="959">
        <v>0.68707653701380178</v>
      </c>
      <c r="H31" s="959">
        <v>0.75497225778915922</v>
      </c>
      <c r="I31" s="959">
        <v>0.94291506615450282</v>
      </c>
      <c r="J31" s="959">
        <v>1.0813316261203585</v>
      </c>
    </row>
    <row r="32" spans="1:10" ht="13.5" customHeight="1">
      <c r="A32" s="957" t="s">
        <v>73</v>
      </c>
      <c r="B32" s="958" t="s">
        <v>74</v>
      </c>
      <c r="C32" s="958" t="s">
        <v>275</v>
      </c>
      <c r="D32" s="959">
        <v>0.7468507751937985</v>
      </c>
      <c r="E32" s="959">
        <v>0.79479655712050079</v>
      </c>
      <c r="F32" s="959">
        <v>0.80371112383132992</v>
      </c>
      <c r="G32" s="959">
        <v>0.80954916577919778</v>
      </c>
      <c r="H32" s="959">
        <v>0.8646156497759393</v>
      </c>
      <c r="I32" s="959">
        <v>1.0512754222681835</v>
      </c>
      <c r="J32" s="959">
        <v>1.1600827300930714</v>
      </c>
    </row>
    <row r="33" spans="1:10" ht="13.5" customHeight="1">
      <c r="A33" s="957" t="s">
        <v>75</v>
      </c>
      <c r="B33" s="958" t="s">
        <v>356</v>
      </c>
      <c r="C33" s="958" t="s">
        <v>276</v>
      </c>
      <c r="D33" s="959">
        <v>0.22789937768203655</v>
      </c>
      <c r="E33" s="959">
        <v>0.27073690798474659</v>
      </c>
      <c r="F33" s="959">
        <v>0.26392918528704024</v>
      </c>
      <c r="G33" s="959">
        <v>0.2674672735564918</v>
      </c>
      <c r="H33" s="959">
        <v>0.32990066014825237</v>
      </c>
      <c r="I33" s="959">
        <v>0.42057192157767492</v>
      </c>
      <c r="J33" s="959">
        <v>0.50337846606393566</v>
      </c>
    </row>
    <row r="34" spans="1:10" ht="13.5" customHeight="1">
      <c r="A34" s="957" t="s">
        <v>77</v>
      </c>
      <c r="B34" s="958" t="s">
        <v>78</v>
      </c>
      <c r="C34" s="958" t="s">
        <v>276</v>
      </c>
      <c r="D34" s="959">
        <v>0.30197351907630521</v>
      </c>
      <c r="E34" s="959">
        <v>0.38968432919954904</v>
      </c>
      <c r="F34" s="959">
        <v>0.37904883407753914</v>
      </c>
      <c r="G34" s="959">
        <v>0.3783305642729678</v>
      </c>
      <c r="H34" s="959">
        <v>0.47087991345113595</v>
      </c>
      <c r="I34" s="959">
        <v>0.61717153504026923</v>
      </c>
      <c r="J34" s="959">
        <v>0.71381175622069959</v>
      </c>
    </row>
    <row r="35" spans="1:10" ht="13.5" customHeight="1">
      <c r="A35" s="957" t="s">
        <v>79</v>
      </c>
      <c r="B35" s="958" t="s">
        <v>80</v>
      </c>
      <c r="C35" s="958" t="s">
        <v>278</v>
      </c>
      <c r="D35" s="959">
        <v>0.46488908476568236</v>
      </c>
      <c r="E35" s="959">
        <v>0.4847810734463277</v>
      </c>
      <c r="F35" s="959">
        <v>0.44654913728432111</v>
      </c>
      <c r="G35" s="959">
        <v>0.45091575091575092</v>
      </c>
      <c r="H35" s="959">
        <v>0.5319577601778519</v>
      </c>
      <c r="I35" s="959">
        <v>0.66805613450048629</v>
      </c>
      <c r="J35" s="959">
        <v>0.786494372655273</v>
      </c>
    </row>
    <row r="36" spans="1:10" ht="13.5" customHeight="1">
      <c r="A36" s="957" t="s">
        <v>81</v>
      </c>
      <c r="B36" s="958" t="s">
        <v>82</v>
      </c>
      <c r="C36" s="958" t="s">
        <v>275</v>
      </c>
      <c r="D36" s="959">
        <v>0.31521220791607057</v>
      </c>
      <c r="E36" s="959">
        <v>0.28280324934600026</v>
      </c>
      <c r="F36" s="959">
        <v>0.34771181199752627</v>
      </c>
      <c r="G36" s="959">
        <v>0.32341024584535094</v>
      </c>
      <c r="H36" s="959">
        <v>0.3794756554307116</v>
      </c>
      <c r="I36" s="959">
        <v>0.54580524344569292</v>
      </c>
      <c r="J36" s="959">
        <v>0.65734831460674159</v>
      </c>
    </row>
    <row r="37" spans="1:10" ht="13.5" customHeight="1">
      <c r="A37" s="957" t="s">
        <v>85</v>
      </c>
      <c r="B37" s="958" t="s">
        <v>86</v>
      </c>
      <c r="C37" s="958" t="s">
        <v>273</v>
      </c>
      <c r="D37" s="959">
        <v>0.54455090600964673</v>
      </c>
      <c r="E37" s="959">
        <v>0.66176184216931988</v>
      </c>
      <c r="F37" s="959">
        <v>0.66591475163306546</v>
      </c>
      <c r="G37" s="959">
        <v>0.61595736106073429</v>
      </c>
      <c r="H37" s="959">
        <v>0.65246797703180215</v>
      </c>
      <c r="I37" s="959">
        <v>0.7977123822143698</v>
      </c>
      <c r="J37" s="959">
        <v>0.86515017667844518</v>
      </c>
    </row>
    <row r="38" spans="1:10" ht="13.5" customHeight="1">
      <c r="A38" s="957" t="s">
        <v>87</v>
      </c>
      <c r="B38" s="958" t="s">
        <v>88</v>
      </c>
      <c r="C38" s="958" t="s">
        <v>276</v>
      </c>
      <c r="D38" s="959">
        <v>0.34761946798493409</v>
      </c>
      <c r="E38" s="959">
        <v>0.38027426160337552</v>
      </c>
      <c r="F38" s="959">
        <v>0.36097152428810719</v>
      </c>
      <c r="G38" s="959">
        <v>0.40743167807387992</v>
      </c>
      <c r="H38" s="959">
        <v>0.50113402061855672</v>
      </c>
      <c r="I38" s="959">
        <v>0.7163802978235968</v>
      </c>
      <c r="J38" s="959">
        <v>0.85569759450171823</v>
      </c>
    </row>
    <row r="39" spans="1:10" ht="13.5" customHeight="1">
      <c r="A39" s="957" t="s">
        <v>93</v>
      </c>
      <c r="B39" s="958" t="s">
        <v>94</v>
      </c>
      <c r="C39" s="958" t="s">
        <v>278</v>
      </c>
      <c r="D39" s="959">
        <v>0.55524605385329617</v>
      </c>
      <c r="E39" s="959">
        <v>0.56483516483516483</v>
      </c>
      <c r="F39" s="959">
        <v>0.59449869791666665</v>
      </c>
      <c r="G39" s="959">
        <v>0.58280367231638419</v>
      </c>
      <c r="H39" s="959">
        <v>0.60637454710144922</v>
      </c>
      <c r="I39" s="959">
        <v>0.72342051630434778</v>
      </c>
      <c r="J39" s="959">
        <v>0.81032608695652175</v>
      </c>
    </row>
    <row r="40" spans="1:10" ht="13.5" customHeight="1">
      <c r="A40" s="957" t="s">
        <v>95</v>
      </c>
      <c r="B40" s="958" t="s">
        <v>96</v>
      </c>
      <c r="C40" s="958" t="s">
        <v>272</v>
      </c>
      <c r="D40" s="959">
        <v>0.38352983208288677</v>
      </c>
      <c r="E40" s="959">
        <v>0.46572688914461069</v>
      </c>
      <c r="F40" s="959">
        <v>0.42652073104200766</v>
      </c>
      <c r="G40" s="959">
        <v>0.47151120751988429</v>
      </c>
      <c r="H40" s="959">
        <v>0.51505477635894215</v>
      </c>
      <c r="I40" s="959">
        <v>0.70129439676226357</v>
      </c>
      <c r="J40" s="959">
        <v>0.82558090851999166</v>
      </c>
    </row>
    <row r="41" spans="1:10" ht="13.5" customHeight="1">
      <c r="A41" s="957" t="s">
        <v>97</v>
      </c>
      <c r="B41" s="958" t="s">
        <v>98</v>
      </c>
      <c r="C41" s="958" t="s">
        <v>275</v>
      </c>
      <c r="D41" s="959">
        <v>0.34383202099737531</v>
      </c>
      <c r="E41" s="959">
        <v>0.39076075439711805</v>
      </c>
      <c r="F41" s="959">
        <v>0.35978169605373633</v>
      </c>
      <c r="G41" s="959">
        <v>0.25571165034766569</v>
      </c>
      <c r="H41" s="959">
        <v>0.44202472042377872</v>
      </c>
      <c r="I41" s="959">
        <v>0.59510496370413968</v>
      </c>
      <c r="J41" s="959">
        <v>0.69864626250735729</v>
      </c>
    </row>
    <row r="42" spans="1:10" ht="13.5" customHeight="1">
      <c r="A42" s="957" t="s">
        <v>99</v>
      </c>
      <c r="B42" s="958" t="s">
        <v>100</v>
      </c>
      <c r="C42" s="958" t="s">
        <v>278</v>
      </c>
      <c r="D42" s="959">
        <v>0.55992171032821436</v>
      </c>
      <c r="E42" s="959">
        <v>0.54519616065604326</v>
      </c>
      <c r="F42" s="959">
        <v>0.59518960333624282</v>
      </c>
      <c r="G42" s="959">
        <v>0.51073216777476815</v>
      </c>
      <c r="H42" s="959">
        <v>0.57500436071864647</v>
      </c>
      <c r="I42" s="959">
        <v>0.64226844583987441</v>
      </c>
      <c r="J42" s="959">
        <v>0.69539508110936687</v>
      </c>
    </row>
    <row r="43" spans="1:10" ht="13.5" customHeight="1">
      <c r="A43" s="957" t="s">
        <v>101</v>
      </c>
      <c r="B43" s="958" t="s">
        <v>102</v>
      </c>
      <c r="C43" s="958" t="s">
        <v>276</v>
      </c>
      <c r="D43" s="959">
        <v>0.49800762300762302</v>
      </c>
      <c r="E43" s="959">
        <v>0.5680686220254566</v>
      </c>
      <c r="F43" s="959">
        <v>0.56412024269167127</v>
      </c>
      <c r="G43" s="959">
        <v>0.52823147172462237</v>
      </c>
      <c r="H43" s="959">
        <v>0.61614025192705391</v>
      </c>
      <c r="I43" s="959">
        <v>0.8715454032712916</v>
      </c>
      <c r="J43" s="959">
        <v>1.0486181613085166</v>
      </c>
    </row>
    <row r="44" spans="1:10" ht="13.5" customHeight="1">
      <c r="A44" s="957" t="s">
        <v>103</v>
      </c>
      <c r="B44" s="958" t="s">
        <v>104</v>
      </c>
      <c r="C44" s="958" t="s">
        <v>272</v>
      </c>
      <c r="D44" s="959">
        <v>0.54634988323687683</v>
      </c>
      <c r="E44" s="959">
        <v>0.60678147499513524</v>
      </c>
      <c r="F44" s="959">
        <v>0.66488756048961006</v>
      </c>
      <c r="G44" s="959">
        <v>0.63596157101743689</v>
      </c>
      <c r="H44" s="959">
        <v>0.77053073269700745</v>
      </c>
      <c r="I44" s="959">
        <v>0.73525714285714283</v>
      </c>
      <c r="J44" s="959">
        <v>0.81421714285714286</v>
      </c>
    </row>
    <row r="45" spans="1:10" ht="13.5" customHeight="1">
      <c r="A45" s="957" t="s">
        <v>105</v>
      </c>
      <c r="B45" s="958" t="s">
        <v>106</v>
      </c>
      <c r="C45" s="958" t="s">
        <v>273</v>
      </c>
      <c r="D45" s="959">
        <v>0.55333744095296777</v>
      </c>
      <c r="E45" s="959">
        <v>0.65888139790864064</v>
      </c>
      <c r="F45" s="959">
        <v>0.57568685488767457</v>
      </c>
      <c r="G45" s="959">
        <v>0.5659284951974386</v>
      </c>
      <c r="H45" s="959">
        <v>0.60348223643789078</v>
      </c>
      <c r="I45" s="959">
        <v>0.68521630705844083</v>
      </c>
      <c r="J45" s="959">
        <v>0.727854277350103</v>
      </c>
    </row>
    <row r="46" spans="1:10" ht="13.5" customHeight="1">
      <c r="A46" s="957" t="s">
        <v>109</v>
      </c>
      <c r="B46" s="958" t="s">
        <v>110</v>
      </c>
      <c r="C46" s="958" t="s">
        <v>275</v>
      </c>
      <c r="D46" s="959">
        <v>0.34209212778094694</v>
      </c>
      <c r="E46" s="959">
        <v>0.42799555184876287</v>
      </c>
      <c r="F46" s="959">
        <v>0.4947381530605891</v>
      </c>
      <c r="G46" s="959">
        <v>0.38194249320970308</v>
      </c>
      <c r="H46" s="959">
        <v>0.51615508885298866</v>
      </c>
      <c r="I46" s="959">
        <v>0.68275444264943452</v>
      </c>
      <c r="J46" s="959">
        <v>0.79987075928917606</v>
      </c>
    </row>
    <row r="47" spans="1:10" ht="13.5" customHeight="1">
      <c r="A47" s="957" t="s">
        <v>111</v>
      </c>
      <c r="B47" s="958" t="s">
        <v>112</v>
      </c>
      <c r="C47" s="958" t="s">
        <v>275</v>
      </c>
      <c r="D47" s="959">
        <v>0.42148109528930017</v>
      </c>
      <c r="E47" s="959">
        <v>0.50962638200533739</v>
      </c>
      <c r="F47" s="959">
        <v>0.52768534391000865</v>
      </c>
      <c r="G47" s="959">
        <v>0.45286276972257106</v>
      </c>
      <c r="H47" s="959">
        <v>0.52185204272390129</v>
      </c>
      <c r="I47" s="959">
        <v>0.70806428795181942</v>
      </c>
      <c r="J47" s="959">
        <v>0.85082002000788193</v>
      </c>
    </row>
    <row r="48" spans="1:10" ht="13.5" customHeight="1">
      <c r="A48" s="957" t="s">
        <v>113</v>
      </c>
      <c r="B48" s="958" t="s">
        <v>357</v>
      </c>
      <c r="C48" s="958" t="s">
        <v>273</v>
      </c>
      <c r="D48" s="959">
        <v>0.60370395916678166</v>
      </c>
      <c r="E48" s="959">
        <v>0.63152583271316776</v>
      </c>
      <c r="F48" s="959">
        <v>0.68898120403159901</v>
      </c>
      <c r="G48" s="959">
        <v>0.62113096999467365</v>
      </c>
      <c r="H48" s="959">
        <v>0.81689184483599131</v>
      </c>
      <c r="I48" s="959">
        <v>0.85080807470917363</v>
      </c>
      <c r="J48" s="959">
        <v>0.90632773819587009</v>
      </c>
    </row>
    <row r="49" spans="1:10" ht="13.5" customHeight="1">
      <c r="A49" s="957" t="s">
        <v>115</v>
      </c>
      <c r="B49" s="958" t="s">
        <v>116</v>
      </c>
      <c r="C49" s="958" t="s">
        <v>273</v>
      </c>
      <c r="D49" s="959">
        <v>0.31288076588337688</v>
      </c>
      <c r="E49" s="959">
        <v>0.34752198241406873</v>
      </c>
      <c r="F49" s="959">
        <v>0.33352402745995424</v>
      </c>
      <c r="G49" s="959">
        <v>0.30121145374449337</v>
      </c>
      <c r="H49" s="959">
        <v>0.34859154929577463</v>
      </c>
      <c r="I49" s="959">
        <v>0.39632237871674492</v>
      </c>
      <c r="J49" s="959">
        <v>0.40375586854460094</v>
      </c>
    </row>
    <row r="50" spans="1:10" ht="13.5" customHeight="1">
      <c r="A50" s="957" t="s">
        <v>119</v>
      </c>
      <c r="B50" s="958" t="s">
        <v>283</v>
      </c>
      <c r="C50" s="958" t="s">
        <v>272</v>
      </c>
      <c r="D50" s="959">
        <v>0.54821442226810435</v>
      </c>
      <c r="E50" s="959">
        <v>0.63340886874611213</v>
      </c>
      <c r="F50" s="959">
        <v>0.64290390154490706</v>
      </c>
      <c r="G50" s="959">
        <v>0.57824382129277563</v>
      </c>
      <c r="H50" s="959">
        <v>0.71734594210619784</v>
      </c>
      <c r="I50" s="959">
        <v>0.86734150239744268</v>
      </c>
      <c r="J50" s="959">
        <v>0.97639850825785823</v>
      </c>
    </row>
    <row r="51" spans="1:10" ht="13.5" customHeight="1">
      <c r="A51" s="957" t="s">
        <v>121</v>
      </c>
      <c r="B51" s="958" t="s">
        <v>122</v>
      </c>
      <c r="C51" s="958" t="s">
        <v>272</v>
      </c>
      <c r="D51" s="959">
        <v>0.36924056135121708</v>
      </c>
      <c r="E51" s="959">
        <v>0.47360897294919729</v>
      </c>
      <c r="F51" s="959">
        <v>0.42863222680547369</v>
      </c>
      <c r="G51" s="959">
        <v>0.42326583801122697</v>
      </c>
      <c r="H51" s="959">
        <v>0.49310616505810517</v>
      </c>
      <c r="I51" s="959">
        <v>0.66371216597728322</v>
      </c>
      <c r="J51" s="959">
        <v>0.77340949379554857</v>
      </c>
    </row>
    <row r="52" spans="1:10" ht="13.5" customHeight="1">
      <c r="A52" s="957" t="s">
        <v>123</v>
      </c>
      <c r="B52" s="958" t="s">
        <v>284</v>
      </c>
      <c r="C52" s="958" t="s">
        <v>275</v>
      </c>
      <c r="D52" s="959">
        <v>0.63043478260869568</v>
      </c>
      <c r="E52" s="959">
        <v>0.57482566248256628</v>
      </c>
      <c r="F52" s="959">
        <v>0.64423359811709324</v>
      </c>
      <c r="G52" s="959">
        <v>0.57591514143094846</v>
      </c>
      <c r="H52" s="959">
        <v>0.63792354474370117</v>
      </c>
      <c r="I52" s="959">
        <v>0.76122212568780767</v>
      </c>
      <c r="J52" s="959">
        <v>0.87350130321459596</v>
      </c>
    </row>
    <row r="53" spans="1:10" ht="13.5" customHeight="1">
      <c r="A53" s="957" t="s">
        <v>125</v>
      </c>
      <c r="B53" s="958" t="s">
        <v>126</v>
      </c>
      <c r="C53" s="958" t="s">
        <v>276</v>
      </c>
      <c r="D53" s="959">
        <v>0.55162280701754385</v>
      </c>
      <c r="E53" s="959">
        <v>0.65107300441235461</v>
      </c>
      <c r="F53" s="959">
        <v>0.65636486747920297</v>
      </c>
      <c r="G53" s="959">
        <v>0.61343630626141832</v>
      </c>
      <c r="H53" s="959">
        <v>0.7824291427577813</v>
      </c>
      <c r="I53" s="959">
        <v>1.0382976873587202</v>
      </c>
      <c r="J53" s="959">
        <v>1.2200312989045383</v>
      </c>
    </row>
    <row r="54" spans="1:10" ht="13.5" customHeight="1">
      <c r="A54" s="957" t="s">
        <v>127</v>
      </c>
      <c r="B54" s="958" t="s">
        <v>128</v>
      </c>
      <c r="C54" s="958" t="s">
        <v>275</v>
      </c>
      <c r="D54" s="959">
        <v>0.51124708624708626</v>
      </c>
      <c r="E54" s="959">
        <v>0.62792174796747968</v>
      </c>
      <c r="F54" s="959">
        <v>0.59643605870020966</v>
      </c>
      <c r="G54" s="959">
        <v>0.60179324894514763</v>
      </c>
      <c r="H54" s="959">
        <v>0.6783863368669022</v>
      </c>
      <c r="I54" s="959">
        <v>0.95441696113074204</v>
      </c>
      <c r="J54" s="959">
        <v>1.125512367491166</v>
      </c>
    </row>
    <row r="55" spans="1:10" ht="13.5" customHeight="1">
      <c r="A55" s="957" t="s">
        <v>129</v>
      </c>
      <c r="B55" s="958" t="s">
        <v>130</v>
      </c>
      <c r="C55" s="958" t="s">
        <v>275</v>
      </c>
      <c r="D55" s="959">
        <v>0.61568231532895845</v>
      </c>
      <c r="E55" s="959">
        <v>0.64562541583499666</v>
      </c>
      <c r="F55" s="959">
        <v>0.60898066207800716</v>
      </c>
      <c r="G55" s="959">
        <v>0.57010582010582012</v>
      </c>
      <c r="H55" s="959">
        <v>0.58965402528276778</v>
      </c>
      <c r="I55" s="959">
        <v>0.69357119095143049</v>
      </c>
      <c r="J55" s="959">
        <v>0.77035928143712573</v>
      </c>
    </row>
    <row r="56" spans="1:10" ht="13.5" customHeight="1">
      <c r="A56" s="957" t="s">
        <v>131</v>
      </c>
      <c r="B56" s="958" t="s">
        <v>132</v>
      </c>
      <c r="C56" s="958" t="s">
        <v>278</v>
      </c>
      <c r="D56" s="959">
        <v>0.69147133578085285</v>
      </c>
      <c r="E56" s="959">
        <v>0.60752919483712353</v>
      </c>
      <c r="F56" s="959">
        <v>0.69933426769446394</v>
      </c>
      <c r="G56" s="959">
        <v>0.64706768211350629</v>
      </c>
      <c r="H56" s="959">
        <v>0.69349276725334763</v>
      </c>
      <c r="I56" s="959">
        <v>0.7495857405168167</v>
      </c>
      <c r="J56" s="959">
        <v>0.79575440010748355</v>
      </c>
    </row>
    <row r="57" spans="1:10" ht="13.5" customHeight="1">
      <c r="A57" s="957" t="s">
        <v>133</v>
      </c>
      <c r="B57" s="958" t="s">
        <v>134</v>
      </c>
      <c r="C57" s="958" t="s">
        <v>276</v>
      </c>
      <c r="D57" s="959">
        <v>0.23964927745278736</v>
      </c>
      <c r="E57" s="959">
        <v>0.36041326808047852</v>
      </c>
      <c r="F57" s="959">
        <v>0.32113666603307356</v>
      </c>
      <c r="G57" s="959">
        <v>0.29947829947829946</v>
      </c>
      <c r="H57" s="959">
        <v>0.34582491582491581</v>
      </c>
      <c r="I57" s="959">
        <v>0.48074074074074075</v>
      </c>
      <c r="J57" s="959">
        <v>0.57452929292929289</v>
      </c>
    </row>
    <row r="58" spans="1:10" ht="13.5" customHeight="1">
      <c r="A58" s="957" t="s">
        <v>135</v>
      </c>
      <c r="B58" s="958" t="s">
        <v>136</v>
      </c>
      <c r="C58" s="958" t="s">
        <v>276</v>
      </c>
      <c r="D58" s="959">
        <v>0.4172714078374456</v>
      </c>
      <c r="E58" s="959">
        <v>0.45056306306306304</v>
      </c>
      <c r="F58" s="959">
        <v>0.49929258630447088</v>
      </c>
      <c r="G58" s="959">
        <v>0.45967681743543815</v>
      </c>
      <c r="H58" s="959">
        <v>0.54409470317497466</v>
      </c>
      <c r="I58" s="959">
        <v>0.75249629456275846</v>
      </c>
      <c r="J58" s="959">
        <v>0.88233091504797567</v>
      </c>
    </row>
    <row r="59" spans="1:10" ht="13.5" customHeight="1">
      <c r="A59" s="957" t="s">
        <v>137</v>
      </c>
      <c r="B59" s="958" t="s">
        <v>138</v>
      </c>
      <c r="C59" s="958" t="s">
        <v>275</v>
      </c>
      <c r="D59" s="959">
        <v>0.52998629198080882</v>
      </c>
      <c r="E59" s="959">
        <v>0.47584541062801933</v>
      </c>
      <c r="F59" s="959">
        <v>0.53896882494004794</v>
      </c>
      <c r="G59" s="959">
        <v>0.52234848484848484</v>
      </c>
      <c r="H59" s="959">
        <v>0.52122618702253165</v>
      </c>
      <c r="I59" s="959">
        <v>0.60685620346194757</v>
      </c>
      <c r="J59" s="959">
        <v>0.66910356832027851</v>
      </c>
    </row>
    <row r="60" spans="1:10" ht="13.5" customHeight="1">
      <c r="A60" s="957" t="s">
        <v>141</v>
      </c>
      <c r="B60" s="958" t="s">
        <v>142</v>
      </c>
      <c r="C60" s="958" t="s">
        <v>276</v>
      </c>
      <c r="D60" s="959">
        <v>0.34643758493496407</v>
      </c>
      <c r="E60" s="959">
        <v>0.35471587580550673</v>
      </c>
      <c r="F60" s="959">
        <v>0.32169913419913421</v>
      </c>
      <c r="G60" s="959">
        <v>0.34409304756926296</v>
      </c>
      <c r="H60" s="959">
        <v>0.42841391009329943</v>
      </c>
      <c r="I60" s="959">
        <v>0.58422391857506362</v>
      </c>
      <c r="J60" s="959">
        <v>0.71531806615776083</v>
      </c>
    </row>
    <row r="61" spans="1:10" ht="13.5" customHeight="1">
      <c r="A61" s="957" t="s">
        <v>147</v>
      </c>
      <c r="B61" s="958" t="s">
        <v>148</v>
      </c>
      <c r="C61" s="958" t="s">
        <v>272</v>
      </c>
      <c r="D61" s="959">
        <v>0.47104779411764708</v>
      </c>
      <c r="E61" s="959">
        <v>0.55953608247422681</v>
      </c>
      <c r="F61" s="959">
        <v>0.5566438132549788</v>
      </c>
      <c r="G61" s="959">
        <v>0.53435114503816794</v>
      </c>
      <c r="H61" s="959">
        <v>0.57393483709273185</v>
      </c>
      <c r="I61" s="959">
        <v>0.73394423558897248</v>
      </c>
      <c r="J61" s="959">
        <v>0.83496240601503757</v>
      </c>
    </row>
    <row r="62" spans="1:10" ht="13.5" customHeight="1">
      <c r="A62" s="957" t="s">
        <v>149</v>
      </c>
      <c r="B62" s="958" t="s">
        <v>150</v>
      </c>
      <c r="C62" s="958" t="s">
        <v>273</v>
      </c>
      <c r="D62" s="959">
        <v>0.47630506748153806</v>
      </c>
      <c r="E62" s="959">
        <v>0.49595929362466329</v>
      </c>
      <c r="F62" s="959">
        <v>0.55201242571582931</v>
      </c>
      <c r="G62" s="959">
        <v>0.47403253867494238</v>
      </c>
      <c r="H62" s="959">
        <v>0.49380391619882241</v>
      </c>
      <c r="I62" s="959">
        <v>0.59016842393536906</v>
      </c>
      <c r="J62" s="959">
        <v>0.66832808434889768</v>
      </c>
    </row>
    <row r="63" spans="1:10" ht="13.5" customHeight="1">
      <c r="A63" s="957" t="s">
        <v>151</v>
      </c>
      <c r="B63" s="958" t="s">
        <v>152</v>
      </c>
      <c r="C63" s="958" t="s">
        <v>275</v>
      </c>
      <c r="D63" s="959">
        <v>0.47603550295857988</v>
      </c>
      <c r="E63" s="959">
        <v>0.47234657713113226</v>
      </c>
      <c r="F63" s="959">
        <v>0.49069349962207104</v>
      </c>
      <c r="G63" s="959">
        <v>0.47371303395399783</v>
      </c>
      <c r="H63" s="959">
        <v>0.51467775865366228</v>
      </c>
      <c r="I63" s="959">
        <v>0.64386115892139983</v>
      </c>
      <c r="J63" s="959">
        <v>0.76695352839931152</v>
      </c>
    </row>
    <row r="64" spans="1:10" ht="13.5" customHeight="1">
      <c r="A64" s="957" t="s">
        <v>153</v>
      </c>
      <c r="B64" s="958" t="s">
        <v>154</v>
      </c>
      <c r="C64" s="958" t="s">
        <v>278</v>
      </c>
      <c r="D64" s="959">
        <v>0.27314207137946123</v>
      </c>
      <c r="E64" s="959">
        <v>0.22520464726546136</v>
      </c>
      <c r="F64" s="959">
        <v>0.23875706214689266</v>
      </c>
      <c r="G64" s="959">
        <v>0.22827933106872222</v>
      </c>
      <c r="H64" s="959">
        <v>0.24522534878919269</v>
      </c>
      <c r="I64" s="959">
        <v>0.28958720467215293</v>
      </c>
      <c r="J64" s="959">
        <v>0.32091850278736395</v>
      </c>
    </row>
    <row r="65" spans="1:10" ht="13.5" customHeight="1">
      <c r="A65" s="957" t="s">
        <v>155</v>
      </c>
      <c r="B65" s="958" t="s">
        <v>156</v>
      </c>
      <c r="C65" s="958" t="s">
        <v>273</v>
      </c>
      <c r="D65" s="959">
        <v>0.42102908277404921</v>
      </c>
      <c r="E65" s="959">
        <v>0.43767836757990869</v>
      </c>
      <c r="F65" s="959">
        <v>0.49836956521739129</v>
      </c>
      <c r="G65" s="959">
        <v>0.52630530091669991</v>
      </c>
      <c r="H65" s="959">
        <v>0.5422117248062015</v>
      </c>
      <c r="I65" s="959">
        <v>0.6881661821705426</v>
      </c>
      <c r="J65" s="959">
        <v>0.73546511627906974</v>
      </c>
    </row>
    <row r="66" spans="1:10" ht="13.5" customHeight="1">
      <c r="A66" s="957" t="s">
        <v>157</v>
      </c>
      <c r="B66" s="958" t="s">
        <v>158</v>
      </c>
      <c r="C66" s="958" t="s">
        <v>275</v>
      </c>
      <c r="D66" s="959">
        <v>0.34270578647106764</v>
      </c>
      <c r="E66" s="959">
        <v>0.43957564575645758</v>
      </c>
      <c r="F66" s="959">
        <v>0.38345608292416805</v>
      </c>
      <c r="G66" s="959">
        <v>0.35886886102403343</v>
      </c>
      <c r="H66" s="959">
        <v>0.40131912734652458</v>
      </c>
      <c r="I66" s="959">
        <v>0.56532217148655506</v>
      </c>
      <c r="J66" s="959">
        <v>0.70639269406392691</v>
      </c>
    </row>
    <row r="67" spans="1:10" ht="13.5" customHeight="1">
      <c r="A67" s="957" t="s">
        <v>163</v>
      </c>
      <c r="B67" s="958" t="s">
        <v>164</v>
      </c>
      <c r="C67" s="958" t="s">
        <v>272</v>
      </c>
      <c r="D67" s="959">
        <v>0.56711442786069655</v>
      </c>
      <c r="E67" s="959">
        <v>0.5955555555555555</v>
      </c>
      <c r="F67" s="959">
        <v>0.63383172090296103</v>
      </c>
      <c r="G67" s="959">
        <v>0.54354960868467561</v>
      </c>
      <c r="H67" s="959">
        <v>0.61724170706206638</v>
      </c>
      <c r="I67" s="959">
        <v>0.69596521243227827</v>
      </c>
      <c r="J67" s="959">
        <v>0.77507841459937266</v>
      </c>
    </row>
    <row r="68" spans="1:10" ht="13.5" customHeight="1">
      <c r="A68" s="957" t="s">
        <v>165</v>
      </c>
      <c r="B68" s="958" t="s">
        <v>166</v>
      </c>
      <c r="C68" s="958" t="s">
        <v>275</v>
      </c>
      <c r="D68" s="959">
        <v>0.47064262598243178</v>
      </c>
      <c r="E68" s="959">
        <v>0.51964285714285718</v>
      </c>
      <c r="F68" s="959">
        <v>0.45697876029475509</v>
      </c>
      <c r="G68" s="959">
        <v>0.39378764074365019</v>
      </c>
      <c r="H68" s="959">
        <v>0.45155797101449274</v>
      </c>
      <c r="I68" s="959">
        <v>0.55586956521739128</v>
      </c>
      <c r="J68" s="959">
        <v>0.62295652173913041</v>
      </c>
    </row>
    <row r="69" spans="1:10" ht="13.5" customHeight="1">
      <c r="A69" s="957" t="s">
        <v>169</v>
      </c>
      <c r="B69" s="958" t="s">
        <v>170</v>
      </c>
      <c r="C69" s="958" t="s">
        <v>275</v>
      </c>
      <c r="D69" s="959">
        <v>0.58268868392343554</v>
      </c>
      <c r="E69" s="959">
        <v>0.5798766816143498</v>
      </c>
      <c r="F69" s="959">
        <v>0.57680007309941517</v>
      </c>
      <c r="G69" s="959">
        <v>0.53485636453689944</v>
      </c>
      <c r="H69" s="959">
        <v>0.59582708645677163</v>
      </c>
      <c r="I69" s="959">
        <v>0.71355988672330506</v>
      </c>
      <c r="J69" s="959">
        <v>0.79445277361319344</v>
      </c>
    </row>
    <row r="70" spans="1:10" ht="13.5" customHeight="1">
      <c r="A70" s="957" t="s">
        <v>171</v>
      </c>
      <c r="B70" s="958" t="s">
        <v>172</v>
      </c>
      <c r="C70" s="958" t="s">
        <v>276</v>
      </c>
      <c r="D70" s="959">
        <v>0.42210198636228874</v>
      </c>
      <c r="E70" s="959">
        <v>0.44937126052124532</v>
      </c>
      <c r="F70" s="959">
        <v>0.45549242424242425</v>
      </c>
      <c r="G70" s="959">
        <v>0.39823474890461746</v>
      </c>
      <c r="H70" s="959">
        <v>0.53717843832378875</v>
      </c>
      <c r="I70" s="959">
        <v>0.71475320425415867</v>
      </c>
      <c r="J70" s="959">
        <v>0.81788928279247342</v>
      </c>
    </row>
    <row r="71" spans="1:10" ht="13.5" customHeight="1">
      <c r="A71" s="957" t="s">
        <v>173</v>
      </c>
      <c r="B71" s="958" t="s">
        <v>174</v>
      </c>
      <c r="C71" s="958" t="s">
        <v>276</v>
      </c>
      <c r="D71" s="959">
        <v>0.44782070965540771</v>
      </c>
      <c r="E71" s="959">
        <v>0.4700745603371424</v>
      </c>
      <c r="F71" s="959">
        <v>0.51029693486590033</v>
      </c>
      <c r="G71" s="959">
        <v>0.54516027159324176</v>
      </c>
      <c r="H71" s="959">
        <v>0.54644069020287345</v>
      </c>
      <c r="I71" s="959">
        <v>0.70364955598873724</v>
      </c>
      <c r="J71" s="959">
        <v>0.79358891054797487</v>
      </c>
    </row>
    <row r="72" spans="1:10" ht="13.5" customHeight="1">
      <c r="A72" s="957" t="s">
        <v>175</v>
      </c>
      <c r="B72" s="958" t="s">
        <v>176</v>
      </c>
      <c r="C72" s="958" t="s">
        <v>278</v>
      </c>
      <c r="D72" s="959">
        <v>0.6116055846422338</v>
      </c>
      <c r="E72" s="959">
        <v>0.62341062079281973</v>
      </c>
      <c r="F72" s="959">
        <v>0.70886192314763741</v>
      </c>
      <c r="G72" s="959">
        <v>0.66450936883629186</v>
      </c>
      <c r="H72" s="959">
        <v>0.67203376881350751</v>
      </c>
      <c r="I72" s="959">
        <v>0.76669340667736263</v>
      </c>
      <c r="J72" s="959">
        <v>0.79990831996332801</v>
      </c>
    </row>
    <row r="73" spans="1:10" ht="13.5" customHeight="1">
      <c r="A73" s="957" t="s">
        <v>179</v>
      </c>
      <c r="B73" s="958" t="s">
        <v>180</v>
      </c>
      <c r="C73" s="958" t="s">
        <v>273</v>
      </c>
      <c r="D73" s="959">
        <v>0.50069666228317367</v>
      </c>
      <c r="E73" s="959">
        <v>0.52316332988148662</v>
      </c>
      <c r="F73" s="959">
        <v>0.62148227879695495</v>
      </c>
      <c r="G73" s="959">
        <v>0.65652331786176632</v>
      </c>
      <c r="H73" s="959">
        <v>0.62257934185962271</v>
      </c>
      <c r="I73" s="959">
        <v>0.72372453955250915</v>
      </c>
      <c r="J73" s="959">
        <v>0.77883474044972001</v>
      </c>
    </row>
    <row r="74" spans="1:10" ht="13.5" customHeight="1">
      <c r="A74" s="957" t="s">
        <v>183</v>
      </c>
      <c r="B74" s="958" t="s">
        <v>184</v>
      </c>
      <c r="C74" s="958" t="s">
        <v>275</v>
      </c>
      <c r="D74" s="959">
        <v>0.25861921829663764</v>
      </c>
      <c r="E74" s="959">
        <v>0.30095340888649036</v>
      </c>
      <c r="F74" s="959">
        <v>0.31518024944472922</v>
      </c>
      <c r="G74" s="959">
        <v>0.32521387832699622</v>
      </c>
      <c r="H74" s="959">
        <v>0.37258986928104576</v>
      </c>
      <c r="I74" s="959">
        <v>0.50318627450980391</v>
      </c>
      <c r="J74" s="959">
        <v>0.60411764705882354</v>
      </c>
    </row>
    <row r="75" spans="1:10" ht="13.5" customHeight="1">
      <c r="A75" s="957" t="s">
        <v>185</v>
      </c>
      <c r="B75" s="958" t="s">
        <v>186</v>
      </c>
      <c r="C75" s="958" t="s">
        <v>275</v>
      </c>
      <c r="D75" s="959">
        <v>0.46958978965491427</v>
      </c>
      <c r="E75" s="959">
        <v>0.47032697359325315</v>
      </c>
      <c r="F75" s="959">
        <v>0.55119505390937196</v>
      </c>
      <c r="G75" s="959">
        <v>0.48951876291408386</v>
      </c>
      <c r="H75" s="959">
        <v>0.46931306306306309</v>
      </c>
      <c r="I75" s="959">
        <v>0.54748992413466102</v>
      </c>
      <c r="J75" s="959">
        <v>0.58403271692745373</v>
      </c>
    </row>
    <row r="76" spans="1:10" ht="13.5" customHeight="1">
      <c r="A76" s="957" t="s">
        <v>187</v>
      </c>
      <c r="B76" s="958" t="s">
        <v>188</v>
      </c>
      <c r="C76" s="958" t="s">
        <v>272</v>
      </c>
      <c r="D76" s="959">
        <v>0.34425778022583309</v>
      </c>
      <c r="E76" s="959">
        <v>0.38302538260544977</v>
      </c>
      <c r="F76" s="959">
        <v>0.44177540529853698</v>
      </c>
      <c r="G76" s="959">
        <v>0.41351549684883016</v>
      </c>
      <c r="H76" s="959">
        <v>0.40390971382507052</v>
      </c>
      <c r="I76" s="959">
        <v>0.47849657396211204</v>
      </c>
      <c r="J76" s="959">
        <v>0.55380894800483671</v>
      </c>
    </row>
    <row r="77" spans="1:10" ht="13.5" customHeight="1">
      <c r="A77" s="957" t="s">
        <v>189</v>
      </c>
      <c r="B77" s="958" t="s">
        <v>190</v>
      </c>
      <c r="C77" s="958" t="s">
        <v>276</v>
      </c>
      <c r="D77" s="959">
        <v>0.35699662596208109</v>
      </c>
      <c r="E77" s="959">
        <v>0.47611355311355313</v>
      </c>
      <c r="F77" s="959">
        <v>0.46271313090143334</v>
      </c>
      <c r="G77" s="959">
        <v>0.47040204137286223</v>
      </c>
      <c r="H77" s="959">
        <v>0.53381058396028458</v>
      </c>
      <c r="I77" s="959">
        <v>0.728424561134142</v>
      </c>
      <c r="J77" s="959">
        <v>0.88352525717795183</v>
      </c>
    </row>
    <row r="78" spans="1:10" ht="13.5" customHeight="1">
      <c r="A78" s="957" t="s">
        <v>191</v>
      </c>
      <c r="B78" s="958" t="s">
        <v>192</v>
      </c>
      <c r="C78" s="958" t="s">
        <v>278</v>
      </c>
      <c r="D78" s="959">
        <v>0.55726947556677708</v>
      </c>
      <c r="E78" s="959">
        <v>0.54145800543711542</v>
      </c>
      <c r="F78" s="959">
        <v>0.62223261615216718</v>
      </c>
      <c r="G78" s="959">
        <v>0.60429967111627003</v>
      </c>
      <c r="H78" s="959">
        <v>0.61825274107393868</v>
      </c>
      <c r="I78" s="959">
        <v>0.74305360322369041</v>
      </c>
      <c r="J78" s="959">
        <v>0.81700871520944618</v>
      </c>
    </row>
    <row r="79" spans="1:10" ht="13.5" customHeight="1">
      <c r="A79" s="957" t="s">
        <v>195</v>
      </c>
      <c r="B79" s="958" t="s">
        <v>196</v>
      </c>
      <c r="C79" s="958" t="s">
        <v>276</v>
      </c>
      <c r="D79" s="959">
        <v>0.21503411306042886</v>
      </c>
      <c r="E79" s="959">
        <v>0.25735294117647056</v>
      </c>
      <c r="F79" s="959">
        <v>0.27492211838006231</v>
      </c>
      <c r="G79" s="959">
        <v>0.25112751127511274</v>
      </c>
      <c r="H79" s="959">
        <v>0.314070351758794</v>
      </c>
      <c r="I79" s="959">
        <v>0.46398659966499162</v>
      </c>
      <c r="J79" s="959">
        <v>0.54798994974874371</v>
      </c>
    </row>
    <row r="80" spans="1:10" ht="13.5" customHeight="1">
      <c r="A80" s="957" t="s">
        <v>199</v>
      </c>
      <c r="B80" s="958" t="s">
        <v>285</v>
      </c>
      <c r="C80" s="958" t="s">
        <v>275</v>
      </c>
      <c r="D80" s="959">
        <v>0.49176954732510286</v>
      </c>
      <c r="E80" s="959">
        <v>0.52760513776672879</v>
      </c>
      <c r="F80" s="959">
        <v>0.54588771493681376</v>
      </c>
      <c r="G80" s="959">
        <v>0.48061279826464209</v>
      </c>
      <c r="H80" s="959">
        <v>0.52099519052904175</v>
      </c>
      <c r="I80" s="959">
        <v>0.64729004809470958</v>
      </c>
      <c r="J80" s="959">
        <v>0.74472807991120982</v>
      </c>
    </row>
    <row r="81" spans="1:10" ht="13.5" customHeight="1">
      <c r="A81" s="957" t="s">
        <v>203</v>
      </c>
      <c r="B81" s="958" t="s">
        <v>358</v>
      </c>
      <c r="C81" s="958" t="s">
        <v>273</v>
      </c>
      <c r="D81" s="959">
        <v>0.34811001366629396</v>
      </c>
      <c r="E81" s="959">
        <v>0.45952010087524109</v>
      </c>
      <c r="F81" s="959">
        <v>0.48775808020754513</v>
      </c>
      <c r="G81" s="959">
        <v>0.42996665078608859</v>
      </c>
      <c r="H81" s="959">
        <v>0.4955533070614549</v>
      </c>
      <c r="I81" s="959">
        <v>0.66582598912432023</v>
      </c>
      <c r="J81" s="959">
        <v>0.72221190166573779</v>
      </c>
    </row>
    <row r="82" spans="1:10" ht="13.5" customHeight="1">
      <c r="A82" s="957" t="s">
        <v>205</v>
      </c>
      <c r="B82" s="958" t="s">
        <v>359</v>
      </c>
      <c r="C82" s="958" t="s">
        <v>273</v>
      </c>
      <c r="D82" s="959">
        <v>0.3775115110925073</v>
      </c>
      <c r="E82" s="959">
        <v>0.37772709242364139</v>
      </c>
      <c r="F82" s="959">
        <v>0.34263654477262073</v>
      </c>
      <c r="G82" s="959">
        <v>0.34949761580381472</v>
      </c>
      <c r="H82" s="959">
        <v>0.49797695169972184</v>
      </c>
      <c r="I82" s="959">
        <v>0.52190280629705676</v>
      </c>
      <c r="J82" s="959">
        <v>0.5958247775496236</v>
      </c>
    </row>
    <row r="83" spans="1:10" ht="13.5" customHeight="1">
      <c r="A83" s="957" t="s">
        <v>207</v>
      </c>
      <c r="B83" s="958" t="s">
        <v>360</v>
      </c>
      <c r="C83" s="958" t="s">
        <v>276</v>
      </c>
      <c r="D83" s="959">
        <v>0.32555873813838387</v>
      </c>
      <c r="E83" s="959">
        <v>0.32212364052661707</v>
      </c>
      <c r="F83" s="959">
        <v>0.29783135182738879</v>
      </c>
      <c r="G83" s="959">
        <v>0.28247908102277036</v>
      </c>
      <c r="H83" s="959">
        <v>0.41238260763507745</v>
      </c>
      <c r="I83" s="959">
        <v>0.35787130944331758</v>
      </c>
      <c r="J83" s="959">
        <v>0.42431541582150101</v>
      </c>
    </row>
    <row r="84" spans="1:10" ht="13.5" customHeight="1">
      <c r="A84" s="957" t="s">
        <v>209</v>
      </c>
      <c r="B84" s="958" t="s">
        <v>210</v>
      </c>
      <c r="C84" s="958" t="s">
        <v>278</v>
      </c>
      <c r="D84" s="959">
        <v>0.66974760918860299</v>
      </c>
      <c r="E84" s="959">
        <v>0.63450131052558978</v>
      </c>
      <c r="F84" s="959">
        <v>0.70323921097426656</v>
      </c>
      <c r="G84" s="959">
        <v>0.63408752082785236</v>
      </c>
      <c r="H84" s="959">
        <v>0.64393939393939392</v>
      </c>
      <c r="I84" s="959">
        <v>0.71540734859512156</v>
      </c>
      <c r="J84" s="959">
        <v>0.76988222839751219</v>
      </c>
    </row>
    <row r="85" spans="1:10" ht="13.5" customHeight="1">
      <c r="A85" s="957" t="s">
        <v>211</v>
      </c>
      <c r="B85" s="958" t="s">
        <v>212</v>
      </c>
      <c r="C85" s="958" t="s">
        <v>278</v>
      </c>
      <c r="D85" s="959">
        <v>0.48228455116263025</v>
      </c>
      <c r="E85" s="959">
        <v>0.47335770985686604</v>
      </c>
      <c r="F85" s="959">
        <v>0.48652777777777778</v>
      </c>
      <c r="G85" s="959">
        <v>0.44274395804833561</v>
      </c>
      <c r="H85" s="959">
        <v>0.51118367089406269</v>
      </c>
      <c r="I85" s="959">
        <v>0.61104801564767497</v>
      </c>
      <c r="J85" s="959">
        <v>0.69123604012871476</v>
      </c>
    </row>
    <row r="86" spans="1:10" ht="13.5" customHeight="1">
      <c r="A86" s="957" t="s">
        <v>213</v>
      </c>
      <c r="B86" s="958" t="s">
        <v>214</v>
      </c>
      <c r="C86" s="958" t="s">
        <v>276</v>
      </c>
      <c r="D86" s="959">
        <v>0.41473927670311184</v>
      </c>
      <c r="E86" s="959">
        <v>0.492583918813427</v>
      </c>
      <c r="F86" s="959">
        <v>0.51546468958286529</v>
      </c>
      <c r="G86" s="959">
        <v>0.48623077414002169</v>
      </c>
      <c r="H86" s="959">
        <v>0.55140692640692646</v>
      </c>
      <c r="I86" s="959">
        <v>0.77510822510822508</v>
      </c>
      <c r="J86" s="959">
        <v>0.89717996289424862</v>
      </c>
    </row>
    <row r="87" spans="1:10" ht="13.5" customHeight="1">
      <c r="A87" s="957" t="s">
        <v>215</v>
      </c>
      <c r="B87" s="958" t="s">
        <v>216</v>
      </c>
      <c r="C87" s="958" t="s">
        <v>278</v>
      </c>
      <c r="D87" s="959">
        <v>0.59406753165546344</v>
      </c>
      <c r="E87" s="959">
        <v>0.74790871067466813</v>
      </c>
      <c r="F87" s="959">
        <v>0.66579026442307687</v>
      </c>
      <c r="G87" s="959">
        <v>0.60338070628768303</v>
      </c>
      <c r="H87" s="959">
        <v>0.64303321224701604</v>
      </c>
      <c r="I87" s="959">
        <v>0.75527590382286802</v>
      </c>
      <c r="J87" s="959">
        <v>0.82021276595744685</v>
      </c>
    </row>
    <row r="88" spans="1:10" ht="13.5" customHeight="1">
      <c r="A88" s="957" t="s">
        <v>217</v>
      </c>
      <c r="B88" s="958" t="s">
        <v>218</v>
      </c>
      <c r="C88" s="958" t="s">
        <v>272</v>
      </c>
      <c r="D88" s="959">
        <v>0.5863830925628678</v>
      </c>
      <c r="E88" s="959">
        <v>0.59913345786633454</v>
      </c>
      <c r="F88" s="959">
        <v>0.60061637080867847</v>
      </c>
      <c r="G88" s="959">
        <v>0.60047281323877066</v>
      </c>
      <c r="H88" s="959">
        <v>0.55761660248181433</v>
      </c>
      <c r="I88" s="959">
        <v>0.63380402225074883</v>
      </c>
      <c r="J88" s="959">
        <v>0.67969191270860074</v>
      </c>
    </row>
    <row r="89" spans="1:10" ht="13.5" customHeight="1">
      <c r="A89" s="957" t="s">
        <v>219</v>
      </c>
      <c r="B89" s="958" t="s">
        <v>220</v>
      </c>
      <c r="C89" s="958" t="s">
        <v>276</v>
      </c>
      <c r="D89" s="959">
        <v>0.40452350518392272</v>
      </c>
      <c r="E89" s="959">
        <v>0.47466276710039396</v>
      </c>
      <c r="F89" s="959">
        <v>0.49932569116655429</v>
      </c>
      <c r="G89" s="959">
        <v>0.48859122178083519</v>
      </c>
      <c r="H89" s="959">
        <v>0.61021841624170114</v>
      </c>
      <c r="I89" s="959">
        <v>0.82611693768241445</v>
      </c>
      <c r="J89" s="959">
        <v>0.95106321562590201</v>
      </c>
    </row>
    <row r="90" spans="1:10" ht="13.5" customHeight="1">
      <c r="A90" s="957" t="s">
        <v>221</v>
      </c>
      <c r="B90" s="958" t="s">
        <v>222</v>
      </c>
      <c r="C90" s="958" t="s">
        <v>276</v>
      </c>
      <c r="D90" s="959">
        <v>0.39855823979176835</v>
      </c>
      <c r="E90" s="959">
        <v>0.50820038590051297</v>
      </c>
      <c r="F90" s="959">
        <v>0.58420800383417204</v>
      </c>
      <c r="G90" s="959">
        <v>0.62454174207619839</v>
      </c>
      <c r="H90" s="959">
        <v>0.65068566074698697</v>
      </c>
      <c r="I90" s="959">
        <v>0.85953536902176231</v>
      </c>
      <c r="J90" s="959">
        <v>1.0119074996805928</v>
      </c>
    </row>
    <row r="91" spans="1:10" ht="13.5" customHeight="1">
      <c r="A91" s="957" t="s">
        <v>225</v>
      </c>
      <c r="B91" s="958" t="s">
        <v>226</v>
      </c>
      <c r="C91" s="958" t="s">
        <v>272</v>
      </c>
      <c r="D91" s="959">
        <v>0.5353133769878391</v>
      </c>
      <c r="E91" s="959">
        <v>0.54364716636197441</v>
      </c>
      <c r="F91" s="959">
        <v>0.61371782339524272</v>
      </c>
      <c r="G91" s="959">
        <v>0.50607947805456699</v>
      </c>
      <c r="H91" s="959">
        <v>0.53523936170212771</v>
      </c>
      <c r="I91" s="959">
        <v>0.7021276595744681</v>
      </c>
      <c r="J91" s="959">
        <v>0.8117021276595745</v>
      </c>
    </row>
    <row r="92" spans="1:10" ht="13.5" customHeight="1">
      <c r="A92" s="957" t="s">
        <v>227</v>
      </c>
      <c r="B92" s="958" t="s">
        <v>228</v>
      </c>
      <c r="C92" s="958" t="s">
        <v>272</v>
      </c>
      <c r="D92" s="959">
        <v>0.49636312771016927</v>
      </c>
      <c r="E92" s="959">
        <v>0.53732423490488002</v>
      </c>
      <c r="F92" s="959">
        <v>0.44718849141231815</v>
      </c>
      <c r="G92" s="959">
        <v>0.47089384815208407</v>
      </c>
      <c r="H92" s="959">
        <v>0.4855715871254162</v>
      </c>
      <c r="I92" s="959">
        <v>0.5631088913552843</v>
      </c>
      <c r="J92" s="959">
        <v>0.63706992230854609</v>
      </c>
    </row>
    <row r="93" spans="1:10" ht="13.5" customHeight="1">
      <c r="A93" s="957" t="s">
        <v>229</v>
      </c>
      <c r="B93" s="958" t="s">
        <v>230</v>
      </c>
      <c r="C93" s="958" t="s">
        <v>278</v>
      </c>
      <c r="D93" s="959">
        <v>0.57800431717764511</v>
      </c>
      <c r="E93" s="959">
        <v>0.59208592236253088</v>
      </c>
      <c r="F93" s="959">
        <v>0.62505576718487255</v>
      </c>
      <c r="G93" s="959">
        <v>0.52772010591562857</v>
      </c>
      <c r="H93" s="959">
        <v>0.54298194806448496</v>
      </c>
      <c r="I93" s="959">
        <v>0.61547929336808571</v>
      </c>
      <c r="J93" s="959">
        <v>0.68043247417704411</v>
      </c>
    </row>
    <row r="94" spans="1:10" ht="13.5" customHeight="1">
      <c r="A94" s="957" t="s">
        <v>233</v>
      </c>
      <c r="B94" s="958" t="s">
        <v>234</v>
      </c>
      <c r="C94" s="958" t="s">
        <v>276</v>
      </c>
      <c r="D94" s="959">
        <v>0.47227875772651889</v>
      </c>
      <c r="E94" s="959">
        <v>0.4538110095832405</v>
      </c>
      <c r="F94" s="959">
        <v>0.43354869323988904</v>
      </c>
      <c r="G94" s="959">
        <v>0.48687920190847972</v>
      </c>
      <c r="H94" s="959">
        <v>0.53723654181769365</v>
      </c>
      <c r="I94" s="959">
        <v>0.76137736608940798</v>
      </c>
      <c r="J94" s="959">
        <v>0.88453483689085788</v>
      </c>
    </row>
    <row r="95" spans="1:10" ht="13.5" customHeight="1">
      <c r="A95" s="957" t="s">
        <v>235</v>
      </c>
      <c r="B95" s="958" t="s">
        <v>236</v>
      </c>
      <c r="C95" s="958" t="s">
        <v>278</v>
      </c>
      <c r="D95" s="959">
        <v>0.46882400828892834</v>
      </c>
      <c r="E95" s="959">
        <v>0.62364346365163692</v>
      </c>
      <c r="F95" s="959">
        <v>0.53939513403919803</v>
      </c>
      <c r="G95" s="959">
        <v>0.455614624984854</v>
      </c>
      <c r="H95" s="959">
        <v>0.52944655471144875</v>
      </c>
      <c r="I95" s="959">
        <v>0.63682027189124346</v>
      </c>
      <c r="J95" s="959">
        <v>0.71223510595761697</v>
      </c>
    </row>
    <row r="96" spans="1:10" ht="13.5" customHeight="1">
      <c r="A96" s="957" t="s">
        <v>237</v>
      </c>
      <c r="B96" s="958" t="s">
        <v>238</v>
      </c>
      <c r="C96" s="958" t="s">
        <v>275</v>
      </c>
      <c r="D96" s="959">
        <v>0.5462735462735463</v>
      </c>
      <c r="E96" s="959">
        <v>0.513265965300849</v>
      </c>
      <c r="F96" s="959">
        <v>0.5342257453385183</v>
      </c>
      <c r="G96" s="959">
        <v>0.5818137414522957</v>
      </c>
      <c r="H96" s="959">
        <v>0.56161601681957185</v>
      </c>
      <c r="I96" s="959">
        <v>0.6993262614678899</v>
      </c>
      <c r="J96" s="959">
        <v>0.80183486238532109</v>
      </c>
    </row>
    <row r="97" spans="1:10" ht="13.5" customHeight="1">
      <c r="A97" s="957" t="s">
        <v>243</v>
      </c>
      <c r="B97" s="958" t="s">
        <v>244</v>
      </c>
      <c r="C97" s="958" t="s">
        <v>278</v>
      </c>
      <c r="D97" s="959">
        <v>0.69689191711778986</v>
      </c>
      <c r="E97" s="959">
        <v>0.62440060570370992</v>
      </c>
      <c r="F97" s="959">
        <v>0.71126604692341744</v>
      </c>
      <c r="G97" s="959">
        <v>0.60497530966371482</v>
      </c>
      <c r="H97" s="959">
        <v>0.64847764173933464</v>
      </c>
      <c r="I97" s="959">
        <v>0.69858921283654829</v>
      </c>
      <c r="J97" s="959">
        <v>0.74560028186382454</v>
      </c>
    </row>
    <row r="98" spans="1:10" ht="13.5" customHeight="1">
      <c r="A98" s="957" t="s">
        <v>245</v>
      </c>
      <c r="B98" s="958" t="s">
        <v>246</v>
      </c>
      <c r="C98" s="958" t="s">
        <v>278</v>
      </c>
      <c r="D98" s="959">
        <v>0.54605997210599722</v>
      </c>
      <c r="E98" s="959">
        <v>0.54923417178319134</v>
      </c>
      <c r="F98" s="959">
        <v>0.52853000956480156</v>
      </c>
      <c r="G98" s="959">
        <v>0.6088541666666667</v>
      </c>
      <c r="H98" s="959">
        <v>0.59619748543391593</v>
      </c>
      <c r="I98" s="959">
        <v>0.73888377798221405</v>
      </c>
      <c r="J98" s="959">
        <v>0.82211591536338546</v>
      </c>
    </row>
    <row r="99" spans="1:10" ht="13.5" customHeight="1">
      <c r="A99" s="957" t="s">
        <v>247</v>
      </c>
      <c r="B99" s="958" t="s">
        <v>248</v>
      </c>
      <c r="C99" s="958" t="s">
        <v>272</v>
      </c>
      <c r="D99" s="959">
        <v>0.2849618780096308</v>
      </c>
      <c r="E99" s="959">
        <v>0.35629376323074419</v>
      </c>
      <c r="F99" s="959">
        <v>0.35438656876242924</v>
      </c>
      <c r="G99" s="959">
        <v>0.35473352822127274</v>
      </c>
      <c r="H99" s="959">
        <v>0.42803125261134789</v>
      </c>
      <c r="I99" s="959">
        <v>0.52887712839392542</v>
      </c>
      <c r="J99" s="959">
        <v>0.58421537045559135</v>
      </c>
    </row>
    <row r="100" spans="1:10" ht="13.5" customHeight="1">
      <c r="A100" s="957" t="s">
        <v>14</v>
      </c>
      <c r="B100" s="958" t="s">
        <v>15</v>
      </c>
      <c r="C100" s="958" t="s">
        <v>276</v>
      </c>
      <c r="D100" s="959">
        <v>0.33114145746604434</v>
      </c>
      <c r="E100" s="959">
        <v>0.37817501101159889</v>
      </c>
      <c r="F100" s="959">
        <v>0.38753983428935629</v>
      </c>
      <c r="G100" s="959">
        <v>0.31247364934048066</v>
      </c>
      <c r="H100" s="959">
        <v>0.35414131710961683</v>
      </c>
      <c r="I100" s="959">
        <v>0.43976945244956772</v>
      </c>
      <c r="J100" s="959">
        <v>0.49606147934678196</v>
      </c>
    </row>
    <row r="101" spans="1:10" ht="13.5" customHeight="1">
      <c r="A101" s="957" t="s">
        <v>35</v>
      </c>
      <c r="B101" s="958" t="s">
        <v>36</v>
      </c>
      <c r="C101" s="958" t="s">
        <v>278</v>
      </c>
      <c r="D101" s="959">
        <v>0.70840656121851198</v>
      </c>
      <c r="E101" s="959">
        <v>0.77620611265471073</v>
      </c>
      <c r="F101" s="959">
        <v>0.68836984980019289</v>
      </c>
      <c r="G101" s="959">
        <v>0.76550905313149298</v>
      </c>
      <c r="H101" s="959">
        <v>0.7749038266855639</v>
      </c>
      <c r="I101" s="959">
        <v>0.86660592562597016</v>
      </c>
      <c r="J101" s="959">
        <v>0.90730917189714522</v>
      </c>
    </row>
    <row r="102" spans="1:10" ht="13.5" customHeight="1">
      <c r="A102" s="957" t="s">
        <v>53</v>
      </c>
      <c r="B102" s="958" t="s">
        <v>54</v>
      </c>
      <c r="C102" s="958" t="s">
        <v>273</v>
      </c>
      <c r="D102" s="959">
        <v>0.41685879969258716</v>
      </c>
      <c r="E102" s="959">
        <v>0.33503288104553403</v>
      </c>
      <c r="F102" s="959">
        <v>0.31238309016086796</v>
      </c>
      <c r="G102" s="959">
        <v>0.28185874616829826</v>
      </c>
      <c r="H102" s="959">
        <v>0.3432035144039875</v>
      </c>
      <c r="I102" s="959">
        <v>0.41021092055982655</v>
      </c>
      <c r="J102" s="959">
        <v>0.45381431105854525</v>
      </c>
    </row>
    <row r="103" spans="1:10" ht="13.5" customHeight="1">
      <c r="A103" s="957" t="s">
        <v>55</v>
      </c>
      <c r="B103" s="958" t="s">
        <v>56</v>
      </c>
      <c r="C103" s="958" t="s">
        <v>272</v>
      </c>
      <c r="D103" s="959">
        <v>0.42821986001422313</v>
      </c>
      <c r="E103" s="959">
        <v>0.64449672455027551</v>
      </c>
      <c r="F103" s="959">
        <v>0.60965658081186969</v>
      </c>
      <c r="G103" s="959">
        <v>0.49046600285253461</v>
      </c>
      <c r="H103" s="959">
        <v>0.57360500049834129</v>
      </c>
      <c r="I103" s="959">
        <v>0.73518502698161836</v>
      </c>
      <c r="J103" s="959">
        <v>0.83347998803981038</v>
      </c>
    </row>
    <row r="104" spans="1:10" ht="13.5" customHeight="1">
      <c r="A104" s="957" t="s">
        <v>67</v>
      </c>
      <c r="B104" s="958" t="s">
        <v>68</v>
      </c>
      <c r="C104" s="958" t="s">
        <v>273</v>
      </c>
      <c r="D104" s="959">
        <v>0.68400000000000005</v>
      </c>
      <c r="E104" s="959">
        <v>0.63773896542029795</v>
      </c>
      <c r="F104" s="959">
        <v>0.72739879025173804</v>
      </c>
      <c r="G104" s="959">
        <v>0.69586429613167577</v>
      </c>
      <c r="H104" s="959">
        <v>0.86617822157276614</v>
      </c>
      <c r="I104" s="959">
        <v>0.9767210586134113</v>
      </c>
      <c r="J104" s="959">
        <v>1.0337230069816528</v>
      </c>
    </row>
    <row r="105" spans="1:10" ht="13.5" customHeight="1">
      <c r="A105" s="957" t="s">
        <v>83</v>
      </c>
      <c r="B105" s="958" t="s">
        <v>84</v>
      </c>
      <c r="C105" s="958" t="s">
        <v>272</v>
      </c>
      <c r="D105" s="959">
        <v>0.81553357009978011</v>
      </c>
      <c r="E105" s="959">
        <v>0.79458068422646078</v>
      </c>
      <c r="F105" s="959">
        <v>0.8303571428571429</v>
      </c>
      <c r="G105" s="959">
        <v>0.70039855072463764</v>
      </c>
      <c r="H105" s="959">
        <v>0.73646473514779043</v>
      </c>
      <c r="I105" s="959">
        <v>0.88458443078724025</v>
      </c>
      <c r="J105" s="959">
        <v>0.99122036874451269</v>
      </c>
    </row>
    <row r="106" spans="1:10" ht="13.5" customHeight="1">
      <c r="A106" s="957" t="s">
        <v>89</v>
      </c>
      <c r="B106" s="958" t="s">
        <v>90</v>
      </c>
      <c r="C106" s="958" t="s">
        <v>276</v>
      </c>
      <c r="D106" s="959">
        <v>0.5725568942436412</v>
      </c>
      <c r="E106" s="959">
        <v>0.54702765358503058</v>
      </c>
      <c r="F106" s="959">
        <v>0.59358087126253212</v>
      </c>
      <c r="G106" s="959">
        <v>0.61054784774101745</v>
      </c>
      <c r="H106" s="959">
        <v>0.61038935705368291</v>
      </c>
      <c r="I106" s="959">
        <v>0.75813436329588013</v>
      </c>
      <c r="J106" s="959">
        <v>0.86671348314606744</v>
      </c>
    </row>
    <row r="107" spans="1:10" ht="13.5" customHeight="1">
      <c r="A107" s="957" t="s">
        <v>91</v>
      </c>
      <c r="B107" s="958" t="s">
        <v>92</v>
      </c>
      <c r="C107" s="958" t="s">
        <v>278</v>
      </c>
      <c r="D107" s="959">
        <v>0.76820948782535681</v>
      </c>
      <c r="E107" s="959">
        <v>0.71312932809283169</v>
      </c>
      <c r="F107" s="959">
        <v>0.66785714285714282</v>
      </c>
      <c r="G107" s="959">
        <v>0.78565596080566136</v>
      </c>
      <c r="H107" s="959">
        <v>0.82949329096045199</v>
      </c>
      <c r="I107" s="959">
        <v>0.90841278248587576</v>
      </c>
      <c r="J107" s="959">
        <v>0.94671610169491527</v>
      </c>
    </row>
    <row r="108" spans="1:10" ht="13.5" customHeight="1">
      <c r="A108" s="957" t="s">
        <v>107</v>
      </c>
      <c r="B108" s="958" t="s">
        <v>108</v>
      </c>
      <c r="C108" s="958" t="s">
        <v>272</v>
      </c>
      <c r="D108" s="959">
        <v>0.53503918856615951</v>
      </c>
      <c r="E108" s="959">
        <v>0.57655243985089799</v>
      </c>
      <c r="F108" s="959">
        <v>0.61185690027077888</v>
      </c>
      <c r="G108" s="959">
        <v>0.43562073576301985</v>
      </c>
      <c r="H108" s="959">
        <v>0.50907545975006141</v>
      </c>
      <c r="I108" s="959">
        <v>0.60921244782176043</v>
      </c>
      <c r="J108" s="959">
        <v>0.67985112239754975</v>
      </c>
    </row>
    <row r="109" spans="1:10" ht="13.5" customHeight="1">
      <c r="A109" s="957" t="s">
        <v>117</v>
      </c>
      <c r="B109" s="958" t="s">
        <v>118</v>
      </c>
      <c r="C109" s="958" t="s">
        <v>275</v>
      </c>
      <c r="D109" s="959">
        <v>0.80158410524902668</v>
      </c>
      <c r="E109" s="959">
        <v>0.84147294725394239</v>
      </c>
      <c r="F109" s="959">
        <v>0.83261980618611442</v>
      </c>
      <c r="G109" s="959">
        <v>0.87963713764443541</v>
      </c>
      <c r="H109" s="959">
        <v>0.83398950131233596</v>
      </c>
      <c r="I109" s="959">
        <v>0.99469100453352421</v>
      </c>
      <c r="J109" s="959">
        <v>1.1075876879026485</v>
      </c>
    </row>
    <row r="110" spans="1:10" ht="13.5" customHeight="1">
      <c r="A110" s="957" t="s">
        <v>139</v>
      </c>
      <c r="B110" s="958" t="s">
        <v>140</v>
      </c>
      <c r="C110" s="958" t="s">
        <v>273</v>
      </c>
      <c r="D110" s="959">
        <v>0.54354032833690225</v>
      </c>
      <c r="E110" s="959">
        <v>0.58127704892030907</v>
      </c>
      <c r="F110" s="959">
        <v>0.58389488605386541</v>
      </c>
      <c r="G110" s="959">
        <v>0.5148619346420279</v>
      </c>
      <c r="H110" s="959">
        <v>0.5520962687008456</v>
      </c>
      <c r="I110" s="959">
        <v>0.64487611613742535</v>
      </c>
      <c r="J110" s="959">
        <v>0.71736739400390281</v>
      </c>
    </row>
    <row r="111" spans="1:10" ht="13.5" customHeight="1">
      <c r="A111" s="957" t="s">
        <v>143</v>
      </c>
      <c r="B111" s="958" t="s">
        <v>307</v>
      </c>
      <c r="C111" s="958" t="s">
        <v>276</v>
      </c>
      <c r="D111" s="959">
        <v>0.36495060466700735</v>
      </c>
      <c r="E111" s="959">
        <v>0.43618549297219655</v>
      </c>
      <c r="F111" s="959">
        <v>0.41141014858424446</v>
      </c>
      <c r="G111" s="959">
        <v>0.38660527103923331</v>
      </c>
      <c r="H111" s="959">
        <v>0.50482973149967258</v>
      </c>
      <c r="I111" s="959">
        <v>0.74433120497707927</v>
      </c>
      <c r="J111" s="959">
        <v>0.8598231827111984</v>
      </c>
    </row>
    <row r="112" spans="1:10" ht="13.5" customHeight="1">
      <c r="A112" s="957" t="s">
        <v>145</v>
      </c>
      <c r="B112" s="958" t="s">
        <v>146</v>
      </c>
      <c r="C112" s="958" t="s">
        <v>276</v>
      </c>
      <c r="D112" s="959">
        <v>0.3795736824437731</v>
      </c>
      <c r="E112" s="959">
        <v>0.46124239169351949</v>
      </c>
      <c r="F112" s="959">
        <v>0.50808457711442789</v>
      </c>
      <c r="G112" s="959">
        <v>0.59380111220150478</v>
      </c>
      <c r="H112" s="959">
        <v>0.7590412828386216</v>
      </c>
      <c r="I112" s="959">
        <v>1.0617536676902082</v>
      </c>
      <c r="J112" s="959">
        <v>1.1977482088024565</v>
      </c>
    </row>
    <row r="113" spans="1:10" ht="13.5" customHeight="1">
      <c r="A113" s="957" t="s">
        <v>159</v>
      </c>
      <c r="B113" s="958" t="s">
        <v>160</v>
      </c>
      <c r="C113" s="958" t="s">
        <v>272</v>
      </c>
      <c r="D113" s="959">
        <v>0.58625972595193832</v>
      </c>
      <c r="E113" s="959">
        <v>0.62731924326622335</v>
      </c>
      <c r="F113" s="959">
        <v>0.68828830342540936</v>
      </c>
      <c r="G113" s="959">
        <v>0.54461297491231353</v>
      </c>
      <c r="H113" s="959">
        <v>0.69319518164192861</v>
      </c>
      <c r="I113" s="959">
        <v>0.84594073461950015</v>
      </c>
      <c r="J113" s="959">
        <v>0.96594094650859741</v>
      </c>
    </row>
    <row r="114" spans="1:10" ht="13.5" customHeight="1">
      <c r="A114" s="957" t="s">
        <v>161</v>
      </c>
      <c r="B114" s="958" t="s">
        <v>162</v>
      </c>
      <c r="C114" s="958" t="s">
        <v>272</v>
      </c>
      <c r="D114" s="959">
        <v>0.55881218781820696</v>
      </c>
      <c r="E114" s="959">
        <v>0.62203083062005682</v>
      </c>
      <c r="F114" s="959">
        <v>0.65347444006095146</v>
      </c>
      <c r="G114" s="959">
        <v>0.58223755086462159</v>
      </c>
      <c r="H114" s="959">
        <v>0.5902594626491805</v>
      </c>
      <c r="I114" s="959">
        <v>0.70016528776328624</v>
      </c>
      <c r="J114" s="959">
        <v>0.77657429820441493</v>
      </c>
    </row>
    <row r="115" spans="1:10" ht="13.5" customHeight="1">
      <c r="A115" s="957" t="s">
        <v>167</v>
      </c>
      <c r="B115" s="958" t="s">
        <v>168</v>
      </c>
      <c r="C115" s="958" t="s">
        <v>278</v>
      </c>
      <c r="D115" s="959">
        <v>0.89052462526766596</v>
      </c>
      <c r="E115" s="959">
        <v>0.8070009460737938</v>
      </c>
      <c r="F115" s="959">
        <v>0.90500338066260988</v>
      </c>
      <c r="G115" s="959">
        <v>0.82953855494839102</v>
      </c>
      <c r="H115" s="959">
        <v>0.88517628205128207</v>
      </c>
      <c r="I115" s="959">
        <v>0.92940705128205126</v>
      </c>
      <c r="J115" s="959">
        <v>0.9736538461538462</v>
      </c>
    </row>
    <row r="116" spans="1:10" ht="13.5" customHeight="1">
      <c r="A116" s="957" t="s">
        <v>177</v>
      </c>
      <c r="B116" s="958" t="s">
        <v>178</v>
      </c>
      <c r="C116" s="958" t="s">
        <v>275</v>
      </c>
      <c r="D116" s="959">
        <v>0.7949986012868161</v>
      </c>
      <c r="E116" s="959">
        <v>0.75586750672414427</v>
      </c>
      <c r="F116" s="959">
        <v>0.8542577745383868</v>
      </c>
      <c r="G116" s="959">
        <v>0.79937195350581181</v>
      </c>
      <c r="H116" s="959">
        <v>0.83724882629107977</v>
      </c>
      <c r="I116" s="959">
        <v>0.99456338028169011</v>
      </c>
      <c r="J116" s="959">
        <v>1.0993126760563381</v>
      </c>
    </row>
    <row r="117" spans="1:10" ht="13.5" customHeight="1">
      <c r="A117" s="957" t="s">
        <v>181</v>
      </c>
      <c r="B117" s="958" t="s">
        <v>182</v>
      </c>
      <c r="C117" s="958" t="s">
        <v>272</v>
      </c>
      <c r="D117" s="959">
        <v>0.61106485978138536</v>
      </c>
      <c r="E117" s="959">
        <v>0.66628996178581412</v>
      </c>
      <c r="F117" s="959">
        <v>0.75725375524341632</v>
      </c>
      <c r="G117" s="959">
        <v>0.66542077505159369</v>
      </c>
      <c r="H117" s="959">
        <v>0.63847596952511887</v>
      </c>
      <c r="I117" s="959">
        <v>0.76133141433235951</v>
      </c>
      <c r="J117" s="959">
        <v>0.84777453170647876</v>
      </c>
    </row>
    <row r="118" spans="1:10" ht="13.5" customHeight="1">
      <c r="A118" s="957" t="s">
        <v>193</v>
      </c>
      <c r="B118" s="958" t="s">
        <v>194</v>
      </c>
      <c r="C118" s="958" t="s">
        <v>278</v>
      </c>
      <c r="D118" s="959">
        <v>0.30696784073506889</v>
      </c>
      <c r="E118" s="959">
        <v>0.25727826675693977</v>
      </c>
      <c r="F118" s="959">
        <v>0.31304554489672459</v>
      </c>
      <c r="G118" s="959">
        <v>0.20295520070969172</v>
      </c>
      <c r="H118" s="959">
        <v>0.27385086823289073</v>
      </c>
      <c r="I118" s="959">
        <v>0.31847122914538645</v>
      </c>
      <c r="J118" s="959">
        <v>0.34606741573033706</v>
      </c>
    </row>
    <row r="119" spans="1:10" ht="13.5" customHeight="1">
      <c r="A119" s="957" t="s">
        <v>197</v>
      </c>
      <c r="B119" s="958" t="s">
        <v>198</v>
      </c>
      <c r="C119" s="958" t="s">
        <v>275</v>
      </c>
      <c r="D119" s="959">
        <v>0.63020319462446717</v>
      </c>
      <c r="E119" s="959">
        <v>0.72582216292908119</v>
      </c>
      <c r="F119" s="959">
        <v>0.68280742978628173</v>
      </c>
      <c r="G119" s="959">
        <v>0.56104123161924646</v>
      </c>
      <c r="H119" s="959">
        <v>0.5408664480207459</v>
      </c>
      <c r="I119" s="959">
        <v>0.61187298197442352</v>
      </c>
      <c r="J119" s="959">
        <v>0.68735870642971553</v>
      </c>
    </row>
    <row r="120" spans="1:10" ht="13.5" customHeight="1">
      <c r="A120" s="957" t="s">
        <v>201</v>
      </c>
      <c r="B120" s="958" t="s">
        <v>202</v>
      </c>
      <c r="C120" s="958" t="s">
        <v>273</v>
      </c>
      <c r="D120" s="959">
        <v>0.56488408061486983</v>
      </c>
      <c r="E120" s="959">
        <v>0.63448695339799488</v>
      </c>
      <c r="F120" s="959">
        <v>0.66952366756103221</v>
      </c>
      <c r="G120" s="959">
        <v>0.64317729083665343</v>
      </c>
      <c r="H120" s="959">
        <v>0.69297988233346874</v>
      </c>
      <c r="I120" s="959">
        <v>0.83221234144359679</v>
      </c>
      <c r="J120" s="959">
        <v>0.93290299282264255</v>
      </c>
    </row>
    <row r="121" spans="1:10" ht="13.5" customHeight="1">
      <c r="A121" s="957" t="s">
        <v>223</v>
      </c>
      <c r="B121" s="958" t="s">
        <v>224</v>
      </c>
      <c r="C121" s="958" t="s">
        <v>272</v>
      </c>
      <c r="D121" s="959">
        <v>0.62066855776183327</v>
      </c>
      <c r="E121" s="959">
        <v>0.64036893683603724</v>
      </c>
      <c r="F121" s="959">
        <v>0.66446627997575969</v>
      </c>
      <c r="G121" s="959">
        <v>0.60240908129823445</v>
      </c>
      <c r="H121" s="959">
        <v>0.65524980483996875</v>
      </c>
      <c r="I121" s="959">
        <v>0.80273502843760458</v>
      </c>
      <c r="J121" s="959">
        <v>0.90807962529274</v>
      </c>
    </row>
    <row r="122" spans="1:10" ht="13.5" customHeight="1">
      <c r="A122" s="957" t="s">
        <v>231</v>
      </c>
      <c r="B122" s="958" t="s">
        <v>232</v>
      </c>
      <c r="C122" s="958" t="s">
        <v>272</v>
      </c>
      <c r="D122" s="959">
        <v>0.33338861593106262</v>
      </c>
      <c r="E122" s="959">
        <v>0.39706846825490894</v>
      </c>
      <c r="F122" s="959">
        <v>0.397593649417676</v>
      </c>
      <c r="G122" s="959">
        <v>0.40719128191355158</v>
      </c>
      <c r="H122" s="959">
        <v>0.4476939617884772</v>
      </c>
      <c r="I122" s="959">
        <v>0.59181517091376457</v>
      </c>
      <c r="J122" s="959">
        <v>0.69770879161620403</v>
      </c>
    </row>
    <row r="123" spans="1:10" ht="13.5" customHeight="1">
      <c r="A123" s="957" t="s">
        <v>239</v>
      </c>
      <c r="B123" s="958" t="s">
        <v>240</v>
      </c>
      <c r="C123" s="958" t="s">
        <v>272</v>
      </c>
      <c r="D123" s="959">
        <v>0.25940860215053763</v>
      </c>
      <c r="E123" s="959">
        <v>0.22802366682034733</v>
      </c>
      <c r="F123" s="959">
        <v>0.25445917198494516</v>
      </c>
      <c r="G123" s="959">
        <v>0.22870004391743523</v>
      </c>
      <c r="H123" s="959">
        <v>0.29020141984480768</v>
      </c>
      <c r="I123" s="959">
        <v>0.36346376093775795</v>
      </c>
      <c r="J123" s="959">
        <v>0.43704804358593363</v>
      </c>
    </row>
    <row r="124" spans="1:10" ht="13.5" customHeight="1">
      <c r="A124" s="961" t="s">
        <v>241</v>
      </c>
      <c r="B124" s="962" t="s">
        <v>242</v>
      </c>
      <c r="C124" s="962" t="s">
        <v>276</v>
      </c>
      <c r="D124" s="963">
        <v>0.43303273213092852</v>
      </c>
      <c r="E124" s="963">
        <v>0.4561613363552422</v>
      </c>
      <c r="F124" s="963">
        <v>0.39335079295795139</v>
      </c>
      <c r="G124" s="963">
        <v>0.47347957288765086</v>
      </c>
      <c r="H124" s="963">
        <v>0.53933652895077222</v>
      </c>
      <c r="I124" s="963">
        <v>0.76238301757589588</v>
      </c>
      <c r="J124" s="963">
        <v>0.89915544396256564</v>
      </c>
    </row>
    <row r="125" spans="1:10" ht="15">
      <c r="A125" s="964" t="s">
        <v>1036</v>
      </c>
    </row>
    <row r="126" spans="1:10">
      <c r="A126" s="950" t="s">
        <v>361</v>
      </c>
    </row>
    <row r="128" spans="1:10" ht="27" customHeight="1">
      <c r="A128" s="1391" t="s">
        <v>250</v>
      </c>
      <c r="B128" s="1391"/>
      <c r="C128" s="1391"/>
      <c r="D128" s="1391"/>
      <c r="E128" s="1391"/>
      <c r="F128" s="1391"/>
      <c r="G128" s="1391"/>
      <c r="H128" s="1391"/>
      <c r="I128" s="1391"/>
      <c r="J128" s="1391"/>
    </row>
    <row r="129" spans="1:2">
      <c r="A129" s="965" t="s">
        <v>251</v>
      </c>
      <c r="B129" s="966" t="s">
        <v>252</v>
      </c>
    </row>
  </sheetData>
  <autoFilter ref="A3:C3"/>
  <mergeCells count="2">
    <mergeCell ref="A1:J1"/>
    <mergeCell ref="A128:J128"/>
  </mergeCells>
  <hyperlinks>
    <hyperlink ref="B129" r:id="rId1"/>
  </hyperlinks>
  <pageMargins left="0.45" right="0.45" top="0.75" bottom="0.75" header="0.3" footer="0.3"/>
  <pageSetup orientation="portrait" r:id="rId2"/>
  <headerFooter>
    <oddFooter>&amp;C&amp;"Courier New,Regular"&amp;P of &amp;N</oddFooter>
  </headerFooter>
</worksheet>
</file>

<file path=xl/worksheets/sheet4.xml><?xml version="1.0" encoding="utf-8"?>
<worksheet xmlns="http://schemas.openxmlformats.org/spreadsheetml/2006/main" xmlns:r="http://schemas.openxmlformats.org/officeDocument/2006/relationships">
  <dimension ref="A1:D132"/>
  <sheetViews>
    <sheetView workbookViewId="0">
      <pane ySplit="3" topLeftCell="A92" activePane="bottomLeft" state="frozen"/>
      <selection pane="bottomLeft" activeCell="E85" sqref="E85"/>
    </sheetView>
  </sheetViews>
  <sheetFormatPr defaultRowHeight="12.75"/>
  <cols>
    <col min="1" max="1" width="14.75" style="654" customWidth="1"/>
    <col min="2" max="2" width="33.75" style="654" customWidth="1"/>
    <col min="3" max="3" width="18.25" style="654" customWidth="1"/>
    <col min="4" max="4" width="16.125" style="654" customWidth="1"/>
    <col min="5" max="16384" width="9" style="654"/>
  </cols>
  <sheetData>
    <row r="1" spans="1:4" ht="15.75">
      <c r="A1" s="108" t="s">
        <v>1004</v>
      </c>
    </row>
    <row r="2" spans="1:4">
      <c r="A2" s="109"/>
    </row>
    <row r="3" spans="1:4">
      <c r="A3" s="109" t="s">
        <v>866</v>
      </c>
      <c r="B3" s="109" t="s">
        <v>5</v>
      </c>
      <c r="C3" s="109" t="s">
        <v>253</v>
      </c>
      <c r="D3" s="109" t="s">
        <v>867</v>
      </c>
    </row>
    <row r="4" spans="1:4">
      <c r="A4" s="654" t="s">
        <v>10</v>
      </c>
      <c r="B4" s="654" t="s">
        <v>11</v>
      </c>
      <c r="C4" s="654" t="s">
        <v>272</v>
      </c>
      <c r="D4" s="654" t="s">
        <v>1166</v>
      </c>
    </row>
    <row r="5" spans="1:4">
      <c r="A5" s="654" t="s">
        <v>12</v>
      </c>
      <c r="B5" s="654" t="s">
        <v>13</v>
      </c>
      <c r="C5" s="654" t="s">
        <v>273</v>
      </c>
      <c r="D5" s="654" t="s">
        <v>1166</v>
      </c>
    </row>
    <row r="6" spans="1:4">
      <c r="A6" s="654" t="s">
        <v>16</v>
      </c>
      <c r="B6" s="654" t="s">
        <v>868</v>
      </c>
      <c r="C6" s="654" t="s">
        <v>273</v>
      </c>
      <c r="D6" s="654" t="s">
        <v>1167</v>
      </c>
    </row>
    <row r="7" spans="1:4">
      <c r="A7" s="654" t="s">
        <v>18</v>
      </c>
      <c r="B7" s="654" t="s">
        <v>19</v>
      </c>
      <c r="C7" s="654" t="s">
        <v>275</v>
      </c>
      <c r="D7" s="654" t="s">
        <v>1167</v>
      </c>
    </row>
    <row r="8" spans="1:4">
      <c r="A8" s="654" t="s">
        <v>20</v>
      </c>
      <c r="B8" s="654" t="s">
        <v>21</v>
      </c>
      <c r="C8" s="654" t="s">
        <v>273</v>
      </c>
      <c r="D8" s="654" t="s">
        <v>1167</v>
      </c>
    </row>
    <row r="9" spans="1:4">
      <c r="A9" s="654" t="s">
        <v>22</v>
      </c>
      <c r="B9" s="654" t="s">
        <v>23</v>
      </c>
      <c r="C9" s="654" t="s">
        <v>273</v>
      </c>
      <c r="D9" s="654" t="s">
        <v>1167</v>
      </c>
    </row>
    <row r="10" spans="1:4">
      <c r="A10" s="654" t="s">
        <v>24</v>
      </c>
      <c r="B10" s="654" t="s">
        <v>25</v>
      </c>
      <c r="C10" s="654" t="s">
        <v>276</v>
      </c>
      <c r="D10" s="654" t="s">
        <v>1166</v>
      </c>
    </row>
    <row r="11" spans="1:4">
      <c r="A11" s="654" t="s">
        <v>26</v>
      </c>
      <c r="B11" s="654" t="s">
        <v>1114</v>
      </c>
      <c r="C11" s="654" t="s">
        <v>273</v>
      </c>
      <c r="D11" s="654" t="s">
        <v>1166</v>
      </c>
    </row>
    <row r="12" spans="1:4">
      <c r="A12" s="654" t="s">
        <v>27</v>
      </c>
      <c r="B12" s="654" t="s">
        <v>28</v>
      </c>
      <c r="C12" s="654" t="s">
        <v>273</v>
      </c>
      <c r="D12" s="654" t="s">
        <v>1167</v>
      </c>
    </row>
    <row r="13" spans="1:4">
      <c r="A13" s="654" t="s">
        <v>29</v>
      </c>
      <c r="B13" s="654" t="s">
        <v>869</v>
      </c>
      <c r="C13" s="654" t="s">
        <v>273</v>
      </c>
      <c r="D13" s="654" t="s">
        <v>1167</v>
      </c>
    </row>
    <row r="14" spans="1:4">
      <c r="A14" s="654" t="s">
        <v>31</v>
      </c>
      <c r="B14" s="654" t="s">
        <v>32</v>
      </c>
      <c r="C14" s="654" t="s">
        <v>278</v>
      </c>
      <c r="D14" s="654" t="s">
        <v>1167</v>
      </c>
    </row>
    <row r="15" spans="1:4">
      <c r="A15" s="654" t="s">
        <v>33</v>
      </c>
      <c r="B15" s="654" t="s">
        <v>34</v>
      </c>
      <c r="C15" s="654" t="s">
        <v>273</v>
      </c>
      <c r="D15" s="654" t="s">
        <v>1167</v>
      </c>
    </row>
    <row r="16" spans="1:4">
      <c r="A16" s="654" t="s">
        <v>37</v>
      </c>
      <c r="B16" s="654" t="s">
        <v>38</v>
      </c>
      <c r="C16" s="654" t="s">
        <v>272</v>
      </c>
      <c r="D16" s="654" t="s">
        <v>1167</v>
      </c>
    </row>
    <row r="17" spans="1:4">
      <c r="A17" s="654" t="s">
        <v>39</v>
      </c>
      <c r="B17" s="654" t="s">
        <v>40</v>
      </c>
      <c r="C17" s="654" t="s">
        <v>278</v>
      </c>
      <c r="D17" s="654" t="s">
        <v>1167</v>
      </c>
    </row>
    <row r="18" spans="1:4">
      <c r="A18" s="654" t="s">
        <v>41</v>
      </c>
      <c r="B18" s="654" t="s">
        <v>42</v>
      </c>
      <c r="C18" s="654" t="s">
        <v>275</v>
      </c>
      <c r="D18" s="654" t="s">
        <v>1167</v>
      </c>
    </row>
    <row r="19" spans="1:4">
      <c r="A19" s="654" t="s">
        <v>43</v>
      </c>
      <c r="B19" s="654" t="s">
        <v>44</v>
      </c>
      <c r="C19" s="654" t="s">
        <v>273</v>
      </c>
      <c r="D19" s="654" t="s">
        <v>1167</v>
      </c>
    </row>
    <row r="20" spans="1:4">
      <c r="A20" s="654" t="s">
        <v>45</v>
      </c>
      <c r="B20" s="654" t="s">
        <v>46</v>
      </c>
      <c r="C20" s="654" t="s">
        <v>275</v>
      </c>
      <c r="D20" s="654" t="s">
        <v>1167</v>
      </c>
    </row>
    <row r="21" spans="1:4">
      <c r="A21" s="654" t="s">
        <v>47</v>
      </c>
      <c r="B21" s="654" t="s">
        <v>48</v>
      </c>
      <c r="C21" s="654" t="s">
        <v>278</v>
      </c>
      <c r="D21" s="654" t="s">
        <v>1167</v>
      </c>
    </row>
    <row r="22" spans="1:4">
      <c r="A22" s="654" t="s">
        <v>49</v>
      </c>
      <c r="B22" s="654" t="s">
        <v>50</v>
      </c>
      <c r="C22" s="654" t="s">
        <v>275</v>
      </c>
      <c r="D22" s="654" t="s">
        <v>1167</v>
      </c>
    </row>
    <row r="23" spans="1:4">
      <c r="A23" s="654" t="s">
        <v>51</v>
      </c>
      <c r="B23" s="654" t="s">
        <v>52</v>
      </c>
      <c r="C23" s="654" t="s">
        <v>273</v>
      </c>
      <c r="D23" s="654" t="s">
        <v>1167</v>
      </c>
    </row>
    <row r="24" spans="1:4">
      <c r="A24" s="654" t="s">
        <v>57</v>
      </c>
      <c r="B24" s="654" t="s">
        <v>362</v>
      </c>
      <c r="C24" s="654" t="s">
        <v>275</v>
      </c>
      <c r="D24" s="654" t="s">
        <v>1166</v>
      </c>
    </row>
    <row r="25" spans="1:4">
      <c r="A25" s="654" t="s">
        <v>59</v>
      </c>
      <c r="B25" s="654" t="s">
        <v>60</v>
      </c>
      <c r="C25" s="654" t="s">
        <v>276</v>
      </c>
      <c r="D25" s="654" t="s">
        <v>1167</v>
      </c>
    </row>
    <row r="26" spans="1:4">
      <c r="A26" s="654" t="s">
        <v>61</v>
      </c>
      <c r="B26" s="654" t="s">
        <v>62</v>
      </c>
      <c r="C26" s="654" t="s">
        <v>273</v>
      </c>
      <c r="D26" s="654" t="s">
        <v>1167</v>
      </c>
    </row>
    <row r="27" spans="1:4">
      <c r="A27" s="654" t="s">
        <v>63</v>
      </c>
      <c r="B27" s="654" t="s">
        <v>64</v>
      </c>
      <c r="C27" s="654" t="s">
        <v>276</v>
      </c>
      <c r="D27" s="654" t="s">
        <v>1167</v>
      </c>
    </row>
    <row r="28" spans="1:4">
      <c r="A28" s="654" t="s">
        <v>65</v>
      </c>
      <c r="B28" s="654" t="s">
        <v>66</v>
      </c>
      <c r="C28" s="654" t="s">
        <v>275</v>
      </c>
      <c r="D28" s="654" t="s">
        <v>1167</v>
      </c>
    </row>
    <row r="29" spans="1:4">
      <c r="A29" s="654" t="s">
        <v>69</v>
      </c>
      <c r="B29" s="654" t="s">
        <v>70</v>
      </c>
      <c r="C29" s="654" t="s">
        <v>278</v>
      </c>
      <c r="D29" s="654" t="s">
        <v>1167</v>
      </c>
    </row>
    <row r="30" spans="1:4">
      <c r="A30" s="654" t="s">
        <v>71</v>
      </c>
      <c r="B30" s="654" t="s">
        <v>72</v>
      </c>
      <c r="C30" s="654" t="s">
        <v>272</v>
      </c>
      <c r="D30" s="654" t="s">
        <v>1167</v>
      </c>
    </row>
    <row r="31" spans="1:4">
      <c r="A31" s="654" t="s">
        <v>73</v>
      </c>
      <c r="B31" s="654" t="s">
        <v>74</v>
      </c>
      <c r="C31" s="654" t="s">
        <v>275</v>
      </c>
      <c r="D31" s="654" t="s">
        <v>1167</v>
      </c>
    </row>
    <row r="32" spans="1:4">
      <c r="A32" s="654" t="s">
        <v>75</v>
      </c>
      <c r="B32" s="654" t="s">
        <v>870</v>
      </c>
      <c r="C32" s="654" t="s">
        <v>276</v>
      </c>
      <c r="D32" s="654" t="s">
        <v>1166</v>
      </c>
    </row>
    <row r="33" spans="1:4">
      <c r="A33" s="654" t="s">
        <v>77</v>
      </c>
      <c r="B33" s="654" t="s">
        <v>78</v>
      </c>
      <c r="C33" s="654" t="s">
        <v>276</v>
      </c>
      <c r="D33" s="654" t="s">
        <v>1167</v>
      </c>
    </row>
    <row r="34" spans="1:4">
      <c r="A34" s="654" t="s">
        <v>79</v>
      </c>
      <c r="B34" s="654" t="s">
        <v>80</v>
      </c>
      <c r="C34" s="654" t="s">
        <v>278</v>
      </c>
      <c r="D34" s="654" t="s">
        <v>1167</v>
      </c>
    </row>
    <row r="35" spans="1:4">
      <c r="A35" s="654" t="s">
        <v>81</v>
      </c>
      <c r="B35" s="654" t="s">
        <v>82</v>
      </c>
      <c r="C35" s="654" t="s">
        <v>275</v>
      </c>
      <c r="D35" s="654" t="s">
        <v>1167</v>
      </c>
    </row>
    <row r="36" spans="1:4">
      <c r="A36" s="654" t="s">
        <v>85</v>
      </c>
      <c r="B36" s="654" t="s">
        <v>86</v>
      </c>
      <c r="C36" s="654" t="s">
        <v>273</v>
      </c>
      <c r="D36" s="654" t="s">
        <v>1167</v>
      </c>
    </row>
    <row r="37" spans="1:4">
      <c r="A37" s="654" t="s">
        <v>87</v>
      </c>
      <c r="B37" s="654" t="s">
        <v>88</v>
      </c>
      <c r="C37" s="654" t="s">
        <v>276</v>
      </c>
      <c r="D37" s="654" t="s">
        <v>1167</v>
      </c>
    </row>
    <row r="38" spans="1:4">
      <c r="A38" s="654" t="s">
        <v>93</v>
      </c>
      <c r="B38" s="654" t="s">
        <v>94</v>
      </c>
      <c r="C38" s="654" t="s">
        <v>278</v>
      </c>
      <c r="D38" s="654" t="s">
        <v>1167</v>
      </c>
    </row>
    <row r="39" spans="1:4">
      <c r="A39" s="654" t="s">
        <v>95</v>
      </c>
      <c r="B39" s="654" t="s">
        <v>96</v>
      </c>
      <c r="C39" s="654" t="s">
        <v>272</v>
      </c>
      <c r="D39" s="654" t="s">
        <v>1167</v>
      </c>
    </row>
    <row r="40" spans="1:4">
      <c r="A40" s="654" t="s">
        <v>97</v>
      </c>
      <c r="B40" s="654" t="s">
        <v>98</v>
      </c>
      <c r="C40" s="654" t="s">
        <v>275</v>
      </c>
      <c r="D40" s="654" t="s">
        <v>1166</v>
      </c>
    </row>
    <row r="41" spans="1:4">
      <c r="A41" s="654" t="s">
        <v>99</v>
      </c>
      <c r="B41" s="654" t="s">
        <v>100</v>
      </c>
      <c r="C41" s="654" t="s">
        <v>278</v>
      </c>
      <c r="D41" s="654" t="s">
        <v>1167</v>
      </c>
    </row>
    <row r="42" spans="1:4">
      <c r="A42" s="654" t="s">
        <v>101</v>
      </c>
      <c r="B42" s="654" t="s">
        <v>102</v>
      </c>
      <c r="C42" s="654" t="s">
        <v>276</v>
      </c>
      <c r="D42" s="654" t="s">
        <v>1167</v>
      </c>
    </row>
    <row r="43" spans="1:4">
      <c r="A43" s="654" t="s">
        <v>103</v>
      </c>
      <c r="B43" s="654" t="s">
        <v>329</v>
      </c>
      <c r="C43" s="654" t="s">
        <v>272</v>
      </c>
      <c r="D43" s="654" t="s">
        <v>1167</v>
      </c>
    </row>
    <row r="44" spans="1:4">
      <c r="A44" s="654" t="s">
        <v>105</v>
      </c>
      <c r="B44" s="654" t="s">
        <v>871</v>
      </c>
      <c r="C44" s="654" t="s">
        <v>273</v>
      </c>
      <c r="D44" s="654" t="s">
        <v>1167</v>
      </c>
    </row>
    <row r="45" spans="1:4">
      <c r="A45" s="654" t="s">
        <v>109</v>
      </c>
      <c r="B45" s="654" t="s">
        <v>110</v>
      </c>
      <c r="C45" s="654" t="s">
        <v>275</v>
      </c>
      <c r="D45" s="654" t="s">
        <v>1167</v>
      </c>
    </row>
    <row r="46" spans="1:4">
      <c r="A46" s="654" t="s">
        <v>111</v>
      </c>
      <c r="B46" s="654" t="s">
        <v>112</v>
      </c>
      <c r="C46" s="654" t="s">
        <v>275</v>
      </c>
      <c r="D46" s="654" t="s">
        <v>1166</v>
      </c>
    </row>
    <row r="47" spans="1:4">
      <c r="A47" s="654" t="s">
        <v>113</v>
      </c>
      <c r="B47" s="654" t="s">
        <v>367</v>
      </c>
      <c r="C47" s="654" t="s">
        <v>273</v>
      </c>
      <c r="D47" s="654" t="s">
        <v>1167</v>
      </c>
    </row>
    <row r="48" spans="1:4">
      <c r="A48" s="654" t="s">
        <v>115</v>
      </c>
      <c r="B48" s="654" t="s">
        <v>116</v>
      </c>
      <c r="C48" s="654" t="s">
        <v>273</v>
      </c>
      <c r="D48" s="654" t="s">
        <v>1167</v>
      </c>
    </row>
    <row r="49" spans="1:4">
      <c r="A49" s="654" t="s">
        <v>119</v>
      </c>
      <c r="B49" s="654" t="s">
        <v>120</v>
      </c>
      <c r="C49" s="654" t="s">
        <v>272</v>
      </c>
      <c r="D49" s="654" t="s">
        <v>1166</v>
      </c>
    </row>
    <row r="50" spans="1:4">
      <c r="A50" s="654" t="s">
        <v>121</v>
      </c>
      <c r="B50" s="654" t="s">
        <v>122</v>
      </c>
      <c r="C50" s="654" t="s">
        <v>272</v>
      </c>
      <c r="D50" s="654" t="s">
        <v>1166</v>
      </c>
    </row>
    <row r="51" spans="1:4">
      <c r="A51" s="654" t="s">
        <v>123</v>
      </c>
      <c r="B51" s="654" t="s">
        <v>124</v>
      </c>
      <c r="C51" s="654" t="s">
        <v>275</v>
      </c>
      <c r="D51" s="654" t="s">
        <v>1167</v>
      </c>
    </row>
    <row r="52" spans="1:4">
      <c r="A52" s="654" t="s">
        <v>125</v>
      </c>
      <c r="B52" s="654" t="s">
        <v>126</v>
      </c>
      <c r="C52" s="654" t="s">
        <v>276</v>
      </c>
      <c r="D52" s="654" t="s">
        <v>1167</v>
      </c>
    </row>
    <row r="53" spans="1:4">
      <c r="A53" s="654" t="s">
        <v>127</v>
      </c>
      <c r="B53" s="654" t="s">
        <v>128</v>
      </c>
      <c r="C53" s="654" t="s">
        <v>275</v>
      </c>
      <c r="D53" s="654" t="s">
        <v>1167</v>
      </c>
    </row>
    <row r="54" spans="1:4">
      <c r="A54" s="654" t="s">
        <v>129</v>
      </c>
      <c r="B54" s="654" t="s">
        <v>130</v>
      </c>
      <c r="C54" s="654" t="s">
        <v>275</v>
      </c>
      <c r="D54" s="654" t="s">
        <v>1167</v>
      </c>
    </row>
    <row r="55" spans="1:4">
      <c r="A55" s="654" t="s">
        <v>131</v>
      </c>
      <c r="B55" s="654" t="s">
        <v>132</v>
      </c>
      <c r="C55" s="654" t="s">
        <v>278</v>
      </c>
      <c r="D55" s="654" t="s">
        <v>1167</v>
      </c>
    </row>
    <row r="56" spans="1:4">
      <c r="A56" s="654" t="s">
        <v>133</v>
      </c>
      <c r="B56" s="654" t="s">
        <v>134</v>
      </c>
      <c r="C56" s="654" t="s">
        <v>276</v>
      </c>
      <c r="D56" s="654" t="s">
        <v>1167</v>
      </c>
    </row>
    <row r="57" spans="1:4">
      <c r="A57" s="654" t="s">
        <v>135</v>
      </c>
      <c r="B57" s="654" t="s">
        <v>136</v>
      </c>
      <c r="C57" s="654" t="s">
        <v>276</v>
      </c>
      <c r="D57" s="654" t="s">
        <v>1167</v>
      </c>
    </row>
    <row r="58" spans="1:4">
      <c r="A58" s="654" t="s">
        <v>137</v>
      </c>
      <c r="B58" s="654" t="s">
        <v>138</v>
      </c>
      <c r="C58" s="654" t="s">
        <v>275</v>
      </c>
      <c r="D58" s="654" t="s">
        <v>1167</v>
      </c>
    </row>
    <row r="59" spans="1:4">
      <c r="A59" s="654" t="s">
        <v>141</v>
      </c>
      <c r="B59" s="654" t="s">
        <v>142</v>
      </c>
      <c r="C59" s="654" t="s">
        <v>276</v>
      </c>
      <c r="D59" s="654" t="s">
        <v>1167</v>
      </c>
    </row>
    <row r="60" spans="1:4">
      <c r="A60" s="654" t="s">
        <v>147</v>
      </c>
      <c r="B60" s="654" t="s">
        <v>148</v>
      </c>
      <c r="C60" s="654" t="s">
        <v>272</v>
      </c>
      <c r="D60" s="654" t="s">
        <v>1167</v>
      </c>
    </row>
    <row r="61" spans="1:4">
      <c r="A61" s="654" t="s">
        <v>149</v>
      </c>
      <c r="B61" s="654" t="s">
        <v>150</v>
      </c>
      <c r="C61" s="654" t="s">
        <v>273</v>
      </c>
      <c r="D61" s="654" t="s">
        <v>1167</v>
      </c>
    </row>
    <row r="62" spans="1:4">
      <c r="A62" s="654" t="s">
        <v>151</v>
      </c>
      <c r="B62" s="654" t="s">
        <v>152</v>
      </c>
      <c r="C62" s="654" t="s">
        <v>275</v>
      </c>
      <c r="D62" s="654" t="s">
        <v>1167</v>
      </c>
    </row>
    <row r="63" spans="1:4">
      <c r="A63" s="654" t="s">
        <v>153</v>
      </c>
      <c r="B63" s="654" t="s">
        <v>154</v>
      </c>
      <c r="C63" s="654" t="s">
        <v>278</v>
      </c>
      <c r="D63" s="654" t="s">
        <v>1167</v>
      </c>
    </row>
    <row r="64" spans="1:4">
      <c r="A64" s="654" t="s">
        <v>155</v>
      </c>
      <c r="B64" s="654" t="s">
        <v>156</v>
      </c>
      <c r="C64" s="654" t="s">
        <v>273</v>
      </c>
      <c r="D64" s="654" t="s">
        <v>1167</v>
      </c>
    </row>
    <row r="65" spans="1:4">
      <c r="A65" s="654" t="s">
        <v>157</v>
      </c>
      <c r="B65" s="654" t="s">
        <v>158</v>
      </c>
      <c r="C65" s="654" t="s">
        <v>275</v>
      </c>
      <c r="D65" s="654" t="s">
        <v>1167</v>
      </c>
    </row>
    <row r="66" spans="1:4">
      <c r="A66" s="654" t="s">
        <v>163</v>
      </c>
      <c r="B66" s="654" t="s">
        <v>164</v>
      </c>
      <c r="C66" s="654" t="s">
        <v>272</v>
      </c>
      <c r="D66" s="654" t="s">
        <v>1167</v>
      </c>
    </row>
    <row r="67" spans="1:4">
      <c r="A67" s="654" t="s">
        <v>165</v>
      </c>
      <c r="B67" s="654" t="s">
        <v>166</v>
      </c>
      <c r="C67" s="654" t="s">
        <v>275</v>
      </c>
      <c r="D67" s="654" t="s">
        <v>1167</v>
      </c>
    </row>
    <row r="68" spans="1:4">
      <c r="A68" s="654" t="s">
        <v>169</v>
      </c>
      <c r="B68" s="654" t="s">
        <v>170</v>
      </c>
      <c r="C68" s="654" t="s">
        <v>275</v>
      </c>
      <c r="D68" s="654" t="s">
        <v>1167</v>
      </c>
    </row>
    <row r="69" spans="1:4">
      <c r="A69" s="654" t="s">
        <v>171</v>
      </c>
      <c r="B69" s="654" t="s">
        <v>172</v>
      </c>
      <c r="C69" s="654" t="s">
        <v>276</v>
      </c>
      <c r="D69" s="654" t="s">
        <v>1167</v>
      </c>
    </row>
    <row r="70" spans="1:4">
      <c r="A70" s="654" t="s">
        <v>173</v>
      </c>
      <c r="B70" s="654" t="s">
        <v>174</v>
      </c>
      <c r="C70" s="654" t="s">
        <v>276</v>
      </c>
      <c r="D70" s="654" t="s">
        <v>1167</v>
      </c>
    </row>
    <row r="71" spans="1:4">
      <c r="A71" s="654" t="s">
        <v>175</v>
      </c>
      <c r="B71" s="654" t="s">
        <v>176</v>
      </c>
      <c r="C71" s="654" t="s">
        <v>278</v>
      </c>
      <c r="D71" s="654" t="s">
        <v>1167</v>
      </c>
    </row>
    <row r="72" spans="1:4">
      <c r="A72" s="654" t="s">
        <v>179</v>
      </c>
      <c r="B72" s="654" t="s">
        <v>180</v>
      </c>
      <c r="C72" s="654" t="s">
        <v>273</v>
      </c>
      <c r="D72" s="654" t="s">
        <v>1167</v>
      </c>
    </row>
    <row r="73" spans="1:4">
      <c r="A73" s="654" t="s">
        <v>183</v>
      </c>
      <c r="B73" s="654" t="s">
        <v>184</v>
      </c>
      <c r="C73" s="654" t="s">
        <v>275</v>
      </c>
      <c r="D73" s="654" t="s">
        <v>1167</v>
      </c>
    </row>
    <row r="74" spans="1:4">
      <c r="A74" s="654" t="s">
        <v>185</v>
      </c>
      <c r="B74" s="654" t="s">
        <v>186</v>
      </c>
      <c r="C74" s="654" t="s">
        <v>275</v>
      </c>
      <c r="D74" s="654" t="s">
        <v>1167</v>
      </c>
    </row>
    <row r="75" spans="1:4">
      <c r="A75" s="654" t="s">
        <v>187</v>
      </c>
      <c r="B75" s="654" t="s">
        <v>188</v>
      </c>
      <c r="C75" s="654" t="s">
        <v>272</v>
      </c>
      <c r="D75" s="654" t="s">
        <v>1167</v>
      </c>
    </row>
    <row r="76" spans="1:4">
      <c r="A76" s="654" t="s">
        <v>189</v>
      </c>
      <c r="B76" s="654" t="s">
        <v>190</v>
      </c>
      <c r="C76" s="654" t="s">
        <v>276</v>
      </c>
      <c r="D76" s="654" t="s">
        <v>1166</v>
      </c>
    </row>
    <row r="77" spans="1:4">
      <c r="A77" s="654" t="s">
        <v>191</v>
      </c>
      <c r="B77" s="654" t="s">
        <v>192</v>
      </c>
      <c r="C77" s="654" t="s">
        <v>278</v>
      </c>
      <c r="D77" s="654" t="s">
        <v>1167</v>
      </c>
    </row>
    <row r="78" spans="1:4">
      <c r="A78" s="654" t="s">
        <v>195</v>
      </c>
      <c r="B78" s="654" t="s">
        <v>196</v>
      </c>
      <c r="C78" s="654" t="s">
        <v>276</v>
      </c>
      <c r="D78" s="654" t="s">
        <v>1167</v>
      </c>
    </row>
    <row r="79" spans="1:4">
      <c r="A79" s="654" t="s">
        <v>199</v>
      </c>
      <c r="B79" s="654" t="s">
        <v>285</v>
      </c>
      <c r="C79" s="654" t="s">
        <v>275</v>
      </c>
      <c r="D79" s="654" t="s">
        <v>1167</v>
      </c>
    </row>
    <row r="80" spans="1:4">
      <c r="A80" s="654" t="s">
        <v>203</v>
      </c>
      <c r="B80" s="654" t="s">
        <v>368</v>
      </c>
      <c r="C80" s="654" t="s">
        <v>273</v>
      </c>
      <c r="D80" s="654" t="s">
        <v>1166</v>
      </c>
    </row>
    <row r="81" spans="1:4">
      <c r="A81" s="654" t="s">
        <v>205</v>
      </c>
      <c r="B81" s="654" t="s">
        <v>359</v>
      </c>
      <c r="C81" s="654" t="s">
        <v>273</v>
      </c>
      <c r="D81" s="654" t="s">
        <v>1167</v>
      </c>
    </row>
    <row r="82" spans="1:4">
      <c r="A82" s="654" t="s">
        <v>207</v>
      </c>
      <c r="B82" s="654" t="s">
        <v>360</v>
      </c>
      <c r="C82" s="654" t="s">
        <v>276</v>
      </c>
      <c r="D82" s="654" t="s">
        <v>1166</v>
      </c>
    </row>
    <row r="83" spans="1:4">
      <c r="A83" s="654" t="s">
        <v>209</v>
      </c>
      <c r="B83" s="654" t="s">
        <v>210</v>
      </c>
      <c r="C83" s="654" t="s">
        <v>278</v>
      </c>
      <c r="D83" s="654" t="s">
        <v>1167</v>
      </c>
    </row>
    <row r="84" spans="1:4">
      <c r="A84" s="654" t="s">
        <v>211</v>
      </c>
      <c r="B84" s="654" t="s">
        <v>212</v>
      </c>
      <c r="C84" s="654" t="s">
        <v>278</v>
      </c>
      <c r="D84" s="654" t="s">
        <v>1167</v>
      </c>
    </row>
    <row r="85" spans="1:4">
      <c r="A85" s="654" t="s">
        <v>213</v>
      </c>
      <c r="B85" s="654" t="s">
        <v>214</v>
      </c>
      <c r="C85" s="654" t="s">
        <v>276</v>
      </c>
      <c r="D85" s="654" t="s">
        <v>1167</v>
      </c>
    </row>
    <row r="86" spans="1:4">
      <c r="A86" s="654" t="s">
        <v>215</v>
      </c>
      <c r="B86" s="654" t="s">
        <v>216</v>
      </c>
      <c r="C86" s="654" t="s">
        <v>278</v>
      </c>
      <c r="D86" s="654" t="s">
        <v>1167</v>
      </c>
    </row>
    <row r="87" spans="1:4">
      <c r="A87" s="654" t="s">
        <v>217</v>
      </c>
      <c r="B87" s="654" t="s">
        <v>218</v>
      </c>
      <c r="C87" s="654" t="s">
        <v>272</v>
      </c>
      <c r="D87" s="654" t="s">
        <v>1167</v>
      </c>
    </row>
    <row r="88" spans="1:4">
      <c r="A88" s="654" t="s">
        <v>219</v>
      </c>
      <c r="B88" s="654" t="s">
        <v>220</v>
      </c>
      <c r="C88" s="654" t="s">
        <v>276</v>
      </c>
      <c r="D88" s="654" t="s">
        <v>1167</v>
      </c>
    </row>
    <row r="89" spans="1:4">
      <c r="A89" s="654" t="s">
        <v>221</v>
      </c>
      <c r="B89" s="654" t="s">
        <v>222</v>
      </c>
      <c r="C89" s="654" t="s">
        <v>276</v>
      </c>
      <c r="D89" s="654" t="s">
        <v>1167</v>
      </c>
    </row>
    <row r="90" spans="1:4">
      <c r="A90" s="654" t="s">
        <v>225</v>
      </c>
      <c r="B90" s="654" t="s">
        <v>226</v>
      </c>
      <c r="C90" s="654" t="s">
        <v>272</v>
      </c>
      <c r="D90" s="654" t="s">
        <v>1167</v>
      </c>
    </row>
    <row r="91" spans="1:4">
      <c r="A91" s="654" t="s">
        <v>227</v>
      </c>
      <c r="B91" s="654" t="s">
        <v>228</v>
      </c>
      <c r="C91" s="654" t="s">
        <v>272</v>
      </c>
      <c r="D91" s="654" t="s">
        <v>1167</v>
      </c>
    </row>
    <row r="92" spans="1:4">
      <c r="A92" s="654" t="s">
        <v>229</v>
      </c>
      <c r="B92" s="654" t="s">
        <v>230</v>
      </c>
      <c r="C92" s="654" t="s">
        <v>278</v>
      </c>
      <c r="D92" s="654" t="s">
        <v>1166</v>
      </c>
    </row>
    <row r="93" spans="1:4">
      <c r="A93" s="654" t="s">
        <v>233</v>
      </c>
      <c r="B93" s="654" t="s">
        <v>234</v>
      </c>
      <c r="C93" s="654" t="s">
        <v>276</v>
      </c>
      <c r="D93" s="654" t="s">
        <v>1167</v>
      </c>
    </row>
    <row r="94" spans="1:4">
      <c r="A94" s="654" t="s">
        <v>235</v>
      </c>
      <c r="B94" s="654" t="s">
        <v>236</v>
      </c>
      <c r="C94" s="654" t="s">
        <v>278</v>
      </c>
      <c r="D94" s="654" t="s">
        <v>1167</v>
      </c>
    </row>
    <row r="95" spans="1:4">
      <c r="A95" s="654" t="s">
        <v>237</v>
      </c>
      <c r="B95" s="654" t="s">
        <v>238</v>
      </c>
      <c r="C95" s="654" t="s">
        <v>275</v>
      </c>
      <c r="D95" s="654" t="s">
        <v>1167</v>
      </c>
    </row>
    <row r="96" spans="1:4">
      <c r="A96" s="654" t="s">
        <v>243</v>
      </c>
      <c r="B96" s="654" t="s">
        <v>244</v>
      </c>
      <c r="C96" s="654" t="s">
        <v>278</v>
      </c>
      <c r="D96" s="654" t="s">
        <v>1167</v>
      </c>
    </row>
    <row r="97" spans="1:4">
      <c r="A97" s="654" t="s">
        <v>245</v>
      </c>
      <c r="B97" s="654" t="s">
        <v>246</v>
      </c>
      <c r="C97" s="654" t="s">
        <v>278</v>
      </c>
      <c r="D97" s="654" t="s">
        <v>1167</v>
      </c>
    </row>
    <row r="98" spans="1:4">
      <c r="A98" s="654" t="s">
        <v>247</v>
      </c>
      <c r="B98" s="654" t="s">
        <v>248</v>
      </c>
      <c r="C98" s="654" t="s">
        <v>272</v>
      </c>
      <c r="D98" s="654" t="s">
        <v>1166</v>
      </c>
    </row>
    <row r="99" spans="1:4">
      <c r="A99" s="654" t="s">
        <v>14</v>
      </c>
      <c r="B99" s="654" t="s">
        <v>15</v>
      </c>
      <c r="C99" s="654" t="s">
        <v>276</v>
      </c>
      <c r="D99" s="654" t="s">
        <v>1166</v>
      </c>
    </row>
    <row r="100" spans="1:4">
      <c r="A100" s="654" t="s">
        <v>35</v>
      </c>
      <c r="B100" s="654" t="s">
        <v>36</v>
      </c>
      <c r="C100" s="654" t="s">
        <v>278</v>
      </c>
      <c r="D100" s="654" t="s">
        <v>1167</v>
      </c>
    </row>
    <row r="101" spans="1:4">
      <c r="A101" s="654" t="s">
        <v>53</v>
      </c>
      <c r="B101" s="654" t="s">
        <v>54</v>
      </c>
      <c r="C101" s="654" t="s">
        <v>273</v>
      </c>
      <c r="D101" s="654" t="s">
        <v>1166</v>
      </c>
    </row>
    <row r="102" spans="1:4">
      <c r="A102" s="654" t="s">
        <v>55</v>
      </c>
      <c r="B102" s="654" t="s">
        <v>56</v>
      </c>
      <c r="C102" s="654" t="s">
        <v>272</v>
      </c>
      <c r="D102" s="654" t="s">
        <v>1167</v>
      </c>
    </row>
    <row r="103" spans="1:4">
      <c r="A103" s="654" t="s">
        <v>67</v>
      </c>
      <c r="B103" s="654" t="s">
        <v>68</v>
      </c>
      <c r="C103" s="654" t="s">
        <v>273</v>
      </c>
      <c r="D103" s="654" t="s">
        <v>1167</v>
      </c>
    </row>
    <row r="104" spans="1:4">
      <c r="A104" s="654" t="s">
        <v>83</v>
      </c>
      <c r="B104" s="654" t="s">
        <v>84</v>
      </c>
      <c r="C104" s="654" t="s">
        <v>272</v>
      </c>
      <c r="D104" s="654" t="s">
        <v>1167</v>
      </c>
    </row>
    <row r="105" spans="1:4">
      <c r="A105" s="654" t="s">
        <v>89</v>
      </c>
      <c r="B105" s="654" t="s">
        <v>90</v>
      </c>
      <c r="C105" s="654" t="s">
        <v>276</v>
      </c>
      <c r="D105" s="654" t="s">
        <v>1167</v>
      </c>
    </row>
    <row r="106" spans="1:4">
      <c r="A106" s="654" t="s">
        <v>91</v>
      </c>
      <c r="B106" s="654" t="s">
        <v>92</v>
      </c>
      <c r="C106" s="654" t="s">
        <v>278</v>
      </c>
      <c r="D106" s="654" t="s">
        <v>1167</v>
      </c>
    </row>
    <row r="107" spans="1:4">
      <c r="A107" s="654" t="s">
        <v>107</v>
      </c>
      <c r="B107" s="654" t="s">
        <v>108</v>
      </c>
      <c r="C107" s="654" t="s">
        <v>272</v>
      </c>
      <c r="D107" s="654" t="s">
        <v>1166</v>
      </c>
    </row>
    <row r="108" spans="1:4">
      <c r="A108" s="654" t="s">
        <v>117</v>
      </c>
      <c r="B108" s="654" t="s">
        <v>118</v>
      </c>
      <c r="C108" s="654" t="s">
        <v>275</v>
      </c>
      <c r="D108" s="654" t="s">
        <v>1167</v>
      </c>
    </row>
    <row r="109" spans="1:4">
      <c r="A109" s="654" t="s">
        <v>139</v>
      </c>
      <c r="B109" s="654" t="s">
        <v>140</v>
      </c>
      <c r="C109" s="654" t="s">
        <v>273</v>
      </c>
      <c r="D109" s="654" t="s">
        <v>1166</v>
      </c>
    </row>
    <row r="110" spans="1:4">
      <c r="A110" s="654" t="s">
        <v>143</v>
      </c>
      <c r="B110" s="654" t="s">
        <v>144</v>
      </c>
      <c r="C110" s="654" t="s">
        <v>276</v>
      </c>
      <c r="D110" s="654" t="s">
        <v>1167</v>
      </c>
    </row>
    <row r="111" spans="1:4">
      <c r="A111" s="654" t="s">
        <v>145</v>
      </c>
      <c r="B111" s="654" t="s">
        <v>146</v>
      </c>
      <c r="C111" s="654" t="s">
        <v>276</v>
      </c>
      <c r="D111" s="654" t="s">
        <v>1167</v>
      </c>
    </row>
    <row r="112" spans="1:4">
      <c r="A112" s="654" t="s">
        <v>159</v>
      </c>
      <c r="B112" s="654" t="s">
        <v>160</v>
      </c>
      <c r="C112" s="654" t="s">
        <v>272</v>
      </c>
      <c r="D112" s="654" t="s">
        <v>1166</v>
      </c>
    </row>
    <row r="113" spans="1:4">
      <c r="A113" s="654" t="s">
        <v>161</v>
      </c>
      <c r="B113" s="654" t="s">
        <v>162</v>
      </c>
      <c r="C113" s="654" t="s">
        <v>272</v>
      </c>
      <c r="D113" s="654" t="s">
        <v>1166</v>
      </c>
    </row>
    <row r="114" spans="1:4">
      <c r="A114" s="654" t="s">
        <v>167</v>
      </c>
      <c r="B114" s="654" t="s">
        <v>168</v>
      </c>
      <c r="C114" s="654" t="s">
        <v>278</v>
      </c>
      <c r="D114" s="654" t="s">
        <v>1167</v>
      </c>
    </row>
    <row r="115" spans="1:4">
      <c r="A115" s="654" t="s">
        <v>177</v>
      </c>
      <c r="B115" s="654" t="s">
        <v>178</v>
      </c>
      <c r="C115" s="654" t="s">
        <v>275</v>
      </c>
      <c r="D115" s="654" t="s">
        <v>1167</v>
      </c>
    </row>
    <row r="116" spans="1:4">
      <c r="A116" s="654" t="s">
        <v>181</v>
      </c>
      <c r="B116" s="654" t="s">
        <v>182</v>
      </c>
      <c r="C116" s="654" t="s">
        <v>272</v>
      </c>
      <c r="D116" s="654" t="s">
        <v>1166</v>
      </c>
    </row>
    <row r="117" spans="1:4">
      <c r="A117" s="654" t="s">
        <v>193</v>
      </c>
      <c r="B117" s="654" t="s">
        <v>194</v>
      </c>
      <c r="C117" s="654" t="s">
        <v>278</v>
      </c>
      <c r="D117" s="654" t="s">
        <v>1167</v>
      </c>
    </row>
    <row r="118" spans="1:4">
      <c r="A118" s="654" t="s">
        <v>197</v>
      </c>
      <c r="B118" s="654" t="s">
        <v>198</v>
      </c>
      <c r="C118" s="654" t="s">
        <v>275</v>
      </c>
      <c r="D118" s="654" t="s">
        <v>1166</v>
      </c>
    </row>
    <row r="119" spans="1:4">
      <c r="A119" s="654" t="s">
        <v>201</v>
      </c>
      <c r="B119" s="654" t="s">
        <v>202</v>
      </c>
      <c r="C119" s="654" t="s">
        <v>273</v>
      </c>
      <c r="D119" s="654" t="s">
        <v>1166</v>
      </c>
    </row>
    <row r="120" spans="1:4">
      <c r="A120" s="654" t="s">
        <v>223</v>
      </c>
      <c r="B120" s="654" t="s">
        <v>224</v>
      </c>
      <c r="C120" s="654" t="s">
        <v>272</v>
      </c>
      <c r="D120" s="654" t="s">
        <v>1166</v>
      </c>
    </row>
    <row r="121" spans="1:4">
      <c r="A121" s="654" t="s">
        <v>231</v>
      </c>
      <c r="B121" s="654" t="s">
        <v>232</v>
      </c>
      <c r="C121" s="654" t="s">
        <v>272</v>
      </c>
      <c r="D121" s="654" t="s">
        <v>1166</v>
      </c>
    </row>
    <row r="122" spans="1:4">
      <c r="A122" s="654" t="s">
        <v>239</v>
      </c>
      <c r="B122" s="654" t="s">
        <v>240</v>
      </c>
      <c r="C122" s="654" t="s">
        <v>272</v>
      </c>
      <c r="D122" s="654" t="s">
        <v>1167</v>
      </c>
    </row>
    <row r="123" spans="1:4">
      <c r="A123" s="654" t="s">
        <v>241</v>
      </c>
      <c r="B123" s="654" t="s">
        <v>242</v>
      </c>
      <c r="C123" s="654" t="s">
        <v>276</v>
      </c>
      <c r="D123" s="654" t="s">
        <v>1167</v>
      </c>
    </row>
    <row r="125" spans="1:4">
      <c r="C125" s="109" t="s">
        <v>872</v>
      </c>
      <c r="D125" s="653">
        <f>COUNTIF(D4:D123,"Full")</f>
        <v>94</v>
      </c>
    </row>
    <row r="126" spans="1:4">
      <c r="C126" s="109" t="s">
        <v>873</v>
      </c>
      <c r="D126" s="653">
        <f>COUNTIF(D4:D123,"Shared")</f>
        <v>26</v>
      </c>
    </row>
    <row r="128" spans="1:4">
      <c r="A128" s="654" t="s">
        <v>874</v>
      </c>
    </row>
    <row r="129" spans="1:2">
      <c r="A129" s="654" t="s">
        <v>875</v>
      </c>
    </row>
    <row r="131" spans="1:2" s="519" customFormat="1">
      <c r="A131" s="519" t="s">
        <v>250</v>
      </c>
    </row>
    <row r="132" spans="1:2" s="519" customFormat="1">
      <c r="A132" s="536" t="s">
        <v>251</v>
      </c>
      <c r="B132" s="407" t="s">
        <v>252</v>
      </c>
    </row>
  </sheetData>
  <hyperlinks>
    <hyperlink ref="B132" r:id="rId1"/>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B1:I127"/>
  <sheetViews>
    <sheetView zoomScaleNormal="100" workbookViewId="0">
      <pane ySplit="4" topLeftCell="A5" activePane="bottomLeft" state="frozen"/>
      <selection pane="bottomLeft" activeCell="C13" sqref="C13"/>
    </sheetView>
  </sheetViews>
  <sheetFormatPr defaultRowHeight="12.75"/>
  <cols>
    <col min="1" max="1" width="9" style="982" customWidth="1"/>
    <col min="2" max="2" width="6.875" style="982" bestFit="1" customWidth="1"/>
    <col min="3" max="3" width="25.25" style="983" customWidth="1"/>
    <col min="4" max="4" width="7.75" style="982" bestFit="1" customWidth="1"/>
    <col min="5" max="5" width="8.875" style="982" bestFit="1" customWidth="1"/>
    <col min="6" max="6" width="9" style="982" customWidth="1"/>
    <col min="7" max="7" width="1.5" style="982" customWidth="1"/>
    <col min="8" max="8" width="7.125" style="982" bestFit="1" customWidth="1"/>
    <col min="9" max="16384" width="9" style="982"/>
  </cols>
  <sheetData>
    <row r="1" spans="2:9" ht="34.5" customHeight="1">
      <c r="B1" s="1392" t="s">
        <v>325</v>
      </c>
      <c r="C1" s="1392"/>
      <c r="D1" s="1392"/>
      <c r="E1" s="1392"/>
      <c r="F1" s="1392"/>
      <c r="G1" s="1392"/>
      <c r="H1" s="1392"/>
      <c r="I1" s="1392"/>
    </row>
    <row r="2" spans="2:9" ht="15.75" customHeight="1">
      <c r="D2" s="1393" t="s">
        <v>326</v>
      </c>
      <c r="E2" s="1393"/>
      <c r="F2" s="1393"/>
      <c r="G2" s="984"/>
      <c r="H2" s="1392" t="s">
        <v>327</v>
      </c>
      <c r="I2" s="1392"/>
    </row>
    <row r="3" spans="2:9" ht="25.5">
      <c r="B3" s="985" t="s">
        <v>4</v>
      </c>
      <c r="C3" s="1005" t="s">
        <v>5</v>
      </c>
      <c r="D3" s="986" t="s">
        <v>328</v>
      </c>
      <c r="E3" s="986" t="s">
        <v>2</v>
      </c>
      <c r="F3" s="986" t="s">
        <v>3</v>
      </c>
      <c r="G3" s="986"/>
      <c r="H3" s="986" t="s">
        <v>2</v>
      </c>
      <c r="I3" s="986" t="s">
        <v>3</v>
      </c>
    </row>
    <row r="4" spans="2:9">
      <c r="B4" s="1001" t="s">
        <v>8</v>
      </c>
      <c r="C4" s="1002" t="s">
        <v>9</v>
      </c>
      <c r="D4" s="1003">
        <v>5979</v>
      </c>
      <c r="E4" s="1003">
        <v>3210</v>
      </c>
      <c r="F4" s="1003">
        <v>2316</v>
      </c>
      <c r="G4" s="1008"/>
      <c r="H4" s="1004">
        <f>+E4/D4</f>
        <v>0.5368790767686904</v>
      </c>
      <c r="I4" s="1004">
        <f>+F4/D4</f>
        <v>0.38735574510787757</v>
      </c>
    </row>
    <row r="5" spans="2:9">
      <c r="B5" s="990" t="s">
        <v>10</v>
      </c>
      <c r="C5" s="999" t="s">
        <v>11</v>
      </c>
      <c r="D5" s="988">
        <v>9</v>
      </c>
      <c r="E5" s="988">
        <v>2</v>
      </c>
      <c r="F5" s="988">
        <v>7</v>
      </c>
      <c r="G5" s="1006"/>
      <c r="H5" s="989">
        <f t="shared" ref="H5:H68" si="0">+E5/D5</f>
        <v>0.22222222222222221</v>
      </c>
      <c r="I5" s="989">
        <f t="shared" ref="I5:I68" si="1">+F5/D5</f>
        <v>0.77777777777777779</v>
      </c>
    </row>
    <row r="6" spans="2:9">
      <c r="B6" s="990" t="s">
        <v>12</v>
      </c>
      <c r="C6" s="999" t="s">
        <v>13</v>
      </c>
      <c r="D6" s="988">
        <v>70</v>
      </c>
      <c r="E6" s="988">
        <v>46</v>
      </c>
      <c r="F6" s="988">
        <v>21</v>
      </c>
      <c r="G6" s="1006"/>
      <c r="H6" s="989">
        <f t="shared" si="0"/>
        <v>0.65714285714285714</v>
      </c>
      <c r="I6" s="989">
        <f t="shared" si="1"/>
        <v>0.3</v>
      </c>
    </row>
    <row r="7" spans="2:9">
      <c r="B7" s="990" t="s">
        <v>14</v>
      </c>
      <c r="C7" s="999" t="s">
        <v>15</v>
      </c>
      <c r="D7" s="988">
        <v>127</v>
      </c>
      <c r="E7" s="988">
        <v>36</v>
      </c>
      <c r="F7" s="988">
        <v>81</v>
      </c>
      <c r="G7" s="1006"/>
      <c r="H7" s="989">
        <f t="shared" si="0"/>
        <v>0.28346456692913385</v>
      </c>
      <c r="I7" s="989">
        <f t="shared" si="1"/>
        <v>0.63779527559055116</v>
      </c>
    </row>
    <row r="8" spans="2:9">
      <c r="B8" s="990" t="s">
        <v>16</v>
      </c>
      <c r="C8" s="999" t="s">
        <v>17</v>
      </c>
      <c r="D8" s="988">
        <v>24</v>
      </c>
      <c r="E8" s="988">
        <v>16</v>
      </c>
      <c r="F8" s="988">
        <v>4</v>
      </c>
      <c r="G8" s="1006"/>
      <c r="H8" s="989">
        <f t="shared" si="0"/>
        <v>0.66666666666666663</v>
      </c>
      <c r="I8" s="989">
        <f t="shared" si="1"/>
        <v>0.16666666666666666</v>
      </c>
    </row>
    <row r="9" spans="2:9">
      <c r="B9" s="990" t="s">
        <v>18</v>
      </c>
      <c r="C9" s="999" t="s">
        <v>19</v>
      </c>
      <c r="D9" s="988">
        <v>5</v>
      </c>
      <c r="E9" s="988">
        <v>3</v>
      </c>
      <c r="F9" s="988">
        <v>2</v>
      </c>
      <c r="G9" s="1006"/>
      <c r="H9" s="989">
        <f t="shared" si="0"/>
        <v>0.6</v>
      </c>
      <c r="I9" s="989">
        <f t="shared" si="1"/>
        <v>0.4</v>
      </c>
    </row>
    <row r="10" spans="2:9">
      <c r="B10" s="990" t="s">
        <v>20</v>
      </c>
      <c r="C10" s="999" t="s">
        <v>21</v>
      </c>
      <c r="D10" s="988">
        <v>27</v>
      </c>
      <c r="E10" s="988">
        <v>18</v>
      </c>
      <c r="F10" s="988">
        <v>7</v>
      </c>
      <c r="G10" s="1006"/>
      <c r="H10" s="989">
        <f t="shared" si="0"/>
        <v>0.66666666666666663</v>
      </c>
      <c r="I10" s="989">
        <f t="shared" si="1"/>
        <v>0.25925925925925924</v>
      </c>
    </row>
    <row r="11" spans="2:9">
      <c r="B11" s="990" t="s">
        <v>22</v>
      </c>
      <c r="C11" s="999" t="s">
        <v>23</v>
      </c>
      <c r="D11" s="988">
        <v>5</v>
      </c>
      <c r="E11" s="988">
        <v>3</v>
      </c>
      <c r="F11" s="988">
        <v>1</v>
      </c>
      <c r="G11" s="1006"/>
      <c r="H11" s="989">
        <f t="shared" si="0"/>
        <v>0.6</v>
      </c>
      <c r="I11" s="989">
        <f t="shared" si="1"/>
        <v>0.2</v>
      </c>
    </row>
    <row r="12" spans="2:9">
      <c r="B12" s="990" t="s">
        <v>24</v>
      </c>
      <c r="C12" s="999" t="s">
        <v>25</v>
      </c>
      <c r="D12" s="988">
        <v>115</v>
      </c>
      <c r="E12" s="988">
        <v>50</v>
      </c>
      <c r="F12" s="988">
        <v>57</v>
      </c>
      <c r="G12" s="1006"/>
      <c r="H12" s="989">
        <f t="shared" si="0"/>
        <v>0.43478260869565216</v>
      </c>
      <c r="I12" s="989">
        <f t="shared" si="1"/>
        <v>0.4956521739130435</v>
      </c>
    </row>
    <row r="13" spans="2:9">
      <c r="B13" s="990" t="s">
        <v>26</v>
      </c>
      <c r="C13" s="999" t="s">
        <v>1114</v>
      </c>
      <c r="D13" s="988">
        <v>142</v>
      </c>
      <c r="E13" s="988">
        <v>113</v>
      </c>
      <c r="F13" s="988">
        <v>17</v>
      </c>
      <c r="G13" s="1006"/>
      <c r="H13" s="989">
        <f t="shared" si="0"/>
        <v>0.79577464788732399</v>
      </c>
      <c r="I13" s="989">
        <f t="shared" si="1"/>
        <v>0.11971830985915492</v>
      </c>
    </row>
    <row r="14" spans="2:9">
      <c r="B14" s="991" t="s">
        <v>27</v>
      </c>
      <c r="C14" s="999" t="s">
        <v>28</v>
      </c>
      <c r="D14" s="988">
        <v>1</v>
      </c>
      <c r="E14" s="988">
        <v>1</v>
      </c>
      <c r="F14" s="988">
        <v>0</v>
      </c>
      <c r="G14" s="1006"/>
      <c r="H14" s="989">
        <f t="shared" si="0"/>
        <v>1</v>
      </c>
      <c r="I14" s="989">
        <f t="shared" si="1"/>
        <v>0</v>
      </c>
    </row>
    <row r="15" spans="2:9">
      <c r="B15" s="990" t="s">
        <v>29</v>
      </c>
      <c r="C15" s="999" t="s">
        <v>30</v>
      </c>
      <c r="D15" s="988">
        <v>65</v>
      </c>
      <c r="E15" s="988">
        <v>50</v>
      </c>
      <c r="F15" s="988">
        <v>9</v>
      </c>
      <c r="G15" s="1006"/>
      <c r="H15" s="989">
        <f t="shared" si="0"/>
        <v>0.76923076923076927</v>
      </c>
      <c r="I15" s="989">
        <f t="shared" si="1"/>
        <v>0.13846153846153847</v>
      </c>
    </row>
    <row r="16" spans="2:9">
      <c r="B16" s="990" t="s">
        <v>31</v>
      </c>
      <c r="C16" s="999" t="s">
        <v>32</v>
      </c>
      <c r="D16" s="988">
        <v>16</v>
      </c>
      <c r="E16" s="988">
        <v>13</v>
      </c>
      <c r="F16" s="988">
        <v>3</v>
      </c>
      <c r="G16" s="1006"/>
      <c r="H16" s="989">
        <f t="shared" si="0"/>
        <v>0.8125</v>
      </c>
      <c r="I16" s="989">
        <f t="shared" si="1"/>
        <v>0.1875</v>
      </c>
    </row>
    <row r="17" spans="2:9">
      <c r="B17" s="990" t="s">
        <v>33</v>
      </c>
      <c r="C17" s="999" t="s">
        <v>34</v>
      </c>
      <c r="D17" s="988">
        <v>9</v>
      </c>
      <c r="E17" s="988">
        <v>8</v>
      </c>
      <c r="F17" s="988">
        <v>1</v>
      </c>
      <c r="G17" s="1006"/>
      <c r="H17" s="989">
        <f t="shared" si="0"/>
        <v>0.88888888888888884</v>
      </c>
      <c r="I17" s="989">
        <f t="shared" si="1"/>
        <v>0.1111111111111111</v>
      </c>
    </row>
    <row r="18" spans="2:9">
      <c r="B18" s="990" t="s">
        <v>35</v>
      </c>
      <c r="C18" s="999" t="s">
        <v>36</v>
      </c>
      <c r="D18" s="988">
        <v>39</v>
      </c>
      <c r="E18" s="988">
        <v>35</v>
      </c>
      <c r="F18" s="988">
        <v>3</v>
      </c>
      <c r="G18" s="1006"/>
      <c r="H18" s="989">
        <f t="shared" si="0"/>
        <v>0.89743589743589747</v>
      </c>
      <c r="I18" s="989">
        <f t="shared" si="1"/>
        <v>7.6923076923076927E-2</v>
      </c>
    </row>
    <row r="19" spans="2:9">
      <c r="B19" s="990" t="s">
        <v>37</v>
      </c>
      <c r="C19" s="999" t="s">
        <v>38</v>
      </c>
      <c r="D19" s="988">
        <v>6</v>
      </c>
      <c r="E19" s="988">
        <v>2</v>
      </c>
      <c r="F19" s="988">
        <v>2</v>
      </c>
      <c r="G19" s="1006"/>
      <c r="H19" s="989">
        <f t="shared" si="0"/>
        <v>0.33333333333333331</v>
      </c>
      <c r="I19" s="989">
        <f t="shared" si="1"/>
        <v>0.33333333333333331</v>
      </c>
    </row>
    <row r="20" spans="2:9">
      <c r="B20" s="990" t="s">
        <v>39</v>
      </c>
      <c r="C20" s="999" t="s">
        <v>40</v>
      </c>
      <c r="D20" s="988">
        <v>70</v>
      </c>
      <c r="E20" s="988">
        <v>67</v>
      </c>
      <c r="F20" s="988">
        <v>1</v>
      </c>
      <c r="G20" s="1006"/>
      <c r="H20" s="989">
        <f t="shared" si="0"/>
        <v>0.95714285714285718</v>
      </c>
      <c r="I20" s="989">
        <f t="shared" si="1"/>
        <v>1.4285714285714285E-2</v>
      </c>
    </row>
    <row r="21" spans="2:9">
      <c r="B21" s="990" t="s">
        <v>41</v>
      </c>
      <c r="C21" s="999" t="s">
        <v>42</v>
      </c>
      <c r="D21" s="988">
        <v>5</v>
      </c>
      <c r="E21" s="988">
        <v>1</v>
      </c>
      <c r="F21" s="988">
        <v>3</v>
      </c>
      <c r="G21" s="1006"/>
      <c r="H21" s="989">
        <f t="shared" si="0"/>
        <v>0.2</v>
      </c>
      <c r="I21" s="989">
        <f t="shared" si="1"/>
        <v>0.6</v>
      </c>
    </row>
    <row r="22" spans="2:9">
      <c r="B22" s="990" t="s">
        <v>43</v>
      </c>
      <c r="C22" s="999" t="s">
        <v>44</v>
      </c>
      <c r="D22" s="988">
        <v>28</v>
      </c>
      <c r="E22" s="988">
        <v>21</v>
      </c>
      <c r="F22" s="988">
        <v>5</v>
      </c>
      <c r="G22" s="1006"/>
      <c r="H22" s="989">
        <f t="shared" si="0"/>
        <v>0.75</v>
      </c>
      <c r="I22" s="989">
        <f t="shared" si="1"/>
        <v>0.17857142857142858</v>
      </c>
    </row>
    <row r="23" spans="2:9">
      <c r="B23" s="990" t="s">
        <v>45</v>
      </c>
      <c r="C23" s="999" t="s">
        <v>46</v>
      </c>
      <c r="D23" s="988">
        <v>16</v>
      </c>
      <c r="E23" s="988">
        <v>9</v>
      </c>
      <c r="F23" s="988">
        <v>7</v>
      </c>
      <c r="G23" s="1006"/>
      <c r="H23" s="989">
        <f t="shared" si="0"/>
        <v>0.5625</v>
      </c>
      <c r="I23" s="989">
        <f t="shared" si="1"/>
        <v>0.4375</v>
      </c>
    </row>
    <row r="24" spans="2:9">
      <c r="B24" s="990" t="s">
        <v>47</v>
      </c>
      <c r="C24" s="999" t="s">
        <v>48</v>
      </c>
      <c r="D24" s="988">
        <v>41</v>
      </c>
      <c r="E24" s="988">
        <v>37</v>
      </c>
      <c r="F24" s="988">
        <v>2</v>
      </c>
      <c r="G24" s="1006"/>
      <c r="H24" s="989">
        <f t="shared" si="0"/>
        <v>0.90243902439024393</v>
      </c>
      <c r="I24" s="989">
        <f t="shared" si="1"/>
        <v>4.878048780487805E-2</v>
      </c>
    </row>
    <row r="25" spans="2:9">
      <c r="B25" s="991" t="s">
        <v>49</v>
      </c>
      <c r="C25" s="999" t="s">
        <v>50</v>
      </c>
      <c r="D25" s="988">
        <v>2</v>
      </c>
      <c r="E25" s="988">
        <v>0</v>
      </c>
      <c r="F25" s="988">
        <v>2</v>
      </c>
      <c r="G25" s="1006"/>
      <c r="H25" s="989">
        <f t="shared" si="0"/>
        <v>0</v>
      </c>
      <c r="I25" s="989">
        <f t="shared" si="1"/>
        <v>1</v>
      </c>
    </row>
    <row r="26" spans="2:9">
      <c r="B26" s="990" t="s">
        <v>51</v>
      </c>
      <c r="C26" s="999" t="s">
        <v>52</v>
      </c>
      <c r="D26" s="988">
        <v>8</v>
      </c>
      <c r="E26" s="988">
        <v>4</v>
      </c>
      <c r="F26" s="988">
        <v>3</v>
      </c>
      <c r="G26" s="1006"/>
      <c r="H26" s="989">
        <f t="shared" si="0"/>
        <v>0.5</v>
      </c>
      <c r="I26" s="989">
        <f t="shared" si="1"/>
        <v>0.375</v>
      </c>
    </row>
    <row r="27" spans="2:9">
      <c r="B27" s="990" t="s">
        <v>53</v>
      </c>
      <c r="C27" s="999" t="s">
        <v>54</v>
      </c>
      <c r="D27" s="988">
        <v>146</v>
      </c>
      <c r="E27" s="988">
        <v>32</v>
      </c>
      <c r="F27" s="988">
        <v>85</v>
      </c>
      <c r="G27" s="1006"/>
      <c r="H27" s="989">
        <f t="shared" si="0"/>
        <v>0.21917808219178081</v>
      </c>
      <c r="I27" s="989">
        <f t="shared" si="1"/>
        <v>0.5821917808219178</v>
      </c>
    </row>
    <row r="28" spans="2:9">
      <c r="B28" s="990" t="s">
        <v>55</v>
      </c>
      <c r="C28" s="999" t="s">
        <v>56</v>
      </c>
      <c r="D28" s="988">
        <v>84</v>
      </c>
      <c r="E28" s="988">
        <v>36</v>
      </c>
      <c r="F28" s="988">
        <v>48</v>
      </c>
      <c r="G28" s="1006"/>
      <c r="H28" s="989">
        <f t="shared" si="0"/>
        <v>0.42857142857142855</v>
      </c>
      <c r="I28" s="989">
        <f t="shared" si="1"/>
        <v>0.5714285714285714</v>
      </c>
    </row>
    <row r="29" spans="2:9">
      <c r="B29" s="990" t="s">
        <v>57</v>
      </c>
      <c r="C29" s="999" t="s">
        <v>58</v>
      </c>
      <c r="D29" s="988">
        <v>72</v>
      </c>
      <c r="E29" s="988">
        <v>42</v>
      </c>
      <c r="F29" s="988">
        <v>22</v>
      </c>
      <c r="G29" s="1006"/>
      <c r="H29" s="989">
        <f t="shared" si="0"/>
        <v>0.58333333333333337</v>
      </c>
      <c r="I29" s="989">
        <f t="shared" si="1"/>
        <v>0.30555555555555558</v>
      </c>
    </row>
    <row r="30" spans="2:9">
      <c r="B30" s="990" t="s">
        <v>59</v>
      </c>
      <c r="C30" s="999" t="s">
        <v>60</v>
      </c>
      <c r="D30" s="988">
        <v>14</v>
      </c>
      <c r="E30" s="988">
        <v>11</v>
      </c>
      <c r="F30" s="988">
        <v>2</v>
      </c>
      <c r="G30" s="1006"/>
      <c r="H30" s="989">
        <f t="shared" si="0"/>
        <v>0.7857142857142857</v>
      </c>
      <c r="I30" s="989">
        <f t="shared" si="1"/>
        <v>0.14285714285714285</v>
      </c>
    </row>
    <row r="31" spans="2:9">
      <c r="B31" s="991" t="s">
        <v>61</v>
      </c>
      <c r="C31" s="999" t="s">
        <v>62</v>
      </c>
      <c r="D31" s="988">
        <v>8</v>
      </c>
      <c r="E31" s="988">
        <v>8</v>
      </c>
      <c r="F31" s="988">
        <v>0</v>
      </c>
      <c r="G31" s="1006"/>
      <c r="H31" s="989">
        <f t="shared" si="0"/>
        <v>1</v>
      </c>
      <c r="I31" s="989">
        <f t="shared" si="1"/>
        <v>0</v>
      </c>
    </row>
    <row r="32" spans="2:9">
      <c r="B32" s="990" t="s">
        <v>63</v>
      </c>
      <c r="C32" s="999" t="s">
        <v>64</v>
      </c>
      <c r="D32" s="988">
        <v>39</v>
      </c>
      <c r="E32" s="988">
        <v>25</v>
      </c>
      <c r="F32" s="988">
        <v>10</v>
      </c>
      <c r="G32" s="1006"/>
      <c r="H32" s="989">
        <f t="shared" si="0"/>
        <v>0.64102564102564108</v>
      </c>
      <c r="I32" s="989">
        <f t="shared" si="1"/>
        <v>0.25641025641025639</v>
      </c>
    </row>
    <row r="33" spans="2:9">
      <c r="B33" s="990" t="s">
        <v>65</v>
      </c>
      <c r="C33" s="999" t="s">
        <v>66</v>
      </c>
      <c r="D33" s="988">
        <v>6</v>
      </c>
      <c r="E33" s="988">
        <v>4</v>
      </c>
      <c r="F33" s="988">
        <v>2</v>
      </c>
      <c r="G33" s="1006"/>
      <c r="H33" s="989">
        <f t="shared" si="0"/>
        <v>0.66666666666666663</v>
      </c>
      <c r="I33" s="989">
        <f t="shared" si="1"/>
        <v>0.33333333333333331</v>
      </c>
    </row>
    <row r="34" spans="2:9">
      <c r="B34" s="990" t="s">
        <v>67</v>
      </c>
      <c r="C34" s="999" t="s">
        <v>68</v>
      </c>
      <c r="D34" s="988">
        <v>42</v>
      </c>
      <c r="E34" s="988">
        <v>14</v>
      </c>
      <c r="F34" s="988">
        <v>26</v>
      </c>
      <c r="G34" s="1006"/>
      <c r="H34" s="989">
        <f t="shared" si="0"/>
        <v>0.33333333333333331</v>
      </c>
      <c r="I34" s="989">
        <f t="shared" si="1"/>
        <v>0.61904761904761907</v>
      </c>
    </row>
    <row r="35" spans="2:9">
      <c r="B35" s="990" t="s">
        <v>69</v>
      </c>
      <c r="C35" s="999" t="s">
        <v>70</v>
      </c>
      <c r="D35" s="988">
        <v>88</v>
      </c>
      <c r="E35" s="988">
        <v>84</v>
      </c>
      <c r="F35" s="988">
        <v>2</v>
      </c>
      <c r="G35" s="1006"/>
      <c r="H35" s="989">
        <f t="shared" si="0"/>
        <v>0.95454545454545459</v>
      </c>
      <c r="I35" s="989">
        <f t="shared" si="1"/>
        <v>2.2727272727272728E-2</v>
      </c>
    </row>
    <row r="36" spans="2:9">
      <c r="B36" s="990" t="s">
        <v>71</v>
      </c>
      <c r="C36" s="999" t="s">
        <v>72</v>
      </c>
      <c r="D36" s="988">
        <v>11</v>
      </c>
      <c r="E36" s="988">
        <v>5</v>
      </c>
      <c r="F36" s="988">
        <v>6</v>
      </c>
      <c r="G36" s="1006"/>
      <c r="H36" s="989">
        <f t="shared" si="0"/>
        <v>0.45454545454545453</v>
      </c>
      <c r="I36" s="989">
        <f t="shared" si="1"/>
        <v>0.54545454545454541</v>
      </c>
    </row>
    <row r="37" spans="2:9">
      <c r="B37" s="990" t="s">
        <v>73</v>
      </c>
      <c r="C37" s="999" t="s">
        <v>74</v>
      </c>
      <c r="D37" s="988">
        <v>14</v>
      </c>
      <c r="E37" s="988">
        <v>5</v>
      </c>
      <c r="F37" s="988">
        <v>8</v>
      </c>
      <c r="G37" s="1006"/>
      <c r="H37" s="989">
        <f t="shared" si="0"/>
        <v>0.35714285714285715</v>
      </c>
      <c r="I37" s="989">
        <f t="shared" si="1"/>
        <v>0.5714285714285714</v>
      </c>
    </row>
    <row r="38" spans="2:9">
      <c r="B38" s="990" t="s">
        <v>75</v>
      </c>
      <c r="C38" s="999" t="s">
        <v>76</v>
      </c>
      <c r="D38" s="988">
        <v>349</v>
      </c>
      <c r="E38" s="988">
        <v>176</v>
      </c>
      <c r="F38" s="988">
        <v>130</v>
      </c>
      <c r="G38" s="1006"/>
      <c r="H38" s="989">
        <f t="shared" si="0"/>
        <v>0.50429799426934097</v>
      </c>
      <c r="I38" s="989">
        <f t="shared" si="1"/>
        <v>0.37249283667621774</v>
      </c>
    </row>
    <row r="39" spans="2:9">
      <c r="B39" s="990" t="s">
        <v>77</v>
      </c>
      <c r="C39" s="999" t="s">
        <v>78</v>
      </c>
      <c r="D39" s="988">
        <v>36</v>
      </c>
      <c r="E39" s="988">
        <v>23</v>
      </c>
      <c r="F39" s="988">
        <v>11</v>
      </c>
      <c r="G39" s="1006"/>
      <c r="H39" s="989">
        <f t="shared" si="0"/>
        <v>0.63888888888888884</v>
      </c>
      <c r="I39" s="989">
        <f t="shared" si="1"/>
        <v>0.30555555555555558</v>
      </c>
    </row>
    <row r="40" spans="2:9">
      <c r="B40" s="990" t="s">
        <v>79</v>
      </c>
      <c r="C40" s="999" t="s">
        <v>80</v>
      </c>
      <c r="D40" s="988">
        <v>16</v>
      </c>
      <c r="E40" s="988">
        <v>15</v>
      </c>
      <c r="F40" s="988">
        <v>1</v>
      </c>
      <c r="G40" s="1006"/>
      <c r="H40" s="989">
        <f t="shared" si="0"/>
        <v>0.9375</v>
      </c>
      <c r="I40" s="989">
        <f t="shared" si="1"/>
        <v>6.25E-2</v>
      </c>
    </row>
    <row r="41" spans="2:9">
      <c r="B41" s="990" t="s">
        <v>81</v>
      </c>
      <c r="C41" s="999" t="s">
        <v>82</v>
      </c>
      <c r="D41" s="988">
        <v>24</v>
      </c>
      <c r="E41" s="988">
        <v>19</v>
      </c>
      <c r="F41" s="988">
        <v>5</v>
      </c>
      <c r="G41" s="1006"/>
      <c r="H41" s="989">
        <f t="shared" si="0"/>
        <v>0.79166666666666663</v>
      </c>
      <c r="I41" s="989">
        <f t="shared" si="1"/>
        <v>0.20833333333333334</v>
      </c>
    </row>
    <row r="42" spans="2:9">
      <c r="B42" s="990" t="s">
        <v>83</v>
      </c>
      <c r="C42" s="999" t="s">
        <v>84</v>
      </c>
      <c r="D42" s="988">
        <v>8</v>
      </c>
      <c r="E42" s="988">
        <v>2</v>
      </c>
      <c r="F42" s="988">
        <v>6</v>
      </c>
      <c r="G42" s="1006"/>
      <c r="H42" s="989">
        <f t="shared" si="0"/>
        <v>0.25</v>
      </c>
      <c r="I42" s="989">
        <f t="shared" si="1"/>
        <v>0.75</v>
      </c>
    </row>
    <row r="43" spans="2:9">
      <c r="B43" s="990" t="s">
        <v>85</v>
      </c>
      <c r="C43" s="999" t="s">
        <v>86</v>
      </c>
      <c r="D43" s="988">
        <v>94</v>
      </c>
      <c r="E43" s="988">
        <v>75</v>
      </c>
      <c r="F43" s="988">
        <v>8</v>
      </c>
      <c r="G43" s="1006"/>
      <c r="H43" s="989">
        <f t="shared" si="0"/>
        <v>0.7978723404255319</v>
      </c>
      <c r="I43" s="989">
        <f t="shared" si="1"/>
        <v>8.5106382978723402E-2</v>
      </c>
    </row>
    <row r="44" spans="2:9">
      <c r="B44" s="990" t="s">
        <v>87</v>
      </c>
      <c r="C44" s="999" t="s">
        <v>88</v>
      </c>
      <c r="D44" s="988">
        <v>27</v>
      </c>
      <c r="E44" s="988">
        <v>19</v>
      </c>
      <c r="F44" s="988">
        <v>3</v>
      </c>
      <c r="G44" s="1006"/>
      <c r="H44" s="989">
        <f t="shared" si="0"/>
        <v>0.70370370370370372</v>
      </c>
      <c r="I44" s="989">
        <f t="shared" si="1"/>
        <v>0.1111111111111111</v>
      </c>
    </row>
    <row r="45" spans="2:9">
      <c r="B45" s="990" t="s">
        <v>89</v>
      </c>
      <c r="C45" s="999" t="s">
        <v>90</v>
      </c>
      <c r="D45" s="988">
        <v>35</v>
      </c>
      <c r="E45" s="988">
        <v>13</v>
      </c>
      <c r="F45" s="988">
        <v>17</v>
      </c>
      <c r="G45" s="1006"/>
      <c r="H45" s="989">
        <f t="shared" si="0"/>
        <v>0.37142857142857144</v>
      </c>
      <c r="I45" s="989">
        <f t="shared" si="1"/>
        <v>0.48571428571428571</v>
      </c>
    </row>
    <row r="46" spans="2:9">
      <c r="B46" s="991" t="s">
        <v>91</v>
      </c>
      <c r="C46" s="999" t="s">
        <v>92</v>
      </c>
      <c r="D46" s="988">
        <v>4</v>
      </c>
      <c r="E46" s="988">
        <v>4</v>
      </c>
      <c r="F46" s="988">
        <v>0</v>
      </c>
      <c r="G46" s="1006"/>
      <c r="H46" s="989">
        <f t="shared" si="0"/>
        <v>1</v>
      </c>
      <c r="I46" s="989">
        <f t="shared" si="1"/>
        <v>0</v>
      </c>
    </row>
    <row r="47" spans="2:9">
      <c r="B47" s="991" t="s">
        <v>93</v>
      </c>
      <c r="C47" s="999" t="s">
        <v>94</v>
      </c>
      <c r="D47" s="988">
        <v>27</v>
      </c>
      <c r="E47" s="988">
        <v>27</v>
      </c>
      <c r="F47" s="988">
        <v>0</v>
      </c>
      <c r="G47" s="1006"/>
      <c r="H47" s="989">
        <f t="shared" si="0"/>
        <v>1</v>
      </c>
      <c r="I47" s="989">
        <f t="shared" si="1"/>
        <v>0</v>
      </c>
    </row>
    <row r="48" spans="2:9">
      <c r="B48" s="990" t="s">
        <v>95</v>
      </c>
      <c r="C48" s="999" t="s">
        <v>96</v>
      </c>
      <c r="D48" s="988">
        <v>28</v>
      </c>
      <c r="E48" s="988">
        <v>25</v>
      </c>
      <c r="F48" s="988">
        <v>1</v>
      </c>
      <c r="G48" s="1006"/>
      <c r="H48" s="989">
        <f t="shared" si="0"/>
        <v>0.8928571428571429</v>
      </c>
      <c r="I48" s="989">
        <f t="shared" si="1"/>
        <v>3.5714285714285712E-2</v>
      </c>
    </row>
    <row r="49" spans="2:9">
      <c r="B49" s="990" t="s">
        <v>97</v>
      </c>
      <c r="C49" s="999" t="s">
        <v>98</v>
      </c>
      <c r="D49" s="988">
        <v>21</v>
      </c>
      <c r="E49" s="988">
        <v>11</v>
      </c>
      <c r="F49" s="988">
        <v>6</v>
      </c>
      <c r="G49" s="1006"/>
      <c r="H49" s="989">
        <f t="shared" si="0"/>
        <v>0.52380952380952384</v>
      </c>
      <c r="I49" s="989">
        <f t="shared" si="1"/>
        <v>0.2857142857142857</v>
      </c>
    </row>
    <row r="50" spans="2:9">
      <c r="B50" s="990" t="s">
        <v>99</v>
      </c>
      <c r="C50" s="999" t="s">
        <v>100</v>
      </c>
      <c r="D50" s="988">
        <v>25</v>
      </c>
      <c r="E50" s="988">
        <v>22</v>
      </c>
      <c r="F50" s="988">
        <v>3</v>
      </c>
      <c r="G50" s="1006"/>
      <c r="H50" s="989">
        <f t="shared" si="0"/>
        <v>0.88</v>
      </c>
      <c r="I50" s="989">
        <f t="shared" si="1"/>
        <v>0.12</v>
      </c>
    </row>
    <row r="51" spans="2:9">
      <c r="B51" s="990" t="s">
        <v>101</v>
      </c>
      <c r="C51" s="999" t="s">
        <v>102</v>
      </c>
      <c r="D51" s="988">
        <v>6</v>
      </c>
      <c r="E51" s="988">
        <v>4</v>
      </c>
      <c r="F51" s="988">
        <v>0</v>
      </c>
      <c r="G51" s="1006"/>
      <c r="H51" s="989">
        <f t="shared" si="0"/>
        <v>0.66666666666666663</v>
      </c>
      <c r="I51" s="989">
        <f t="shared" si="1"/>
        <v>0</v>
      </c>
    </row>
    <row r="52" spans="2:9">
      <c r="B52" s="990" t="s">
        <v>103</v>
      </c>
      <c r="C52" s="999" t="s">
        <v>329</v>
      </c>
      <c r="D52" s="988">
        <v>10</v>
      </c>
      <c r="E52" s="988">
        <v>3</v>
      </c>
      <c r="F52" s="988">
        <v>5</v>
      </c>
      <c r="G52" s="1006"/>
      <c r="H52" s="989">
        <f t="shared" si="0"/>
        <v>0.3</v>
      </c>
      <c r="I52" s="989">
        <f t="shared" si="1"/>
        <v>0.5</v>
      </c>
    </row>
    <row r="53" spans="2:9">
      <c r="B53" s="990" t="s">
        <v>105</v>
      </c>
      <c r="C53" s="999" t="s">
        <v>106</v>
      </c>
      <c r="D53" s="988">
        <v>48</v>
      </c>
      <c r="E53" s="988">
        <v>20</v>
      </c>
      <c r="F53" s="988">
        <v>26</v>
      </c>
      <c r="G53" s="1006"/>
      <c r="H53" s="989">
        <f t="shared" si="0"/>
        <v>0.41666666666666669</v>
      </c>
      <c r="I53" s="989">
        <f t="shared" si="1"/>
        <v>0.54166666666666663</v>
      </c>
    </row>
    <row r="54" spans="2:9">
      <c r="B54" s="990" t="s">
        <v>107</v>
      </c>
      <c r="C54" s="999" t="s">
        <v>108</v>
      </c>
      <c r="D54" s="988">
        <v>46</v>
      </c>
      <c r="E54" s="988">
        <v>12</v>
      </c>
      <c r="F54" s="988">
        <v>33</v>
      </c>
      <c r="G54" s="1006"/>
      <c r="H54" s="989">
        <f t="shared" si="0"/>
        <v>0.2608695652173913</v>
      </c>
      <c r="I54" s="989">
        <f t="shared" si="1"/>
        <v>0.71739130434782605</v>
      </c>
    </row>
    <row r="55" spans="2:9">
      <c r="B55" s="990" t="s">
        <v>109</v>
      </c>
      <c r="C55" s="999" t="s">
        <v>110</v>
      </c>
      <c r="D55" s="988">
        <v>31</v>
      </c>
      <c r="E55" s="988">
        <v>24</v>
      </c>
      <c r="F55" s="988">
        <v>6</v>
      </c>
      <c r="G55" s="1006"/>
      <c r="H55" s="989">
        <f t="shared" si="0"/>
        <v>0.77419354838709675</v>
      </c>
      <c r="I55" s="989">
        <f t="shared" si="1"/>
        <v>0.19354838709677419</v>
      </c>
    </row>
    <row r="56" spans="2:9">
      <c r="B56" s="990" t="s">
        <v>111</v>
      </c>
      <c r="C56" s="999" t="s">
        <v>112</v>
      </c>
      <c r="D56" s="988">
        <v>91</v>
      </c>
      <c r="E56" s="988">
        <v>33</v>
      </c>
      <c r="F56" s="988">
        <v>51</v>
      </c>
      <c r="G56" s="1006"/>
      <c r="H56" s="989">
        <f t="shared" si="0"/>
        <v>0.36263736263736263</v>
      </c>
      <c r="I56" s="989">
        <f t="shared" si="1"/>
        <v>0.56043956043956045</v>
      </c>
    </row>
    <row r="57" spans="2:9">
      <c r="B57" s="990" t="s">
        <v>113</v>
      </c>
      <c r="C57" s="999" t="s">
        <v>114</v>
      </c>
      <c r="D57" s="988">
        <v>36</v>
      </c>
      <c r="E57" s="988">
        <v>22</v>
      </c>
      <c r="F57" s="988">
        <v>8</v>
      </c>
      <c r="G57" s="1006"/>
      <c r="H57" s="989">
        <f t="shared" si="0"/>
        <v>0.61111111111111116</v>
      </c>
      <c r="I57" s="989">
        <f t="shared" si="1"/>
        <v>0.22222222222222221</v>
      </c>
    </row>
    <row r="58" spans="2:9">
      <c r="B58" s="991" t="s">
        <v>115</v>
      </c>
      <c r="C58" s="999" t="s">
        <v>116</v>
      </c>
      <c r="D58" s="988">
        <v>5</v>
      </c>
      <c r="E58" s="988">
        <v>5</v>
      </c>
      <c r="F58" s="988">
        <v>0</v>
      </c>
      <c r="G58" s="1006"/>
      <c r="H58" s="989">
        <f t="shared" si="0"/>
        <v>1</v>
      </c>
      <c r="I58" s="989">
        <f t="shared" si="1"/>
        <v>0</v>
      </c>
    </row>
    <row r="59" spans="2:9">
      <c r="B59" s="990" t="s">
        <v>117</v>
      </c>
      <c r="C59" s="999" t="s">
        <v>118</v>
      </c>
      <c r="D59" s="988">
        <v>46</v>
      </c>
      <c r="E59" s="988">
        <v>15</v>
      </c>
      <c r="F59" s="988">
        <v>29</v>
      </c>
      <c r="G59" s="1006"/>
      <c r="H59" s="989">
        <f t="shared" si="0"/>
        <v>0.32608695652173914</v>
      </c>
      <c r="I59" s="989">
        <f t="shared" si="1"/>
        <v>0.63043478260869568</v>
      </c>
    </row>
    <row r="60" spans="2:9">
      <c r="B60" s="990" t="s">
        <v>119</v>
      </c>
      <c r="C60" s="999" t="s">
        <v>120</v>
      </c>
      <c r="D60" s="988">
        <v>15</v>
      </c>
      <c r="E60" s="988">
        <v>5</v>
      </c>
      <c r="F60" s="988">
        <v>9</v>
      </c>
      <c r="G60" s="1006"/>
      <c r="H60" s="989">
        <f t="shared" si="0"/>
        <v>0.33333333333333331</v>
      </c>
      <c r="I60" s="989">
        <f t="shared" si="1"/>
        <v>0.6</v>
      </c>
    </row>
    <row r="61" spans="2:9">
      <c r="B61" s="990" t="s">
        <v>121</v>
      </c>
      <c r="C61" s="999" t="s">
        <v>122</v>
      </c>
      <c r="D61" s="988">
        <v>28</v>
      </c>
      <c r="E61" s="988">
        <v>18</v>
      </c>
      <c r="F61" s="988">
        <v>6</v>
      </c>
      <c r="G61" s="1006"/>
      <c r="H61" s="989">
        <f t="shared" si="0"/>
        <v>0.6428571428571429</v>
      </c>
      <c r="I61" s="989">
        <f t="shared" si="1"/>
        <v>0.21428571428571427</v>
      </c>
    </row>
    <row r="62" spans="2:9">
      <c r="B62" s="990" t="s">
        <v>123</v>
      </c>
      <c r="C62" s="999" t="s">
        <v>124</v>
      </c>
      <c r="D62" s="988">
        <v>10</v>
      </c>
      <c r="E62" s="988">
        <v>6</v>
      </c>
      <c r="F62" s="988">
        <v>4</v>
      </c>
      <c r="G62" s="1006"/>
      <c r="H62" s="989">
        <f t="shared" si="0"/>
        <v>0.6</v>
      </c>
      <c r="I62" s="989">
        <f t="shared" si="1"/>
        <v>0.4</v>
      </c>
    </row>
    <row r="63" spans="2:9">
      <c r="B63" s="990" t="s">
        <v>125</v>
      </c>
      <c r="C63" s="999" t="s">
        <v>126</v>
      </c>
      <c r="D63" s="988">
        <v>20</v>
      </c>
      <c r="E63" s="988">
        <v>14</v>
      </c>
      <c r="F63" s="988">
        <v>6</v>
      </c>
      <c r="G63" s="1006"/>
      <c r="H63" s="989">
        <f t="shared" si="0"/>
        <v>0.7</v>
      </c>
      <c r="I63" s="989">
        <f t="shared" si="1"/>
        <v>0.3</v>
      </c>
    </row>
    <row r="64" spans="2:9">
      <c r="B64" s="990" t="s">
        <v>127</v>
      </c>
      <c r="C64" s="999" t="s">
        <v>128</v>
      </c>
      <c r="D64" s="988">
        <v>2</v>
      </c>
      <c r="E64" s="988">
        <v>0</v>
      </c>
      <c r="F64" s="988">
        <v>2</v>
      </c>
      <c r="G64" s="1006"/>
      <c r="H64" s="989">
        <f t="shared" si="0"/>
        <v>0</v>
      </c>
      <c r="I64" s="989">
        <f t="shared" si="1"/>
        <v>1</v>
      </c>
    </row>
    <row r="65" spans="2:9">
      <c r="B65" s="990" t="s">
        <v>129</v>
      </c>
      <c r="C65" s="999" t="s">
        <v>130</v>
      </c>
      <c r="D65" s="988">
        <v>12</v>
      </c>
      <c r="E65" s="988">
        <v>5</v>
      </c>
      <c r="F65" s="988">
        <v>7</v>
      </c>
      <c r="G65" s="1006"/>
      <c r="H65" s="989">
        <f t="shared" si="0"/>
        <v>0.41666666666666669</v>
      </c>
      <c r="I65" s="989">
        <f t="shared" si="1"/>
        <v>0.58333333333333337</v>
      </c>
    </row>
    <row r="66" spans="2:9">
      <c r="B66" s="991" t="s">
        <v>131</v>
      </c>
      <c r="C66" s="999" t="s">
        <v>132</v>
      </c>
      <c r="D66" s="988">
        <v>40</v>
      </c>
      <c r="E66" s="988">
        <v>40</v>
      </c>
      <c r="F66" s="988">
        <v>0</v>
      </c>
      <c r="G66" s="1006"/>
      <c r="H66" s="989">
        <f t="shared" si="0"/>
        <v>1</v>
      </c>
      <c r="I66" s="989">
        <f t="shared" si="1"/>
        <v>0</v>
      </c>
    </row>
    <row r="67" spans="2:9">
      <c r="B67" s="990" t="s">
        <v>133</v>
      </c>
      <c r="C67" s="999" t="s">
        <v>134</v>
      </c>
      <c r="D67" s="988">
        <v>81</v>
      </c>
      <c r="E67" s="988">
        <v>42</v>
      </c>
      <c r="F67" s="988">
        <v>22</v>
      </c>
      <c r="G67" s="1006"/>
      <c r="H67" s="989">
        <f t="shared" si="0"/>
        <v>0.51851851851851849</v>
      </c>
      <c r="I67" s="989">
        <f t="shared" si="1"/>
        <v>0.27160493827160492</v>
      </c>
    </row>
    <row r="68" spans="2:9">
      <c r="B68" s="990" t="s">
        <v>135</v>
      </c>
      <c r="C68" s="999" t="s">
        <v>136</v>
      </c>
      <c r="D68" s="988">
        <v>58</v>
      </c>
      <c r="E68" s="988">
        <v>41</v>
      </c>
      <c r="F68" s="988">
        <v>13</v>
      </c>
      <c r="G68" s="1006"/>
      <c r="H68" s="989">
        <f t="shared" si="0"/>
        <v>0.7068965517241379</v>
      </c>
      <c r="I68" s="989">
        <f t="shared" si="1"/>
        <v>0.22413793103448276</v>
      </c>
    </row>
    <row r="69" spans="2:9">
      <c r="B69" s="990" t="s">
        <v>137</v>
      </c>
      <c r="C69" s="999" t="s">
        <v>138</v>
      </c>
      <c r="D69" s="988">
        <v>18</v>
      </c>
      <c r="E69" s="988">
        <v>3</v>
      </c>
      <c r="F69" s="988">
        <v>14</v>
      </c>
      <c r="G69" s="1006"/>
      <c r="H69" s="989">
        <f t="shared" ref="H69:H112" si="2">+E69/D69</f>
        <v>0.16666666666666666</v>
      </c>
      <c r="I69" s="989">
        <f t="shared" ref="I69:I112" si="3">+F69/D69</f>
        <v>0.77777777777777779</v>
      </c>
    </row>
    <row r="70" spans="2:9">
      <c r="B70" s="990" t="s">
        <v>139</v>
      </c>
      <c r="C70" s="999" t="s">
        <v>140</v>
      </c>
      <c r="D70" s="988">
        <v>138</v>
      </c>
      <c r="E70" s="988">
        <v>38</v>
      </c>
      <c r="F70" s="988">
        <v>84</v>
      </c>
      <c r="G70" s="1006"/>
      <c r="H70" s="989">
        <f t="shared" si="2"/>
        <v>0.27536231884057971</v>
      </c>
      <c r="I70" s="989">
        <f t="shared" si="3"/>
        <v>0.60869565217391308</v>
      </c>
    </row>
    <row r="71" spans="2:9">
      <c r="B71" s="990" t="s">
        <v>141</v>
      </c>
      <c r="C71" s="999" t="s">
        <v>142</v>
      </c>
      <c r="D71" s="988">
        <v>11</v>
      </c>
      <c r="E71" s="988">
        <v>9</v>
      </c>
      <c r="F71" s="988">
        <v>2</v>
      </c>
      <c r="G71" s="1006"/>
      <c r="H71" s="989">
        <f t="shared" si="2"/>
        <v>0.81818181818181823</v>
      </c>
      <c r="I71" s="989">
        <f t="shared" si="3"/>
        <v>0.18181818181818182</v>
      </c>
    </row>
    <row r="72" spans="2:9">
      <c r="B72" s="990" t="s">
        <v>143</v>
      </c>
      <c r="C72" s="999" t="s">
        <v>144</v>
      </c>
      <c r="D72" s="988">
        <v>8</v>
      </c>
      <c r="E72" s="988">
        <v>4</v>
      </c>
      <c r="F72" s="988">
        <v>3</v>
      </c>
      <c r="G72" s="1006"/>
      <c r="H72" s="989">
        <f t="shared" si="2"/>
        <v>0.5</v>
      </c>
      <c r="I72" s="989">
        <f t="shared" si="3"/>
        <v>0.375</v>
      </c>
    </row>
    <row r="73" spans="2:9">
      <c r="B73" s="991" t="s">
        <v>145</v>
      </c>
      <c r="C73" s="999" t="s">
        <v>146</v>
      </c>
      <c r="D73" s="988">
        <v>3</v>
      </c>
      <c r="E73" s="988">
        <v>3</v>
      </c>
      <c r="F73" s="988">
        <v>0</v>
      </c>
      <c r="G73" s="1006"/>
      <c r="H73" s="989">
        <f t="shared" si="2"/>
        <v>1</v>
      </c>
      <c r="I73" s="989">
        <f t="shared" si="3"/>
        <v>0</v>
      </c>
    </row>
    <row r="74" spans="2:9">
      <c r="B74" s="990" t="s">
        <v>147</v>
      </c>
      <c r="C74" s="999" t="s">
        <v>148</v>
      </c>
      <c r="D74" s="988">
        <v>11</v>
      </c>
      <c r="E74" s="988">
        <v>9</v>
      </c>
      <c r="F74" s="988">
        <v>0</v>
      </c>
      <c r="G74" s="1006"/>
      <c r="H74" s="989">
        <f t="shared" si="2"/>
        <v>0.81818181818181823</v>
      </c>
      <c r="I74" s="989">
        <f t="shared" si="3"/>
        <v>0</v>
      </c>
    </row>
    <row r="75" spans="2:9">
      <c r="B75" s="990" t="s">
        <v>149</v>
      </c>
      <c r="C75" s="999" t="s">
        <v>150</v>
      </c>
      <c r="D75" s="988">
        <v>27</v>
      </c>
      <c r="E75" s="988">
        <v>16</v>
      </c>
      <c r="F75" s="988">
        <v>10</v>
      </c>
      <c r="G75" s="1006"/>
      <c r="H75" s="989">
        <f t="shared" si="2"/>
        <v>0.59259259259259256</v>
      </c>
      <c r="I75" s="989">
        <f t="shared" si="3"/>
        <v>0.37037037037037035</v>
      </c>
    </row>
    <row r="76" spans="2:9">
      <c r="B76" s="990" t="s">
        <v>151</v>
      </c>
      <c r="C76" s="999" t="s">
        <v>152</v>
      </c>
      <c r="D76" s="988">
        <v>14</v>
      </c>
      <c r="E76" s="988">
        <v>4</v>
      </c>
      <c r="F76" s="988">
        <v>5</v>
      </c>
      <c r="G76" s="1006"/>
      <c r="H76" s="989">
        <f t="shared" si="2"/>
        <v>0.2857142857142857</v>
      </c>
      <c r="I76" s="989">
        <f t="shared" si="3"/>
        <v>0.35714285714285715</v>
      </c>
    </row>
    <row r="77" spans="2:9">
      <c r="B77" s="990" t="s">
        <v>153</v>
      </c>
      <c r="C77" s="999" t="s">
        <v>154</v>
      </c>
      <c r="D77" s="988">
        <v>62</v>
      </c>
      <c r="E77" s="988">
        <v>49</v>
      </c>
      <c r="F77" s="988">
        <v>7</v>
      </c>
      <c r="G77" s="1006"/>
      <c r="H77" s="989">
        <f t="shared" si="2"/>
        <v>0.79032258064516125</v>
      </c>
      <c r="I77" s="989">
        <f t="shared" si="3"/>
        <v>0.11290322580645161</v>
      </c>
    </row>
    <row r="78" spans="2:9">
      <c r="B78" s="990" t="s">
        <v>155</v>
      </c>
      <c r="C78" s="999" t="s">
        <v>156</v>
      </c>
      <c r="D78" s="988">
        <v>10</v>
      </c>
      <c r="E78" s="988">
        <v>9</v>
      </c>
      <c r="F78" s="988">
        <v>0</v>
      </c>
      <c r="G78" s="1006"/>
      <c r="H78" s="989">
        <f t="shared" si="2"/>
        <v>0.9</v>
      </c>
      <c r="I78" s="989">
        <f t="shared" si="3"/>
        <v>0</v>
      </c>
    </row>
    <row r="79" spans="2:9">
      <c r="B79" s="991" t="s">
        <v>157</v>
      </c>
      <c r="C79" s="999" t="s">
        <v>158</v>
      </c>
      <c r="D79" s="988">
        <v>10</v>
      </c>
      <c r="E79" s="988">
        <v>10</v>
      </c>
      <c r="F79" s="988">
        <v>0</v>
      </c>
      <c r="G79" s="1006"/>
      <c r="H79" s="989">
        <f t="shared" si="2"/>
        <v>1</v>
      </c>
      <c r="I79" s="989">
        <f t="shared" si="3"/>
        <v>0</v>
      </c>
    </row>
    <row r="80" spans="2:9">
      <c r="B80" s="990" t="s">
        <v>159</v>
      </c>
      <c r="C80" s="999" t="s">
        <v>160</v>
      </c>
      <c r="D80" s="988">
        <v>167</v>
      </c>
      <c r="E80" s="988">
        <v>30</v>
      </c>
      <c r="F80" s="988">
        <v>127</v>
      </c>
      <c r="G80" s="1006"/>
      <c r="H80" s="989">
        <f t="shared" si="2"/>
        <v>0.17964071856287425</v>
      </c>
      <c r="I80" s="989">
        <f t="shared" si="3"/>
        <v>0.76047904191616766</v>
      </c>
    </row>
    <row r="81" spans="2:9">
      <c r="B81" s="990" t="s">
        <v>161</v>
      </c>
      <c r="C81" s="999" t="s">
        <v>162</v>
      </c>
      <c r="D81" s="988">
        <v>255</v>
      </c>
      <c r="E81" s="988">
        <v>43</v>
      </c>
      <c r="F81" s="988">
        <v>195</v>
      </c>
      <c r="G81" s="1006"/>
      <c r="H81" s="989">
        <f t="shared" si="2"/>
        <v>0.16862745098039217</v>
      </c>
      <c r="I81" s="989">
        <f t="shared" si="3"/>
        <v>0.76470588235294112</v>
      </c>
    </row>
    <row r="82" spans="2:9">
      <c r="B82" s="990" t="s">
        <v>163</v>
      </c>
      <c r="C82" s="999" t="s">
        <v>164</v>
      </c>
      <c r="D82" s="988">
        <v>13</v>
      </c>
      <c r="E82" s="988">
        <v>1</v>
      </c>
      <c r="F82" s="988">
        <v>12</v>
      </c>
      <c r="G82" s="1006"/>
      <c r="H82" s="989">
        <f t="shared" si="2"/>
        <v>7.6923076923076927E-2</v>
      </c>
      <c r="I82" s="989">
        <f t="shared" si="3"/>
        <v>0.92307692307692313</v>
      </c>
    </row>
    <row r="83" spans="2:9">
      <c r="B83" s="990" t="s">
        <v>165</v>
      </c>
      <c r="C83" s="999" t="s">
        <v>166</v>
      </c>
      <c r="D83" s="988">
        <v>12</v>
      </c>
      <c r="E83" s="988">
        <v>11</v>
      </c>
      <c r="F83" s="988">
        <v>1</v>
      </c>
      <c r="G83" s="1006"/>
      <c r="H83" s="989">
        <f t="shared" si="2"/>
        <v>0.91666666666666663</v>
      </c>
      <c r="I83" s="989">
        <f t="shared" si="3"/>
        <v>8.3333333333333329E-2</v>
      </c>
    </row>
    <row r="84" spans="2:9">
      <c r="B84" s="990" t="s">
        <v>167</v>
      </c>
      <c r="C84" s="999" t="s">
        <v>168</v>
      </c>
      <c r="D84" s="988">
        <v>11</v>
      </c>
      <c r="E84" s="988">
        <v>10</v>
      </c>
      <c r="F84" s="988">
        <v>0</v>
      </c>
      <c r="G84" s="1006"/>
      <c r="H84" s="989">
        <f t="shared" si="2"/>
        <v>0.90909090909090906</v>
      </c>
      <c r="I84" s="989">
        <f t="shared" si="3"/>
        <v>0</v>
      </c>
    </row>
    <row r="85" spans="2:9">
      <c r="B85" s="990" t="s">
        <v>169</v>
      </c>
      <c r="C85" s="999" t="s">
        <v>170</v>
      </c>
      <c r="D85" s="988">
        <v>12</v>
      </c>
      <c r="E85" s="988">
        <v>3</v>
      </c>
      <c r="F85" s="988">
        <v>9</v>
      </c>
      <c r="G85" s="1006"/>
      <c r="H85" s="989">
        <f t="shared" si="2"/>
        <v>0.25</v>
      </c>
      <c r="I85" s="989">
        <f t="shared" si="3"/>
        <v>0.75</v>
      </c>
    </row>
    <row r="86" spans="2:9">
      <c r="B86" s="990" t="s">
        <v>171</v>
      </c>
      <c r="C86" s="999" t="s">
        <v>172</v>
      </c>
      <c r="D86" s="988">
        <v>32</v>
      </c>
      <c r="E86" s="988">
        <v>29</v>
      </c>
      <c r="F86" s="988">
        <v>2</v>
      </c>
      <c r="G86" s="1006"/>
      <c r="H86" s="989">
        <f t="shared" si="2"/>
        <v>0.90625</v>
      </c>
      <c r="I86" s="989">
        <f t="shared" si="3"/>
        <v>6.25E-2</v>
      </c>
    </row>
    <row r="87" spans="2:9">
      <c r="B87" s="991" t="s">
        <v>173</v>
      </c>
      <c r="C87" s="999" t="s">
        <v>174</v>
      </c>
      <c r="D87" s="988">
        <v>6</v>
      </c>
      <c r="E87" s="988">
        <v>6</v>
      </c>
      <c r="F87" s="988">
        <v>0</v>
      </c>
      <c r="G87" s="1006"/>
      <c r="H87" s="989">
        <f t="shared" si="2"/>
        <v>1</v>
      </c>
      <c r="I87" s="989">
        <f t="shared" si="3"/>
        <v>0</v>
      </c>
    </row>
    <row r="88" spans="2:9">
      <c r="B88" s="991" t="s">
        <v>175</v>
      </c>
      <c r="C88" s="999" t="s">
        <v>176</v>
      </c>
      <c r="D88" s="988">
        <v>4</v>
      </c>
      <c r="E88" s="988">
        <v>4</v>
      </c>
      <c r="F88" s="988">
        <v>0</v>
      </c>
      <c r="G88" s="1006"/>
      <c r="H88" s="989">
        <f t="shared" si="2"/>
        <v>1</v>
      </c>
      <c r="I88" s="989">
        <f t="shared" si="3"/>
        <v>0</v>
      </c>
    </row>
    <row r="89" spans="2:9">
      <c r="B89" s="990" t="s">
        <v>177</v>
      </c>
      <c r="C89" s="999" t="s">
        <v>178</v>
      </c>
      <c r="D89" s="988">
        <v>72</v>
      </c>
      <c r="E89" s="988">
        <v>13</v>
      </c>
      <c r="F89" s="988">
        <v>51</v>
      </c>
      <c r="G89" s="1006"/>
      <c r="H89" s="989">
        <f t="shared" si="2"/>
        <v>0.18055555555555555</v>
      </c>
      <c r="I89" s="989">
        <f t="shared" si="3"/>
        <v>0.70833333333333337</v>
      </c>
    </row>
    <row r="90" spans="2:9">
      <c r="B90" s="990" t="s">
        <v>179</v>
      </c>
      <c r="C90" s="999" t="s">
        <v>180</v>
      </c>
      <c r="D90" s="988">
        <v>11</v>
      </c>
      <c r="E90" s="988">
        <v>5</v>
      </c>
      <c r="F90" s="988">
        <v>6</v>
      </c>
      <c r="G90" s="1006"/>
      <c r="H90" s="989">
        <f t="shared" si="2"/>
        <v>0.45454545454545453</v>
      </c>
      <c r="I90" s="989">
        <f t="shared" si="3"/>
        <v>0.54545454545454541</v>
      </c>
    </row>
    <row r="91" spans="2:9">
      <c r="B91" s="990" t="s">
        <v>181</v>
      </c>
      <c r="C91" s="999" t="s">
        <v>182</v>
      </c>
      <c r="D91" s="988">
        <v>160</v>
      </c>
      <c r="E91" s="988">
        <v>20</v>
      </c>
      <c r="F91" s="988">
        <v>139</v>
      </c>
      <c r="G91" s="1006"/>
      <c r="H91" s="989">
        <f t="shared" si="2"/>
        <v>0.125</v>
      </c>
      <c r="I91" s="989">
        <f t="shared" si="3"/>
        <v>0.86875000000000002</v>
      </c>
    </row>
    <row r="92" spans="2:9">
      <c r="B92" s="990" t="s">
        <v>183</v>
      </c>
      <c r="C92" s="999" t="s">
        <v>184</v>
      </c>
      <c r="D92" s="988">
        <v>13</v>
      </c>
      <c r="E92" s="988">
        <v>10</v>
      </c>
      <c r="F92" s="988">
        <v>1</v>
      </c>
      <c r="G92" s="1006"/>
      <c r="H92" s="989">
        <f t="shared" si="2"/>
        <v>0.76923076923076927</v>
      </c>
      <c r="I92" s="989">
        <f t="shared" si="3"/>
        <v>7.6923076923076927E-2</v>
      </c>
    </row>
    <row r="93" spans="2:9">
      <c r="B93" s="990" t="s">
        <v>185</v>
      </c>
      <c r="C93" s="999" t="s">
        <v>186</v>
      </c>
      <c r="D93" s="988">
        <v>14</v>
      </c>
      <c r="E93" s="988">
        <v>4</v>
      </c>
      <c r="F93" s="988">
        <v>10</v>
      </c>
      <c r="G93" s="1006"/>
      <c r="H93" s="989">
        <f t="shared" si="2"/>
        <v>0.2857142857142857</v>
      </c>
      <c r="I93" s="989">
        <f t="shared" si="3"/>
        <v>0.7142857142857143</v>
      </c>
    </row>
    <row r="94" spans="2:9">
      <c r="B94" s="990" t="s">
        <v>187</v>
      </c>
      <c r="C94" s="999" t="s">
        <v>188</v>
      </c>
      <c r="D94" s="988">
        <v>19</v>
      </c>
      <c r="E94" s="988">
        <v>17</v>
      </c>
      <c r="F94" s="988">
        <v>2</v>
      </c>
      <c r="G94" s="1006"/>
      <c r="H94" s="989">
        <f t="shared" si="2"/>
        <v>0.89473684210526316</v>
      </c>
      <c r="I94" s="989">
        <f t="shared" si="3"/>
        <v>0.10526315789473684</v>
      </c>
    </row>
    <row r="95" spans="2:9">
      <c r="B95" s="990" t="s">
        <v>189</v>
      </c>
      <c r="C95" s="999" t="s">
        <v>190</v>
      </c>
      <c r="D95" s="988">
        <v>108</v>
      </c>
      <c r="E95" s="988">
        <v>30</v>
      </c>
      <c r="F95" s="988">
        <v>72</v>
      </c>
      <c r="G95" s="1006"/>
      <c r="H95" s="989">
        <f t="shared" si="2"/>
        <v>0.27777777777777779</v>
      </c>
      <c r="I95" s="989">
        <f t="shared" si="3"/>
        <v>0.66666666666666663</v>
      </c>
    </row>
    <row r="96" spans="2:9">
      <c r="B96" s="990" t="s">
        <v>191</v>
      </c>
      <c r="C96" s="999" t="s">
        <v>192</v>
      </c>
      <c r="D96" s="988">
        <v>75</v>
      </c>
      <c r="E96" s="988">
        <v>61</v>
      </c>
      <c r="F96" s="988">
        <v>7</v>
      </c>
      <c r="G96" s="1006"/>
      <c r="H96" s="989">
        <f t="shared" si="2"/>
        <v>0.81333333333333335</v>
      </c>
      <c r="I96" s="989">
        <f t="shared" si="3"/>
        <v>9.3333333333333338E-2</v>
      </c>
    </row>
    <row r="97" spans="2:9">
      <c r="B97" s="990" t="s">
        <v>193</v>
      </c>
      <c r="C97" s="999" t="s">
        <v>194</v>
      </c>
      <c r="D97" s="988">
        <v>19</v>
      </c>
      <c r="E97" s="988">
        <v>16</v>
      </c>
      <c r="F97" s="988">
        <v>2</v>
      </c>
      <c r="G97" s="1006"/>
      <c r="H97" s="989">
        <f t="shared" si="2"/>
        <v>0.84210526315789469</v>
      </c>
      <c r="I97" s="989">
        <f t="shared" si="3"/>
        <v>0.10526315789473684</v>
      </c>
    </row>
    <row r="98" spans="2:9">
      <c r="B98" s="990" t="s">
        <v>195</v>
      </c>
      <c r="C98" s="999" t="s">
        <v>196</v>
      </c>
      <c r="D98" s="988">
        <v>21</v>
      </c>
      <c r="E98" s="988">
        <v>11</v>
      </c>
      <c r="F98" s="988">
        <v>2</v>
      </c>
      <c r="G98" s="1006"/>
      <c r="H98" s="989">
        <f t="shared" si="2"/>
        <v>0.52380952380952384</v>
      </c>
      <c r="I98" s="989">
        <f t="shared" si="3"/>
        <v>9.5238095238095233E-2</v>
      </c>
    </row>
    <row r="99" spans="2:9">
      <c r="B99" s="990" t="s">
        <v>197</v>
      </c>
      <c r="C99" s="999" t="s">
        <v>198</v>
      </c>
      <c r="D99" s="988">
        <v>303</v>
      </c>
      <c r="E99" s="988">
        <v>19</v>
      </c>
      <c r="F99" s="988">
        <v>266</v>
      </c>
      <c r="G99" s="1006"/>
      <c r="H99" s="989">
        <f t="shared" si="2"/>
        <v>6.2706270627062702E-2</v>
      </c>
      <c r="I99" s="989">
        <f t="shared" si="3"/>
        <v>0.87788778877887785</v>
      </c>
    </row>
    <row r="100" spans="2:9">
      <c r="B100" s="990" t="s">
        <v>199</v>
      </c>
      <c r="C100" s="999" t="s">
        <v>285</v>
      </c>
      <c r="D100" s="988">
        <v>9</v>
      </c>
      <c r="E100" s="988">
        <v>3</v>
      </c>
      <c r="F100" s="988">
        <v>4</v>
      </c>
      <c r="G100" s="1006"/>
      <c r="H100" s="989">
        <f t="shared" si="2"/>
        <v>0.33333333333333331</v>
      </c>
      <c r="I100" s="989">
        <f t="shared" si="3"/>
        <v>0.44444444444444442</v>
      </c>
    </row>
    <row r="101" spans="2:9">
      <c r="B101" s="990" t="s">
        <v>201</v>
      </c>
      <c r="C101" s="999" t="s">
        <v>202</v>
      </c>
      <c r="D101" s="988">
        <v>268</v>
      </c>
      <c r="E101" s="988">
        <v>117</v>
      </c>
      <c r="F101" s="988">
        <v>129</v>
      </c>
      <c r="G101" s="1006"/>
      <c r="H101" s="989">
        <f t="shared" si="2"/>
        <v>0.43656716417910446</v>
      </c>
      <c r="I101" s="989">
        <f t="shared" si="3"/>
        <v>0.48134328358208955</v>
      </c>
    </row>
    <row r="102" spans="2:9">
      <c r="B102" s="990" t="s">
        <v>203</v>
      </c>
      <c r="C102" s="999" t="s">
        <v>330</v>
      </c>
      <c r="D102" s="988">
        <v>79</v>
      </c>
      <c r="E102" s="988">
        <v>62</v>
      </c>
      <c r="F102" s="988">
        <v>10</v>
      </c>
      <c r="G102" s="1006"/>
      <c r="H102" s="989">
        <f t="shared" si="2"/>
        <v>0.78481012658227844</v>
      </c>
      <c r="I102" s="989">
        <f t="shared" si="3"/>
        <v>0.12658227848101267</v>
      </c>
    </row>
    <row r="103" spans="2:9">
      <c r="B103" s="990" t="s">
        <v>205</v>
      </c>
      <c r="C103" s="999" t="s">
        <v>331</v>
      </c>
      <c r="D103" s="988">
        <v>16</v>
      </c>
      <c r="E103" s="988">
        <v>15</v>
      </c>
      <c r="F103" s="988">
        <v>1</v>
      </c>
      <c r="G103" s="1006"/>
      <c r="H103" s="989">
        <f t="shared" si="2"/>
        <v>0.9375</v>
      </c>
      <c r="I103" s="989">
        <f t="shared" si="3"/>
        <v>6.25E-2</v>
      </c>
    </row>
    <row r="104" spans="2:9">
      <c r="B104" s="990" t="s">
        <v>207</v>
      </c>
      <c r="C104" s="999" t="s">
        <v>208</v>
      </c>
      <c r="D104" s="988">
        <v>177</v>
      </c>
      <c r="E104" s="988">
        <v>151</v>
      </c>
      <c r="F104" s="988">
        <v>16</v>
      </c>
      <c r="G104" s="1006"/>
      <c r="H104" s="989">
        <f t="shared" si="2"/>
        <v>0.85310734463276838</v>
      </c>
      <c r="I104" s="989">
        <f t="shared" si="3"/>
        <v>9.03954802259887E-2</v>
      </c>
    </row>
    <row r="105" spans="2:9">
      <c r="B105" s="990" t="s">
        <v>209</v>
      </c>
      <c r="C105" s="999" t="s">
        <v>210</v>
      </c>
      <c r="D105" s="988">
        <v>73</v>
      </c>
      <c r="E105" s="988">
        <v>71</v>
      </c>
      <c r="F105" s="988">
        <v>1</v>
      </c>
      <c r="G105" s="1006"/>
      <c r="H105" s="989">
        <f t="shared" si="2"/>
        <v>0.9726027397260274</v>
      </c>
      <c r="I105" s="989">
        <f t="shared" si="3"/>
        <v>1.3698630136986301E-2</v>
      </c>
    </row>
    <row r="106" spans="2:9">
      <c r="B106" s="991" t="s">
        <v>211</v>
      </c>
      <c r="C106" s="999" t="s">
        <v>212</v>
      </c>
      <c r="D106" s="988">
        <v>45</v>
      </c>
      <c r="E106" s="988">
        <v>45</v>
      </c>
      <c r="F106" s="988">
        <v>0</v>
      </c>
      <c r="G106" s="1006"/>
      <c r="H106" s="989">
        <f t="shared" si="2"/>
        <v>1</v>
      </c>
      <c r="I106" s="989">
        <f t="shared" si="3"/>
        <v>0</v>
      </c>
    </row>
    <row r="107" spans="2:9">
      <c r="B107" s="990" t="s">
        <v>213</v>
      </c>
      <c r="C107" s="999" t="s">
        <v>214</v>
      </c>
      <c r="D107" s="988">
        <v>26</v>
      </c>
      <c r="E107" s="988">
        <v>21</v>
      </c>
      <c r="F107" s="988">
        <v>1</v>
      </c>
      <c r="G107" s="1006"/>
      <c r="H107" s="989">
        <f t="shared" si="2"/>
        <v>0.80769230769230771</v>
      </c>
      <c r="I107" s="989">
        <f t="shared" si="3"/>
        <v>3.8461538461538464E-2</v>
      </c>
    </row>
    <row r="108" spans="2:9">
      <c r="B108" s="990" t="s">
        <v>215</v>
      </c>
      <c r="C108" s="999" t="s">
        <v>216</v>
      </c>
      <c r="D108" s="988">
        <v>24</v>
      </c>
      <c r="E108" s="988">
        <v>20</v>
      </c>
      <c r="F108" s="988">
        <v>4</v>
      </c>
      <c r="G108" s="1006"/>
      <c r="H108" s="989">
        <f t="shared" si="2"/>
        <v>0.83333333333333337</v>
      </c>
      <c r="I108" s="989">
        <f t="shared" si="3"/>
        <v>0.16666666666666666</v>
      </c>
    </row>
    <row r="109" spans="2:9">
      <c r="B109" s="990" t="s">
        <v>217</v>
      </c>
      <c r="C109" s="999" t="s">
        <v>218</v>
      </c>
      <c r="D109" s="988">
        <v>7</v>
      </c>
      <c r="E109" s="988">
        <v>3</v>
      </c>
      <c r="F109" s="988">
        <v>4</v>
      </c>
      <c r="G109" s="1006"/>
      <c r="H109" s="989">
        <f t="shared" si="2"/>
        <v>0.42857142857142855</v>
      </c>
      <c r="I109" s="989">
        <f t="shared" si="3"/>
        <v>0.5714285714285714</v>
      </c>
    </row>
    <row r="110" spans="2:9">
      <c r="B110" s="990" t="s">
        <v>219</v>
      </c>
      <c r="C110" s="999" t="s">
        <v>220</v>
      </c>
      <c r="D110" s="988">
        <v>150</v>
      </c>
      <c r="E110" s="988">
        <v>96</v>
      </c>
      <c r="F110" s="988">
        <v>35</v>
      </c>
      <c r="G110" s="1006"/>
      <c r="H110" s="989">
        <f t="shared" si="2"/>
        <v>0.64</v>
      </c>
      <c r="I110" s="989">
        <f t="shared" si="3"/>
        <v>0.23333333333333334</v>
      </c>
    </row>
    <row r="111" spans="2:9">
      <c r="B111" s="990" t="s">
        <v>221</v>
      </c>
      <c r="C111" s="999" t="s">
        <v>222</v>
      </c>
      <c r="D111" s="988">
        <v>62</v>
      </c>
      <c r="E111" s="988">
        <v>38</v>
      </c>
      <c r="F111" s="988">
        <v>21</v>
      </c>
      <c r="G111" s="1006"/>
      <c r="H111" s="989">
        <f t="shared" si="2"/>
        <v>0.61290322580645162</v>
      </c>
      <c r="I111" s="989">
        <f t="shared" si="3"/>
        <v>0.33870967741935482</v>
      </c>
    </row>
    <row r="112" spans="2:9">
      <c r="B112" s="990" t="s">
        <v>223</v>
      </c>
      <c r="C112" s="999" t="s">
        <v>224</v>
      </c>
      <c r="D112" s="988">
        <v>53</v>
      </c>
      <c r="E112" s="988">
        <v>8</v>
      </c>
      <c r="F112" s="988">
        <v>39</v>
      </c>
      <c r="G112" s="1006"/>
      <c r="H112" s="989">
        <f t="shared" si="2"/>
        <v>0.15094339622641509</v>
      </c>
      <c r="I112" s="989">
        <f t="shared" si="3"/>
        <v>0.73584905660377353</v>
      </c>
    </row>
    <row r="113" spans="2:9">
      <c r="B113" s="991" t="s">
        <v>225</v>
      </c>
      <c r="C113" s="999" t="s">
        <v>226</v>
      </c>
      <c r="D113" s="988">
        <v>0</v>
      </c>
      <c r="E113" s="988">
        <v>0</v>
      </c>
      <c r="F113" s="988">
        <v>0</v>
      </c>
      <c r="G113" s="1006"/>
      <c r="H113" s="989" t="s">
        <v>332</v>
      </c>
      <c r="I113" s="989" t="s">
        <v>332</v>
      </c>
    </row>
    <row r="114" spans="2:9">
      <c r="B114" s="990" t="s">
        <v>227</v>
      </c>
      <c r="C114" s="999" t="s">
        <v>228</v>
      </c>
      <c r="D114" s="988">
        <v>8</v>
      </c>
      <c r="E114" s="988">
        <v>4</v>
      </c>
      <c r="F114" s="988">
        <v>3</v>
      </c>
      <c r="G114" s="1006"/>
      <c r="H114" s="989">
        <f t="shared" ref="H114:H124" si="4">+E114/D114</f>
        <v>0.5</v>
      </c>
      <c r="I114" s="989">
        <f t="shared" ref="I114:I124" si="5">+F114/D114</f>
        <v>0.375</v>
      </c>
    </row>
    <row r="115" spans="2:9">
      <c r="B115" s="990" t="s">
        <v>229</v>
      </c>
      <c r="C115" s="999" t="s">
        <v>230</v>
      </c>
      <c r="D115" s="988">
        <v>92</v>
      </c>
      <c r="E115" s="988">
        <v>88</v>
      </c>
      <c r="F115" s="988">
        <v>4</v>
      </c>
      <c r="G115" s="1006"/>
      <c r="H115" s="989">
        <f t="shared" si="4"/>
        <v>0.95652173913043481</v>
      </c>
      <c r="I115" s="989">
        <f t="shared" si="5"/>
        <v>4.3478260869565216E-2</v>
      </c>
    </row>
    <row r="116" spans="2:9">
      <c r="B116" s="990" t="s">
        <v>231</v>
      </c>
      <c r="C116" s="999" t="s">
        <v>232</v>
      </c>
      <c r="D116" s="988">
        <v>281</v>
      </c>
      <c r="E116" s="988">
        <v>138</v>
      </c>
      <c r="F116" s="988">
        <v>122</v>
      </c>
      <c r="G116" s="1006"/>
      <c r="H116" s="989">
        <f t="shared" si="4"/>
        <v>0.49110320284697506</v>
      </c>
      <c r="I116" s="989">
        <f t="shared" si="5"/>
        <v>0.43416370106761565</v>
      </c>
    </row>
    <row r="117" spans="2:9">
      <c r="B117" s="990" t="s">
        <v>233</v>
      </c>
      <c r="C117" s="999" t="s">
        <v>234</v>
      </c>
      <c r="D117" s="988">
        <v>33</v>
      </c>
      <c r="E117" s="988">
        <v>29</v>
      </c>
      <c r="F117" s="988">
        <v>2</v>
      </c>
      <c r="G117" s="1006"/>
      <c r="H117" s="989">
        <f t="shared" si="4"/>
        <v>0.87878787878787878</v>
      </c>
      <c r="I117" s="989">
        <f t="shared" si="5"/>
        <v>6.0606060606060608E-2</v>
      </c>
    </row>
    <row r="118" spans="2:9">
      <c r="B118" s="990" t="s">
        <v>235</v>
      </c>
      <c r="C118" s="999" t="s">
        <v>236</v>
      </c>
      <c r="D118" s="988">
        <v>49</v>
      </c>
      <c r="E118" s="988">
        <v>46</v>
      </c>
      <c r="F118" s="988">
        <v>3</v>
      </c>
      <c r="G118" s="1006"/>
      <c r="H118" s="989">
        <f t="shared" si="4"/>
        <v>0.93877551020408168</v>
      </c>
      <c r="I118" s="989">
        <f t="shared" si="5"/>
        <v>6.1224489795918366E-2</v>
      </c>
    </row>
    <row r="119" spans="2:9">
      <c r="B119" s="990" t="s">
        <v>237</v>
      </c>
      <c r="C119" s="999" t="s">
        <v>238</v>
      </c>
      <c r="D119" s="988">
        <v>4</v>
      </c>
      <c r="E119" s="988">
        <v>3</v>
      </c>
      <c r="F119" s="988">
        <v>0</v>
      </c>
      <c r="G119" s="1006"/>
      <c r="H119" s="989">
        <f t="shared" si="4"/>
        <v>0.75</v>
      </c>
      <c r="I119" s="989">
        <f t="shared" si="5"/>
        <v>0</v>
      </c>
    </row>
    <row r="120" spans="2:9">
      <c r="B120" s="990" t="s">
        <v>239</v>
      </c>
      <c r="C120" s="999" t="s">
        <v>240</v>
      </c>
      <c r="D120" s="988">
        <v>7</v>
      </c>
      <c r="E120" s="988">
        <v>1</v>
      </c>
      <c r="F120" s="988">
        <v>6</v>
      </c>
      <c r="G120" s="1006"/>
      <c r="H120" s="989">
        <f t="shared" si="4"/>
        <v>0.14285714285714285</v>
      </c>
      <c r="I120" s="989">
        <f t="shared" si="5"/>
        <v>0.8571428571428571</v>
      </c>
    </row>
    <row r="121" spans="2:9">
      <c r="B121" s="990" t="s">
        <v>241</v>
      </c>
      <c r="C121" s="999" t="s">
        <v>242</v>
      </c>
      <c r="D121" s="988">
        <v>29</v>
      </c>
      <c r="E121" s="988">
        <v>25</v>
      </c>
      <c r="F121" s="988">
        <v>3</v>
      </c>
      <c r="G121" s="1006"/>
      <c r="H121" s="989">
        <f t="shared" si="4"/>
        <v>0.86206896551724133</v>
      </c>
      <c r="I121" s="989">
        <f t="shared" si="5"/>
        <v>0.10344827586206896</v>
      </c>
    </row>
    <row r="122" spans="2:9">
      <c r="B122" s="990" t="s">
        <v>243</v>
      </c>
      <c r="C122" s="999" t="s">
        <v>244</v>
      </c>
      <c r="D122" s="988">
        <v>151</v>
      </c>
      <c r="E122" s="988">
        <v>140</v>
      </c>
      <c r="F122" s="988">
        <v>2</v>
      </c>
      <c r="G122" s="1006"/>
      <c r="H122" s="989">
        <f t="shared" si="4"/>
        <v>0.92715231788079466</v>
      </c>
      <c r="I122" s="989">
        <f t="shared" si="5"/>
        <v>1.3245033112582781E-2</v>
      </c>
    </row>
    <row r="123" spans="2:9">
      <c r="B123" s="990" t="s">
        <v>245</v>
      </c>
      <c r="C123" s="999" t="s">
        <v>246</v>
      </c>
      <c r="D123" s="988">
        <v>48</v>
      </c>
      <c r="E123" s="988">
        <v>42</v>
      </c>
      <c r="F123" s="988">
        <v>4</v>
      </c>
      <c r="G123" s="1006"/>
      <c r="H123" s="989">
        <f t="shared" si="4"/>
        <v>0.875</v>
      </c>
      <c r="I123" s="989">
        <f t="shared" si="5"/>
        <v>8.3333333333333329E-2</v>
      </c>
    </row>
    <row r="124" spans="2:9">
      <c r="B124" s="992" t="s">
        <v>247</v>
      </c>
      <c r="C124" s="1000" t="s">
        <v>248</v>
      </c>
      <c r="D124" s="993">
        <v>16</v>
      </c>
      <c r="E124" s="993">
        <v>6</v>
      </c>
      <c r="F124" s="993">
        <v>6</v>
      </c>
      <c r="G124" s="1007"/>
      <c r="H124" s="994">
        <f t="shared" si="4"/>
        <v>0.375</v>
      </c>
      <c r="I124" s="994">
        <f t="shared" si="5"/>
        <v>0.375</v>
      </c>
    </row>
    <row r="125" spans="2:9" ht="17.25" customHeight="1">
      <c r="B125" s="1394" t="s">
        <v>1038</v>
      </c>
      <c r="C125" s="1394"/>
      <c r="D125" s="1394"/>
      <c r="E125" s="1394"/>
      <c r="F125" s="1394"/>
      <c r="G125" s="1394"/>
      <c r="H125" s="1394"/>
      <c r="I125" s="1394"/>
    </row>
    <row r="126" spans="2:9" ht="12" customHeight="1">
      <c r="B126" s="1395" t="s">
        <v>250</v>
      </c>
      <c r="C126" s="1395"/>
      <c r="D126" s="1395"/>
      <c r="E126" s="1395"/>
      <c r="F126" s="1395"/>
      <c r="G126" s="1395"/>
      <c r="H126" s="1395"/>
      <c r="I126" s="1395"/>
    </row>
    <row r="127" spans="2:9" ht="12" customHeight="1">
      <c r="B127" s="996" t="s">
        <v>251</v>
      </c>
      <c r="C127" s="966" t="s">
        <v>252</v>
      </c>
      <c r="D127" s="190"/>
      <c r="E127" s="190"/>
      <c r="F127" s="190"/>
      <c r="G127" s="190"/>
      <c r="H127" s="190"/>
      <c r="I127" s="190"/>
    </row>
  </sheetData>
  <mergeCells count="5">
    <mergeCell ref="B1:I1"/>
    <mergeCell ref="D2:F2"/>
    <mergeCell ref="H2:I2"/>
    <mergeCell ref="B125:I125"/>
    <mergeCell ref="B126:I126"/>
  </mergeCells>
  <hyperlinks>
    <hyperlink ref="C127" r:id="rId1"/>
  </hyperlinks>
  <pageMargins left="1" right="0" top="0.4" bottom="0.45" header="0.3" footer="0.3"/>
  <pageSetup orientation="portrait" r:id="rId2"/>
  <headerFooter>
    <oddFooter>&amp;C&amp;"Courier New,Regular"&amp;10&amp;P of &amp;N</oddFooter>
  </headerFooter>
</worksheet>
</file>

<file path=xl/worksheets/sheet41.xml><?xml version="1.0" encoding="utf-8"?>
<worksheet xmlns="http://schemas.openxmlformats.org/spreadsheetml/2006/main" xmlns:r="http://schemas.openxmlformats.org/officeDocument/2006/relationships">
  <dimension ref="A1:K128"/>
  <sheetViews>
    <sheetView zoomScaleNormal="100" workbookViewId="0">
      <pane ySplit="4" topLeftCell="A95" activePane="bottomLeft" state="frozen"/>
      <selection pane="bottomLeft" activeCell="B12" sqref="B12"/>
    </sheetView>
  </sheetViews>
  <sheetFormatPr defaultRowHeight="12.75"/>
  <cols>
    <col min="1" max="1" width="6.875" style="982" bestFit="1" customWidth="1"/>
    <col min="2" max="2" width="32.875" style="983" customWidth="1"/>
    <col min="3" max="3" width="8.625" style="982" customWidth="1"/>
    <col min="4" max="4" width="7.75" style="982" customWidth="1"/>
    <col min="5" max="5" width="9.125" style="982" customWidth="1"/>
    <col min="6" max="6" width="6" style="982" bestFit="1" customWidth="1"/>
    <col min="7" max="7" width="8.875" style="982" bestFit="1" customWidth="1"/>
    <col min="8" max="8" width="7.875" style="982" bestFit="1" customWidth="1"/>
    <col min="9" max="9" width="5.25" style="982" bestFit="1" customWidth="1"/>
    <col min="10" max="10" width="7.875" style="982" bestFit="1" customWidth="1"/>
    <col min="11" max="11" width="5.25" style="982" bestFit="1" customWidth="1"/>
    <col min="12" max="12" width="7.875" style="982" bestFit="1" customWidth="1"/>
    <col min="13" max="13" width="5.25" style="982" bestFit="1" customWidth="1"/>
    <col min="14" max="16384" width="9" style="982"/>
  </cols>
  <sheetData>
    <row r="1" spans="1:11" ht="32.25" customHeight="1">
      <c r="A1" s="1396" t="s">
        <v>333</v>
      </c>
      <c r="B1" s="1396"/>
      <c r="C1" s="1396"/>
      <c r="D1" s="1396"/>
      <c r="E1" s="1396"/>
      <c r="F1" s="1396"/>
      <c r="G1" s="1396"/>
    </row>
    <row r="2" spans="1:11" ht="15.75" customHeight="1">
      <c r="E2" s="984"/>
      <c r="F2" s="1392" t="s">
        <v>327</v>
      </c>
      <c r="G2" s="1392"/>
    </row>
    <row r="3" spans="1:11" ht="25.5">
      <c r="A3" s="985" t="s">
        <v>4</v>
      </c>
      <c r="B3" s="986" t="s">
        <v>5</v>
      </c>
      <c r="C3" s="986" t="s">
        <v>328</v>
      </c>
      <c r="D3" s="986" t="s">
        <v>2</v>
      </c>
      <c r="E3" s="986" t="s">
        <v>3</v>
      </c>
      <c r="F3" s="987" t="s">
        <v>2</v>
      </c>
      <c r="G3" s="987" t="s">
        <v>3</v>
      </c>
    </row>
    <row r="4" spans="1:11">
      <c r="A4" s="1001" t="s">
        <v>8</v>
      </c>
      <c r="B4" s="1002" t="s">
        <v>9</v>
      </c>
      <c r="C4" s="1003">
        <v>14860</v>
      </c>
      <c r="D4" s="1003">
        <v>9071</v>
      </c>
      <c r="E4" s="1003">
        <v>5001</v>
      </c>
      <c r="F4" s="1004">
        <f>+D4/C4</f>
        <v>0.61043068640646025</v>
      </c>
      <c r="G4" s="1004">
        <f>+E4/C4</f>
        <v>0.33654104979811572</v>
      </c>
    </row>
    <row r="5" spans="1:11">
      <c r="A5" s="990" t="s">
        <v>10</v>
      </c>
      <c r="B5" s="999" t="s">
        <v>11</v>
      </c>
      <c r="C5" s="988">
        <v>262</v>
      </c>
      <c r="D5" s="988">
        <v>159</v>
      </c>
      <c r="E5" s="988">
        <v>99</v>
      </c>
      <c r="F5" s="989">
        <f t="shared" ref="F5:F36" si="0">IF(C5&gt;0,+D5/+C5,"na")</f>
        <v>0.60687022900763354</v>
      </c>
      <c r="G5" s="989">
        <f t="shared" ref="G5:G36" si="1">IF(C5&gt;0,+E5/+C5,"na")</f>
        <v>0.37786259541984735</v>
      </c>
      <c r="H5" s="997"/>
      <c r="I5" s="998"/>
      <c r="J5" s="997"/>
      <c r="K5" s="998"/>
    </row>
    <row r="6" spans="1:11">
      <c r="A6" s="990" t="s">
        <v>12</v>
      </c>
      <c r="B6" s="999" t="s">
        <v>13</v>
      </c>
      <c r="C6" s="988">
        <v>64</v>
      </c>
      <c r="D6" s="988">
        <v>39</v>
      </c>
      <c r="E6" s="988">
        <v>13</v>
      </c>
      <c r="F6" s="989">
        <f t="shared" si="0"/>
        <v>0.609375</v>
      </c>
      <c r="G6" s="989">
        <f t="shared" si="1"/>
        <v>0.203125</v>
      </c>
      <c r="H6" s="997"/>
      <c r="I6" s="998"/>
      <c r="J6" s="997"/>
      <c r="K6" s="998"/>
    </row>
    <row r="7" spans="1:11">
      <c r="A7" s="990" t="s">
        <v>16</v>
      </c>
      <c r="B7" s="999" t="s">
        <v>17</v>
      </c>
      <c r="C7" s="988">
        <v>37</v>
      </c>
      <c r="D7" s="988">
        <v>28</v>
      </c>
      <c r="E7" s="988">
        <v>9</v>
      </c>
      <c r="F7" s="989">
        <f t="shared" si="0"/>
        <v>0.7567567567567568</v>
      </c>
      <c r="G7" s="989">
        <f t="shared" si="1"/>
        <v>0.24324324324324326</v>
      </c>
      <c r="H7" s="997"/>
      <c r="I7" s="998"/>
      <c r="J7" s="997"/>
      <c r="K7" s="998"/>
    </row>
    <row r="8" spans="1:11">
      <c r="A8" s="990" t="s">
        <v>18</v>
      </c>
      <c r="B8" s="999" t="s">
        <v>19</v>
      </c>
      <c r="C8" s="988">
        <v>12</v>
      </c>
      <c r="D8" s="988">
        <v>9</v>
      </c>
      <c r="E8" s="988">
        <v>2</v>
      </c>
      <c r="F8" s="989">
        <f t="shared" si="0"/>
        <v>0.75</v>
      </c>
      <c r="G8" s="989">
        <f t="shared" si="1"/>
        <v>0.16666666666666666</v>
      </c>
      <c r="H8" s="997"/>
      <c r="I8" s="998"/>
      <c r="J8" s="997"/>
      <c r="K8" s="998"/>
    </row>
    <row r="9" spans="1:11">
      <c r="A9" s="990" t="s">
        <v>20</v>
      </c>
      <c r="B9" s="999" t="s">
        <v>21</v>
      </c>
      <c r="C9" s="988">
        <v>110</v>
      </c>
      <c r="D9" s="988">
        <v>80</v>
      </c>
      <c r="E9" s="988">
        <v>30</v>
      </c>
      <c r="F9" s="989">
        <f t="shared" si="0"/>
        <v>0.72727272727272729</v>
      </c>
      <c r="G9" s="989">
        <f t="shared" si="1"/>
        <v>0.27272727272727271</v>
      </c>
      <c r="H9" s="997"/>
      <c r="I9" s="998"/>
      <c r="J9" s="997"/>
      <c r="K9" s="998"/>
    </row>
    <row r="10" spans="1:11">
      <c r="A10" s="990" t="s">
        <v>22</v>
      </c>
      <c r="B10" s="999" t="s">
        <v>23</v>
      </c>
      <c r="C10" s="988">
        <v>34</v>
      </c>
      <c r="D10" s="988">
        <v>22</v>
      </c>
      <c r="E10" s="988">
        <v>12</v>
      </c>
      <c r="F10" s="989">
        <f t="shared" si="0"/>
        <v>0.6470588235294118</v>
      </c>
      <c r="G10" s="989">
        <f t="shared" si="1"/>
        <v>0.35294117647058826</v>
      </c>
      <c r="H10" s="997"/>
      <c r="I10" s="998"/>
      <c r="J10" s="997"/>
      <c r="K10" s="998"/>
    </row>
    <row r="11" spans="1:11">
      <c r="A11" s="990" t="s">
        <v>24</v>
      </c>
      <c r="B11" s="999" t="s">
        <v>25</v>
      </c>
      <c r="C11" s="988">
        <v>137</v>
      </c>
      <c r="D11" s="988">
        <v>88</v>
      </c>
      <c r="E11" s="988">
        <v>38</v>
      </c>
      <c r="F11" s="989">
        <f t="shared" si="0"/>
        <v>0.64233576642335766</v>
      </c>
      <c r="G11" s="989">
        <f t="shared" si="1"/>
        <v>0.27737226277372262</v>
      </c>
      <c r="H11" s="997"/>
      <c r="I11" s="998"/>
      <c r="J11" s="997"/>
      <c r="K11" s="998"/>
    </row>
    <row r="12" spans="1:11">
      <c r="A12" s="990" t="s">
        <v>26</v>
      </c>
      <c r="B12" s="999" t="s">
        <v>1114</v>
      </c>
      <c r="C12" s="988">
        <v>273</v>
      </c>
      <c r="D12" s="988">
        <v>234</v>
      </c>
      <c r="E12" s="988">
        <v>38</v>
      </c>
      <c r="F12" s="989">
        <f t="shared" si="0"/>
        <v>0.8571428571428571</v>
      </c>
      <c r="G12" s="989">
        <f t="shared" si="1"/>
        <v>0.1391941391941392</v>
      </c>
      <c r="H12" s="997"/>
      <c r="I12" s="998"/>
      <c r="J12" s="997"/>
      <c r="K12" s="998"/>
    </row>
    <row r="13" spans="1:11" ht="15" customHeight="1">
      <c r="A13" s="991" t="s">
        <v>27</v>
      </c>
      <c r="B13" s="999" t="s">
        <v>28</v>
      </c>
      <c r="C13" s="988">
        <v>3</v>
      </c>
      <c r="D13" s="988">
        <v>3</v>
      </c>
      <c r="E13" s="988">
        <v>0</v>
      </c>
      <c r="F13" s="989">
        <f t="shared" si="0"/>
        <v>1</v>
      </c>
      <c r="G13" s="989">
        <f t="shared" si="1"/>
        <v>0</v>
      </c>
      <c r="H13" s="997"/>
      <c r="I13" s="998"/>
      <c r="J13" s="997"/>
      <c r="K13" s="998"/>
    </row>
    <row r="14" spans="1:11">
      <c r="A14" s="990" t="s">
        <v>29</v>
      </c>
      <c r="B14" s="999" t="s">
        <v>30</v>
      </c>
      <c r="C14" s="988">
        <v>171</v>
      </c>
      <c r="D14" s="988">
        <v>143</v>
      </c>
      <c r="E14" s="988">
        <v>28</v>
      </c>
      <c r="F14" s="989">
        <f t="shared" si="0"/>
        <v>0.83625730994152048</v>
      </c>
      <c r="G14" s="989">
        <f t="shared" si="1"/>
        <v>0.16374269005847952</v>
      </c>
      <c r="H14" s="997"/>
      <c r="I14" s="998"/>
      <c r="J14" s="997"/>
      <c r="K14" s="998"/>
    </row>
    <row r="15" spans="1:11">
      <c r="A15" s="990" t="s">
        <v>31</v>
      </c>
      <c r="B15" s="999" t="s">
        <v>32</v>
      </c>
      <c r="C15" s="988">
        <v>61</v>
      </c>
      <c r="D15" s="988">
        <v>46</v>
      </c>
      <c r="E15" s="988">
        <v>15</v>
      </c>
      <c r="F15" s="989">
        <f t="shared" si="0"/>
        <v>0.75409836065573765</v>
      </c>
      <c r="G15" s="989">
        <f t="shared" si="1"/>
        <v>0.24590163934426229</v>
      </c>
      <c r="H15" s="997"/>
      <c r="I15" s="998"/>
      <c r="J15" s="997"/>
      <c r="K15" s="998"/>
    </row>
    <row r="16" spans="1:11">
      <c r="A16" s="990" t="s">
        <v>33</v>
      </c>
      <c r="B16" s="999" t="s">
        <v>34</v>
      </c>
      <c r="C16" s="988">
        <v>38</v>
      </c>
      <c r="D16" s="988">
        <v>36</v>
      </c>
      <c r="E16" s="988">
        <v>2</v>
      </c>
      <c r="F16" s="989">
        <f t="shared" si="0"/>
        <v>0.94736842105263153</v>
      </c>
      <c r="G16" s="989">
        <f t="shared" si="1"/>
        <v>5.2631578947368418E-2</v>
      </c>
      <c r="H16" s="997"/>
      <c r="I16" s="998"/>
      <c r="J16" s="997"/>
      <c r="K16" s="998"/>
    </row>
    <row r="17" spans="1:11">
      <c r="A17" s="990" t="s">
        <v>37</v>
      </c>
      <c r="B17" s="999" t="s">
        <v>38</v>
      </c>
      <c r="C17" s="988">
        <v>10</v>
      </c>
      <c r="D17" s="988">
        <v>3</v>
      </c>
      <c r="E17" s="988">
        <v>7</v>
      </c>
      <c r="F17" s="989">
        <f t="shared" si="0"/>
        <v>0.3</v>
      </c>
      <c r="G17" s="989">
        <f t="shared" si="1"/>
        <v>0.7</v>
      </c>
      <c r="H17" s="997"/>
      <c r="I17" s="998"/>
      <c r="J17" s="997"/>
      <c r="K17" s="998"/>
    </row>
    <row r="18" spans="1:11">
      <c r="A18" s="990" t="s">
        <v>39</v>
      </c>
      <c r="B18" s="999" t="s">
        <v>40</v>
      </c>
      <c r="C18" s="988">
        <v>89</v>
      </c>
      <c r="D18" s="988">
        <v>88</v>
      </c>
      <c r="E18" s="988">
        <v>0</v>
      </c>
      <c r="F18" s="989">
        <f t="shared" si="0"/>
        <v>0.9887640449438202</v>
      </c>
      <c r="G18" s="989">
        <f t="shared" si="1"/>
        <v>0</v>
      </c>
      <c r="H18" s="997"/>
      <c r="I18" s="998"/>
      <c r="J18" s="997"/>
      <c r="K18" s="998"/>
    </row>
    <row r="19" spans="1:11">
      <c r="A19" s="990" t="s">
        <v>41</v>
      </c>
      <c r="B19" s="999" t="s">
        <v>42</v>
      </c>
      <c r="C19" s="988">
        <v>56</v>
      </c>
      <c r="D19" s="988">
        <v>34</v>
      </c>
      <c r="E19" s="988">
        <v>20</v>
      </c>
      <c r="F19" s="989">
        <f t="shared" si="0"/>
        <v>0.6071428571428571</v>
      </c>
      <c r="G19" s="989">
        <f t="shared" si="1"/>
        <v>0.35714285714285715</v>
      </c>
      <c r="H19" s="997"/>
      <c r="I19" s="998"/>
      <c r="J19" s="997"/>
      <c r="K19" s="998"/>
    </row>
    <row r="20" spans="1:11">
      <c r="A20" s="990" t="s">
        <v>43</v>
      </c>
      <c r="B20" s="999" t="s">
        <v>44</v>
      </c>
      <c r="C20" s="988">
        <v>105</v>
      </c>
      <c r="D20" s="988">
        <v>77</v>
      </c>
      <c r="E20" s="988">
        <v>28</v>
      </c>
      <c r="F20" s="989">
        <f t="shared" si="0"/>
        <v>0.73333333333333328</v>
      </c>
      <c r="G20" s="989">
        <f t="shared" si="1"/>
        <v>0.26666666666666666</v>
      </c>
      <c r="H20" s="997"/>
      <c r="I20" s="998"/>
      <c r="J20" s="997"/>
      <c r="K20" s="998"/>
    </row>
    <row r="21" spans="1:11">
      <c r="A21" s="990" t="s">
        <v>45</v>
      </c>
      <c r="B21" s="999" t="s">
        <v>46</v>
      </c>
      <c r="C21" s="988">
        <v>61</v>
      </c>
      <c r="D21" s="988">
        <v>46</v>
      </c>
      <c r="E21" s="988">
        <v>14</v>
      </c>
      <c r="F21" s="989">
        <f t="shared" si="0"/>
        <v>0.75409836065573765</v>
      </c>
      <c r="G21" s="989">
        <f t="shared" si="1"/>
        <v>0.22950819672131148</v>
      </c>
      <c r="H21" s="997"/>
      <c r="I21" s="998"/>
      <c r="J21" s="997"/>
      <c r="K21" s="998"/>
    </row>
    <row r="22" spans="1:11">
      <c r="A22" s="990" t="s">
        <v>47</v>
      </c>
      <c r="B22" s="999" t="s">
        <v>48</v>
      </c>
      <c r="C22" s="988">
        <v>78</v>
      </c>
      <c r="D22" s="988">
        <v>77</v>
      </c>
      <c r="E22" s="988">
        <v>1</v>
      </c>
      <c r="F22" s="989">
        <f t="shared" si="0"/>
        <v>0.98717948717948723</v>
      </c>
      <c r="G22" s="989">
        <f t="shared" si="1"/>
        <v>1.282051282051282E-2</v>
      </c>
      <c r="H22" s="997"/>
      <c r="I22" s="998"/>
      <c r="J22" s="997"/>
      <c r="K22" s="998"/>
    </row>
    <row r="23" spans="1:11">
      <c r="A23" s="991" t="s">
        <v>49</v>
      </c>
      <c r="B23" s="999" t="s">
        <v>50</v>
      </c>
      <c r="C23" s="988">
        <v>0</v>
      </c>
      <c r="D23" s="988">
        <v>0</v>
      </c>
      <c r="E23" s="988">
        <v>0</v>
      </c>
      <c r="F23" s="989" t="str">
        <f t="shared" si="0"/>
        <v>na</v>
      </c>
      <c r="G23" s="989" t="str">
        <f t="shared" si="1"/>
        <v>na</v>
      </c>
      <c r="H23" s="997"/>
      <c r="I23" s="998"/>
      <c r="J23" s="997"/>
      <c r="K23" s="998"/>
    </row>
    <row r="24" spans="1:11">
      <c r="A24" s="990" t="s">
        <v>51</v>
      </c>
      <c r="B24" s="999" t="s">
        <v>52</v>
      </c>
      <c r="C24" s="988">
        <v>37</v>
      </c>
      <c r="D24" s="988">
        <v>29</v>
      </c>
      <c r="E24" s="988">
        <v>8</v>
      </c>
      <c r="F24" s="989">
        <f t="shared" si="0"/>
        <v>0.78378378378378377</v>
      </c>
      <c r="G24" s="989">
        <f t="shared" si="1"/>
        <v>0.21621621621621623</v>
      </c>
      <c r="H24" s="997"/>
      <c r="I24" s="998"/>
      <c r="J24" s="997"/>
      <c r="K24" s="998"/>
    </row>
    <row r="25" spans="1:11">
      <c r="A25" s="990" t="s">
        <v>57</v>
      </c>
      <c r="B25" s="999" t="s">
        <v>58</v>
      </c>
      <c r="C25" s="988">
        <v>175</v>
      </c>
      <c r="D25" s="988">
        <v>118</v>
      </c>
      <c r="E25" s="988">
        <v>46</v>
      </c>
      <c r="F25" s="989">
        <f t="shared" si="0"/>
        <v>0.67428571428571427</v>
      </c>
      <c r="G25" s="989">
        <f t="shared" si="1"/>
        <v>0.26285714285714284</v>
      </c>
      <c r="H25" s="997"/>
      <c r="I25" s="998"/>
      <c r="J25" s="997"/>
      <c r="K25" s="998"/>
    </row>
    <row r="26" spans="1:11">
      <c r="A26" s="990" t="s">
        <v>59</v>
      </c>
      <c r="B26" s="999" t="s">
        <v>60</v>
      </c>
      <c r="C26" s="988">
        <v>15</v>
      </c>
      <c r="D26" s="988">
        <v>11</v>
      </c>
      <c r="E26" s="988">
        <v>4</v>
      </c>
      <c r="F26" s="989">
        <f t="shared" si="0"/>
        <v>0.73333333333333328</v>
      </c>
      <c r="G26" s="989">
        <f t="shared" si="1"/>
        <v>0.26666666666666666</v>
      </c>
      <c r="H26" s="997"/>
      <c r="I26" s="998"/>
      <c r="J26" s="997"/>
      <c r="K26" s="998"/>
    </row>
    <row r="27" spans="1:11">
      <c r="A27" s="991" t="s">
        <v>61</v>
      </c>
      <c r="B27" s="999" t="s">
        <v>62</v>
      </c>
      <c r="C27" s="988">
        <v>4</v>
      </c>
      <c r="D27" s="988">
        <v>4</v>
      </c>
      <c r="E27" s="988">
        <v>0</v>
      </c>
      <c r="F27" s="989">
        <f t="shared" si="0"/>
        <v>1</v>
      </c>
      <c r="G27" s="989">
        <f t="shared" si="1"/>
        <v>0</v>
      </c>
      <c r="H27" s="997"/>
      <c r="I27" s="998"/>
      <c r="J27" s="997"/>
      <c r="K27" s="998"/>
    </row>
    <row r="28" spans="1:11">
      <c r="A28" s="990" t="s">
        <v>63</v>
      </c>
      <c r="B28" s="999" t="s">
        <v>64</v>
      </c>
      <c r="C28" s="988">
        <v>27</v>
      </c>
      <c r="D28" s="988">
        <v>15</v>
      </c>
      <c r="E28" s="988">
        <v>7</v>
      </c>
      <c r="F28" s="989">
        <f t="shared" si="0"/>
        <v>0.55555555555555558</v>
      </c>
      <c r="G28" s="989">
        <f t="shared" si="1"/>
        <v>0.25925925925925924</v>
      </c>
      <c r="H28" s="997"/>
      <c r="I28" s="998"/>
      <c r="J28" s="997"/>
      <c r="K28" s="998"/>
    </row>
    <row r="29" spans="1:11" ht="15.75" customHeight="1">
      <c r="A29" s="990" t="s">
        <v>65</v>
      </c>
      <c r="B29" s="999" t="s">
        <v>66</v>
      </c>
      <c r="C29" s="988">
        <v>14</v>
      </c>
      <c r="D29" s="988">
        <v>9</v>
      </c>
      <c r="E29" s="988">
        <v>5</v>
      </c>
      <c r="F29" s="989">
        <f t="shared" si="0"/>
        <v>0.6428571428571429</v>
      </c>
      <c r="G29" s="989">
        <f t="shared" si="1"/>
        <v>0.35714285714285715</v>
      </c>
      <c r="H29" s="997"/>
      <c r="I29" s="998"/>
      <c r="J29" s="997"/>
      <c r="K29" s="998"/>
    </row>
    <row r="30" spans="1:11">
      <c r="A30" s="990" t="s">
        <v>69</v>
      </c>
      <c r="B30" s="999" t="s">
        <v>70</v>
      </c>
      <c r="C30" s="988">
        <v>39</v>
      </c>
      <c r="D30" s="988">
        <v>38</v>
      </c>
      <c r="E30" s="988">
        <v>1</v>
      </c>
      <c r="F30" s="989">
        <f t="shared" si="0"/>
        <v>0.97435897435897434</v>
      </c>
      <c r="G30" s="989">
        <f t="shared" si="1"/>
        <v>2.564102564102564E-2</v>
      </c>
      <c r="H30" s="997"/>
      <c r="I30" s="998"/>
      <c r="J30" s="997"/>
      <c r="K30" s="998"/>
    </row>
    <row r="31" spans="1:11">
      <c r="A31" s="990" t="s">
        <v>71</v>
      </c>
      <c r="B31" s="999" t="s">
        <v>72</v>
      </c>
      <c r="C31" s="988">
        <v>22</v>
      </c>
      <c r="D31" s="988">
        <v>17</v>
      </c>
      <c r="E31" s="988">
        <v>5</v>
      </c>
      <c r="F31" s="989">
        <f t="shared" si="0"/>
        <v>0.77272727272727271</v>
      </c>
      <c r="G31" s="989">
        <f t="shared" si="1"/>
        <v>0.22727272727272727</v>
      </c>
      <c r="H31" s="997"/>
      <c r="I31" s="998"/>
      <c r="J31" s="997"/>
      <c r="K31" s="998"/>
    </row>
    <row r="32" spans="1:11">
      <c r="A32" s="990" t="s">
        <v>73</v>
      </c>
      <c r="B32" s="999" t="s">
        <v>74</v>
      </c>
      <c r="C32" s="988">
        <v>18</v>
      </c>
      <c r="D32" s="988">
        <v>9</v>
      </c>
      <c r="E32" s="988">
        <v>8</v>
      </c>
      <c r="F32" s="989">
        <f t="shared" si="0"/>
        <v>0.5</v>
      </c>
      <c r="G32" s="989">
        <f t="shared" si="1"/>
        <v>0.44444444444444442</v>
      </c>
      <c r="H32" s="997"/>
      <c r="I32" s="998"/>
      <c r="J32" s="997"/>
      <c r="K32" s="998"/>
    </row>
    <row r="33" spans="1:11">
      <c r="A33" s="990" t="s">
        <v>75</v>
      </c>
      <c r="B33" s="999" t="s">
        <v>76</v>
      </c>
      <c r="C33" s="988">
        <v>519</v>
      </c>
      <c r="D33" s="988">
        <v>362</v>
      </c>
      <c r="E33" s="988">
        <v>108</v>
      </c>
      <c r="F33" s="989">
        <f t="shared" si="0"/>
        <v>0.69749518304431601</v>
      </c>
      <c r="G33" s="989">
        <f t="shared" si="1"/>
        <v>0.20809248554913296</v>
      </c>
      <c r="H33" s="997"/>
      <c r="I33" s="998"/>
      <c r="J33" s="997"/>
      <c r="K33" s="998"/>
    </row>
    <row r="34" spans="1:11">
      <c r="A34" s="990" t="s">
        <v>77</v>
      </c>
      <c r="B34" s="999" t="s">
        <v>78</v>
      </c>
      <c r="C34" s="988">
        <v>62</v>
      </c>
      <c r="D34" s="988">
        <v>47</v>
      </c>
      <c r="E34" s="988">
        <v>15</v>
      </c>
      <c r="F34" s="989">
        <f t="shared" si="0"/>
        <v>0.75806451612903225</v>
      </c>
      <c r="G34" s="989">
        <f t="shared" si="1"/>
        <v>0.24193548387096775</v>
      </c>
      <c r="H34" s="997"/>
      <c r="I34" s="998"/>
      <c r="J34" s="997"/>
      <c r="K34" s="998"/>
    </row>
    <row r="35" spans="1:11">
      <c r="A35" s="990" t="s">
        <v>79</v>
      </c>
      <c r="B35" s="999" t="s">
        <v>80</v>
      </c>
      <c r="C35" s="988">
        <v>46</v>
      </c>
      <c r="D35" s="988">
        <v>43</v>
      </c>
      <c r="E35" s="988">
        <v>3</v>
      </c>
      <c r="F35" s="989">
        <f t="shared" si="0"/>
        <v>0.93478260869565222</v>
      </c>
      <c r="G35" s="989">
        <f t="shared" si="1"/>
        <v>6.5217391304347824E-2</v>
      </c>
      <c r="H35" s="997"/>
      <c r="I35" s="998"/>
      <c r="J35" s="997"/>
      <c r="K35" s="998"/>
    </row>
    <row r="36" spans="1:11">
      <c r="A36" s="990" t="s">
        <v>81</v>
      </c>
      <c r="B36" s="999" t="s">
        <v>82</v>
      </c>
      <c r="C36" s="988">
        <v>24</v>
      </c>
      <c r="D36" s="988">
        <v>18</v>
      </c>
      <c r="E36" s="988">
        <v>5</v>
      </c>
      <c r="F36" s="989">
        <f t="shared" si="0"/>
        <v>0.75</v>
      </c>
      <c r="G36" s="989">
        <f t="shared" si="1"/>
        <v>0.20833333333333334</v>
      </c>
      <c r="H36" s="997"/>
      <c r="I36" s="998"/>
      <c r="J36" s="997"/>
      <c r="K36" s="998"/>
    </row>
    <row r="37" spans="1:11">
      <c r="A37" s="990" t="s">
        <v>85</v>
      </c>
      <c r="B37" s="999" t="s">
        <v>86</v>
      </c>
      <c r="C37" s="988">
        <v>90</v>
      </c>
      <c r="D37" s="988">
        <v>80</v>
      </c>
      <c r="E37" s="988">
        <v>7</v>
      </c>
      <c r="F37" s="989">
        <f t="shared" ref="F37:F68" si="2">IF(C37&gt;0,+D37/+C37,"na")</f>
        <v>0.88888888888888884</v>
      </c>
      <c r="G37" s="989">
        <f t="shared" ref="G37:G68" si="3">IF(C37&gt;0,+E37/+C37,"na")</f>
        <v>7.7777777777777779E-2</v>
      </c>
      <c r="H37" s="997"/>
      <c r="I37" s="998"/>
      <c r="J37" s="997"/>
      <c r="K37" s="998"/>
    </row>
    <row r="38" spans="1:11" ht="15.75" customHeight="1">
      <c r="A38" s="990" t="s">
        <v>87</v>
      </c>
      <c r="B38" s="999" t="s">
        <v>88</v>
      </c>
      <c r="C38" s="988">
        <v>148</v>
      </c>
      <c r="D38" s="988">
        <v>116</v>
      </c>
      <c r="E38" s="988">
        <v>10</v>
      </c>
      <c r="F38" s="989">
        <f t="shared" si="2"/>
        <v>0.78378378378378377</v>
      </c>
      <c r="G38" s="989">
        <f t="shared" si="3"/>
        <v>6.7567567567567571E-2</v>
      </c>
      <c r="H38" s="997"/>
      <c r="I38" s="998"/>
      <c r="J38" s="997"/>
      <c r="K38" s="998"/>
    </row>
    <row r="39" spans="1:11">
      <c r="A39" s="991" t="s">
        <v>93</v>
      </c>
      <c r="B39" s="999" t="s">
        <v>94</v>
      </c>
      <c r="C39" s="988">
        <v>184</v>
      </c>
      <c r="D39" s="988">
        <v>181</v>
      </c>
      <c r="E39" s="988">
        <v>3</v>
      </c>
      <c r="F39" s="989">
        <f t="shared" si="2"/>
        <v>0.98369565217391308</v>
      </c>
      <c r="G39" s="989">
        <f t="shared" si="3"/>
        <v>1.6304347826086956E-2</v>
      </c>
      <c r="H39" s="997"/>
      <c r="I39" s="998"/>
      <c r="J39" s="997"/>
      <c r="K39" s="998"/>
    </row>
    <row r="40" spans="1:11">
      <c r="A40" s="990" t="s">
        <v>95</v>
      </c>
      <c r="B40" s="999" t="s">
        <v>96</v>
      </c>
      <c r="C40" s="988">
        <v>84</v>
      </c>
      <c r="D40" s="988">
        <v>71</v>
      </c>
      <c r="E40" s="988">
        <v>10</v>
      </c>
      <c r="F40" s="989">
        <f t="shared" si="2"/>
        <v>0.84523809523809523</v>
      </c>
      <c r="G40" s="989">
        <f t="shared" si="3"/>
        <v>0.11904761904761904</v>
      </c>
      <c r="H40" s="997"/>
      <c r="I40" s="998"/>
      <c r="J40" s="997"/>
      <c r="K40" s="998"/>
    </row>
    <row r="41" spans="1:11">
      <c r="A41" s="990" t="s">
        <v>97</v>
      </c>
      <c r="B41" s="999" t="s">
        <v>98</v>
      </c>
      <c r="C41" s="988">
        <v>9</v>
      </c>
      <c r="D41" s="988">
        <v>7</v>
      </c>
      <c r="E41" s="988">
        <v>1</v>
      </c>
      <c r="F41" s="989">
        <f t="shared" si="2"/>
        <v>0.77777777777777779</v>
      </c>
      <c r="G41" s="989">
        <f t="shared" si="3"/>
        <v>0.1111111111111111</v>
      </c>
      <c r="H41" s="997"/>
      <c r="I41" s="998"/>
      <c r="J41" s="997"/>
      <c r="K41" s="998"/>
    </row>
    <row r="42" spans="1:11">
      <c r="A42" s="990" t="s">
        <v>99</v>
      </c>
      <c r="B42" s="999" t="s">
        <v>100</v>
      </c>
      <c r="C42" s="988">
        <v>41</v>
      </c>
      <c r="D42" s="988">
        <v>38</v>
      </c>
      <c r="E42" s="988">
        <v>3</v>
      </c>
      <c r="F42" s="989">
        <f t="shared" si="2"/>
        <v>0.92682926829268297</v>
      </c>
      <c r="G42" s="989">
        <f t="shared" si="3"/>
        <v>7.3170731707317069E-2</v>
      </c>
      <c r="H42" s="997"/>
      <c r="I42" s="998"/>
      <c r="J42" s="997"/>
      <c r="K42" s="998"/>
    </row>
    <row r="43" spans="1:11">
      <c r="A43" s="990" t="s">
        <v>101</v>
      </c>
      <c r="B43" s="999" t="s">
        <v>102</v>
      </c>
      <c r="C43" s="988">
        <v>10</v>
      </c>
      <c r="D43" s="988">
        <v>8</v>
      </c>
      <c r="E43" s="988">
        <v>2</v>
      </c>
      <c r="F43" s="989">
        <f t="shared" si="2"/>
        <v>0.8</v>
      </c>
      <c r="G43" s="989">
        <f t="shared" si="3"/>
        <v>0.2</v>
      </c>
      <c r="H43" s="997"/>
      <c r="I43" s="998"/>
      <c r="J43" s="997"/>
      <c r="K43" s="998"/>
    </row>
    <row r="44" spans="1:11">
      <c r="A44" s="990" t="s">
        <v>103</v>
      </c>
      <c r="B44" s="999" t="s">
        <v>329</v>
      </c>
      <c r="C44" s="988">
        <v>46</v>
      </c>
      <c r="D44" s="988">
        <v>12</v>
      </c>
      <c r="E44" s="988">
        <v>34</v>
      </c>
      <c r="F44" s="989">
        <f t="shared" si="2"/>
        <v>0.2608695652173913</v>
      </c>
      <c r="G44" s="989">
        <f t="shared" si="3"/>
        <v>0.73913043478260865</v>
      </c>
      <c r="H44" s="997"/>
      <c r="I44" s="998"/>
      <c r="J44" s="997"/>
      <c r="K44" s="998"/>
    </row>
    <row r="45" spans="1:11">
      <c r="A45" s="990" t="s">
        <v>105</v>
      </c>
      <c r="B45" s="999" t="s">
        <v>106</v>
      </c>
      <c r="C45" s="988">
        <v>148</v>
      </c>
      <c r="D45" s="988">
        <v>89</v>
      </c>
      <c r="E45" s="988">
        <v>59</v>
      </c>
      <c r="F45" s="989">
        <f t="shared" si="2"/>
        <v>0.60135135135135132</v>
      </c>
      <c r="G45" s="989">
        <f t="shared" si="3"/>
        <v>0.39864864864864863</v>
      </c>
      <c r="H45" s="997"/>
      <c r="I45" s="998"/>
      <c r="J45" s="997"/>
      <c r="K45" s="998"/>
    </row>
    <row r="46" spans="1:11">
      <c r="A46" s="990" t="s">
        <v>109</v>
      </c>
      <c r="B46" s="999" t="s">
        <v>110</v>
      </c>
      <c r="C46" s="988">
        <v>125</v>
      </c>
      <c r="D46" s="988">
        <v>103</v>
      </c>
      <c r="E46" s="988">
        <v>22</v>
      </c>
      <c r="F46" s="989">
        <f t="shared" si="2"/>
        <v>0.82399999999999995</v>
      </c>
      <c r="G46" s="989">
        <f t="shared" si="3"/>
        <v>0.17599999999999999</v>
      </c>
      <c r="H46" s="997"/>
      <c r="I46" s="998"/>
      <c r="J46" s="997"/>
      <c r="K46" s="998"/>
    </row>
    <row r="47" spans="1:11">
      <c r="A47" s="990" t="s">
        <v>111</v>
      </c>
      <c r="B47" s="999" t="s">
        <v>112</v>
      </c>
      <c r="C47" s="988">
        <v>183</v>
      </c>
      <c r="D47" s="988">
        <v>87</v>
      </c>
      <c r="E47" s="988">
        <v>95</v>
      </c>
      <c r="F47" s="989">
        <f t="shared" si="2"/>
        <v>0.47540983606557374</v>
      </c>
      <c r="G47" s="989">
        <f t="shared" si="3"/>
        <v>0.51912568306010931</v>
      </c>
      <c r="H47" s="997"/>
      <c r="I47" s="998"/>
      <c r="J47" s="997"/>
      <c r="K47" s="998"/>
    </row>
    <row r="48" spans="1:11">
      <c r="A48" s="990" t="s">
        <v>113</v>
      </c>
      <c r="B48" s="999" t="s">
        <v>114</v>
      </c>
      <c r="C48" s="988">
        <v>284</v>
      </c>
      <c r="D48" s="988">
        <v>161</v>
      </c>
      <c r="E48" s="988">
        <v>84</v>
      </c>
      <c r="F48" s="989">
        <f t="shared" si="2"/>
        <v>0.56690140845070425</v>
      </c>
      <c r="G48" s="989">
        <f t="shared" si="3"/>
        <v>0.29577464788732394</v>
      </c>
      <c r="H48" s="997"/>
      <c r="I48" s="998"/>
      <c r="J48" s="997"/>
      <c r="K48" s="998"/>
    </row>
    <row r="49" spans="1:11">
      <c r="A49" s="991" t="s">
        <v>115</v>
      </c>
      <c r="B49" s="999" t="s">
        <v>116</v>
      </c>
      <c r="C49" s="988">
        <v>4</v>
      </c>
      <c r="D49" s="988">
        <v>2</v>
      </c>
      <c r="E49" s="988">
        <v>0</v>
      </c>
      <c r="F49" s="989">
        <f t="shared" si="2"/>
        <v>0.5</v>
      </c>
      <c r="G49" s="989">
        <f t="shared" si="3"/>
        <v>0</v>
      </c>
      <c r="H49" s="997"/>
      <c r="I49" s="998"/>
      <c r="J49" s="997"/>
      <c r="K49" s="998"/>
    </row>
    <row r="50" spans="1:11">
      <c r="A50" s="990" t="s">
        <v>119</v>
      </c>
      <c r="B50" s="999" t="s">
        <v>120</v>
      </c>
      <c r="C50" s="988">
        <v>48</v>
      </c>
      <c r="D50" s="988">
        <v>35</v>
      </c>
      <c r="E50" s="988">
        <v>13</v>
      </c>
      <c r="F50" s="989">
        <f t="shared" si="2"/>
        <v>0.72916666666666663</v>
      </c>
      <c r="G50" s="989">
        <f t="shared" si="3"/>
        <v>0.27083333333333331</v>
      </c>
      <c r="H50" s="997"/>
      <c r="I50" s="998"/>
      <c r="J50" s="997"/>
      <c r="K50" s="998"/>
    </row>
    <row r="51" spans="1:11">
      <c r="A51" s="990" t="s">
        <v>121</v>
      </c>
      <c r="B51" s="999" t="s">
        <v>334</v>
      </c>
      <c r="C51" s="988">
        <v>116</v>
      </c>
      <c r="D51" s="988">
        <v>72</v>
      </c>
      <c r="E51" s="988">
        <v>44</v>
      </c>
      <c r="F51" s="989">
        <f t="shared" si="2"/>
        <v>0.62068965517241381</v>
      </c>
      <c r="G51" s="989">
        <f t="shared" si="3"/>
        <v>0.37931034482758619</v>
      </c>
      <c r="H51" s="997"/>
      <c r="I51" s="998"/>
      <c r="J51" s="997"/>
      <c r="K51" s="998"/>
    </row>
    <row r="52" spans="1:11">
      <c r="A52" s="990" t="s">
        <v>123</v>
      </c>
      <c r="B52" s="999" t="s">
        <v>124</v>
      </c>
      <c r="C52" s="988">
        <v>15</v>
      </c>
      <c r="D52" s="988">
        <v>12</v>
      </c>
      <c r="E52" s="988">
        <v>3</v>
      </c>
      <c r="F52" s="989">
        <f t="shared" si="2"/>
        <v>0.8</v>
      </c>
      <c r="G52" s="989">
        <f t="shared" si="3"/>
        <v>0.2</v>
      </c>
      <c r="H52" s="997"/>
      <c r="I52" s="998"/>
      <c r="J52" s="997"/>
      <c r="K52" s="998"/>
    </row>
    <row r="53" spans="1:11">
      <c r="A53" s="990" t="s">
        <v>125</v>
      </c>
      <c r="B53" s="999" t="s">
        <v>126</v>
      </c>
      <c r="C53" s="988">
        <v>22</v>
      </c>
      <c r="D53" s="988">
        <v>19</v>
      </c>
      <c r="E53" s="988">
        <v>3</v>
      </c>
      <c r="F53" s="989">
        <f t="shared" si="2"/>
        <v>0.86363636363636365</v>
      </c>
      <c r="G53" s="989">
        <f t="shared" si="3"/>
        <v>0.13636363636363635</v>
      </c>
      <c r="H53" s="997"/>
      <c r="I53" s="998"/>
      <c r="J53" s="997"/>
      <c r="K53" s="998"/>
    </row>
    <row r="54" spans="1:11">
      <c r="A54" s="990" t="s">
        <v>127</v>
      </c>
      <c r="B54" s="999" t="s">
        <v>128</v>
      </c>
      <c r="C54" s="988">
        <v>12</v>
      </c>
      <c r="D54" s="988">
        <v>12</v>
      </c>
      <c r="E54" s="988">
        <v>0</v>
      </c>
      <c r="F54" s="989">
        <f t="shared" si="2"/>
        <v>1</v>
      </c>
      <c r="G54" s="989">
        <f t="shared" si="3"/>
        <v>0</v>
      </c>
      <c r="H54" s="997"/>
      <c r="I54" s="998"/>
      <c r="J54" s="997"/>
      <c r="K54" s="998"/>
    </row>
    <row r="55" spans="1:11">
      <c r="A55" s="990" t="s">
        <v>129</v>
      </c>
      <c r="B55" s="999" t="s">
        <v>130</v>
      </c>
      <c r="C55" s="988">
        <v>15</v>
      </c>
      <c r="D55" s="988">
        <v>5</v>
      </c>
      <c r="E55" s="988">
        <v>10</v>
      </c>
      <c r="F55" s="989">
        <f t="shared" si="2"/>
        <v>0.33333333333333331</v>
      </c>
      <c r="G55" s="989">
        <f t="shared" si="3"/>
        <v>0.66666666666666663</v>
      </c>
      <c r="H55" s="997"/>
      <c r="I55" s="998"/>
      <c r="J55" s="997"/>
      <c r="K55" s="998"/>
    </row>
    <row r="56" spans="1:11">
      <c r="A56" s="991" t="s">
        <v>131</v>
      </c>
      <c r="B56" s="999" t="s">
        <v>132</v>
      </c>
      <c r="C56" s="988">
        <v>81</v>
      </c>
      <c r="D56" s="988">
        <v>68</v>
      </c>
      <c r="E56" s="988">
        <v>4</v>
      </c>
      <c r="F56" s="989">
        <f t="shared" si="2"/>
        <v>0.83950617283950613</v>
      </c>
      <c r="G56" s="989">
        <f t="shared" si="3"/>
        <v>4.9382716049382713E-2</v>
      </c>
      <c r="H56" s="997"/>
      <c r="I56" s="998"/>
      <c r="J56" s="997"/>
      <c r="K56" s="998"/>
    </row>
    <row r="57" spans="1:11">
      <c r="A57" s="990" t="s">
        <v>133</v>
      </c>
      <c r="B57" s="999" t="s">
        <v>134</v>
      </c>
      <c r="C57" s="988">
        <v>206</v>
      </c>
      <c r="D57" s="988">
        <v>39</v>
      </c>
      <c r="E57" s="988">
        <v>10</v>
      </c>
      <c r="F57" s="989">
        <f t="shared" si="2"/>
        <v>0.18932038834951456</v>
      </c>
      <c r="G57" s="989">
        <f t="shared" si="3"/>
        <v>4.8543689320388349E-2</v>
      </c>
      <c r="H57" s="997"/>
      <c r="I57" s="998"/>
      <c r="J57" s="997"/>
      <c r="K57" s="998"/>
    </row>
    <row r="58" spans="1:11">
      <c r="A58" s="990" t="s">
        <v>135</v>
      </c>
      <c r="B58" s="999" t="s">
        <v>136</v>
      </c>
      <c r="C58" s="988">
        <v>139</v>
      </c>
      <c r="D58" s="988">
        <v>105</v>
      </c>
      <c r="E58" s="988">
        <v>34</v>
      </c>
      <c r="F58" s="989">
        <f t="shared" si="2"/>
        <v>0.75539568345323738</v>
      </c>
      <c r="G58" s="989">
        <f t="shared" si="3"/>
        <v>0.2446043165467626</v>
      </c>
      <c r="H58" s="997"/>
      <c r="I58" s="998"/>
      <c r="J58" s="997"/>
      <c r="K58" s="998"/>
    </row>
    <row r="59" spans="1:11">
      <c r="A59" s="990" t="s">
        <v>137</v>
      </c>
      <c r="B59" s="999" t="s">
        <v>138</v>
      </c>
      <c r="C59" s="988">
        <v>33</v>
      </c>
      <c r="D59" s="988">
        <v>19</v>
      </c>
      <c r="E59" s="988">
        <v>13</v>
      </c>
      <c r="F59" s="989">
        <f t="shared" si="2"/>
        <v>0.5757575757575758</v>
      </c>
      <c r="G59" s="989">
        <f t="shared" si="3"/>
        <v>0.39393939393939392</v>
      </c>
      <c r="H59" s="997"/>
      <c r="I59" s="998"/>
      <c r="J59" s="997"/>
      <c r="K59" s="998"/>
    </row>
    <row r="60" spans="1:11">
      <c r="A60" s="990" t="s">
        <v>141</v>
      </c>
      <c r="B60" s="999" t="s">
        <v>142</v>
      </c>
      <c r="C60" s="988">
        <v>18</v>
      </c>
      <c r="D60" s="988">
        <v>18</v>
      </c>
      <c r="E60" s="988">
        <v>0</v>
      </c>
      <c r="F60" s="989">
        <f t="shared" si="2"/>
        <v>1</v>
      </c>
      <c r="G60" s="989">
        <f t="shared" si="3"/>
        <v>0</v>
      </c>
      <c r="H60" s="997"/>
      <c r="I60" s="998"/>
      <c r="J60" s="997"/>
      <c r="K60" s="998"/>
    </row>
    <row r="61" spans="1:11">
      <c r="A61" s="990" t="s">
        <v>147</v>
      </c>
      <c r="B61" s="999" t="s">
        <v>148</v>
      </c>
      <c r="C61" s="988">
        <v>49</v>
      </c>
      <c r="D61" s="988">
        <v>39</v>
      </c>
      <c r="E61" s="988">
        <v>10</v>
      </c>
      <c r="F61" s="989">
        <f t="shared" si="2"/>
        <v>0.79591836734693877</v>
      </c>
      <c r="G61" s="989">
        <f t="shared" si="3"/>
        <v>0.20408163265306123</v>
      </c>
      <c r="H61" s="997"/>
      <c r="I61" s="998"/>
      <c r="J61" s="997"/>
      <c r="K61" s="998"/>
    </row>
    <row r="62" spans="1:11">
      <c r="A62" s="990" t="s">
        <v>149</v>
      </c>
      <c r="B62" s="999" t="s">
        <v>150</v>
      </c>
      <c r="C62" s="988">
        <v>129</v>
      </c>
      <c r="D62" s="988">
        <v>71</v>
      </c>
      <c r="E62" s="988">
        <v>52</v>
      </c>
      <c r="F62" s="989">
        <f t="shared" si="2"/>
        <v>0.55038759689922478</v>
      </c>
      <c r="G62" s="989">
        <f t="shared" si="3"/>
        <v>0.40310077519379844</v>
      </c>
      <c r="H62" s="997"/>
      <c r="I62" s="998"/>
      <c r="J62" s="997"/>
      <c r="K62" s="998"/>
    </row>
    <row r="63" spans="1:11">
      <c r="A63" s="990" t="s">
        <v>151</v>
      </c>
      <c r="B63" s="999" t="s">
        <v>152</v>
      </c>
      <c r="C63" s="988">
        <v>25</v>
      </c>
      <c r="D63" s="988">
        <v>12</v>
      </c>
      <c r="E63" s="988">
        <v>8</v>
      </c>
      <c r="F63" s="989">
        <f t="shared" si="2"/>
        <v>0.48</v>
      </c>
      <c r="G63" s="989">
        <f t="shared" si="3"/>
        <v>0.32</v>
      </c>
      <c r="H63" s="997"/>
      <c r="I63" s="998"/>
      <c r="J63" s="997"/>
      <c r="K63" s="998"/>
    </row>
    <row r="64" spans="1:11">
      <c r="A64" s="990" t="s">
        <v>153</v>
      </c>
      <c r="B64" s="999" t="s">
        <v>154</v>
      </c>
      <c r="C64" s="988">
        <v>156</v>
      </c>
      <c r="D64" s="988">
        <v>138</v>
      </c>
      <c r="E64" s="988">
        <v>16</v>
      </c>
      <c r="F64" s="989">
        <f t="shared" si="2"/>
        <v>0.88461538461538458</v>
      </c>
      <c r="G64" s="989">
        <f t="shared" si="3"/>
        <v>0.10256410256410256</v>
      </c>
      <c r="H64" s="997"/>
      <c r="I64" s="998"/>
      <c r="J64" s="997"/>
      <c r="K64" s="998"/>
    </row>
    <row r="65" spans="1:11">
      <c r="A65" s="990" t="s">
        <v>155</v>
      </c>
      <c r="B65" s="999" t="s">
        <v>156</v>
      </c>
      <c r="C65" s="988">
        <v>29</v>
      </c>
      <c r="D65" s="988">
        <v>26</v>
      </c>
      <c r="E65" s="988">
        <v>2</v>
      </c>
      <c r="F65" s="989">
        <f t="shared" si="2"/>
        <v>0.89655172413793105</v>
      </c>
      <c r="G65" s="989">
        <f t="shared" si="3"/>
        <v>6.8965517241379309E-2</v>
      </c>
      <c r="H65" s="997"/>
      <c r="I65" s="998"/>
      <c r="J65" s="997"/>
      <c r="K65" s="998"/>
    </row>
    <row r="66" spans="1:11">
      <c r="A66" s="991" t="s">
        <v>157</v>
      </c>
      <c r="B66" s="999" t="s">
        <v>158</v>
      </c>
      <c r="C66" s="988">
        <v>25</v>
      </c>
      <c r="D66" s="988">
        <v>24</v>
      </c>
      <c r="E66" s="988">
        <v>1</v>
      </c>
      <c r="F66" s="989">
        <f t="shared" si="2"/>
        <v>0.96</v>
      </c>
      <c r="G66" s="989">
        <f t="shared" si="3"/>
        <v>0.04</v>
      </c>
      <c r="H66" s="997"/>
      <c r="I66" s="998"/>
      <c r="J66" s="997"/>
      <c r="K66" s="998"/>
    </row>
    <row r="67" spans="1:11">
      <c r="A67" s="990" t="s">
        <v>163</v>
      </c>
      <c r="B67" s="999" t="s">
        <v>164</v>
      </c>
      <c r="C67" s="988">
        <v>10</v>
      </c>
      <c r="D67" s="988">
        <v>2</v>
      </c>
      <c r="E67" s="988">
        <v>8</v>
      </c>
      <c r="F67" s="989">
        <f t="shared" si="2"/>
        <v>0.2</v>
      </c>
      <c r="G67" s="989">
        <f t="shared" si="3"/>
        <v>0.8</v>
      </c>
      <c r="H67" s="997"/>
      <c r="I67" s="998"/>
      <c r="J67" s="997"/>
      <c r="K67" s="998"/>
    </row>
    <row r="68" spans="1:11">
      <c r="A68" s="990" t="s">
        <v>165</v>
      </c>
      <c r="B68" s="999" t="s">
        <v>166</v>
      </c>
      <c r="C68" s="988">
        <v>16</v>
      </c>
      <c r="D68" s="988">
        <v>7</v>
      </c>
      <c r="E68" s="988">
        <v>8</v>
      </c>
      <c r="F68" s="989">
        <f t="shared" si="2"/>
        <v>0.4375</v>
      </c>
      <c r="G68" s="989">
        <f t="shared" si="3"/>
        <v>0.5</v>
      </c>
      <c r="H68" s="997"/>
      <c r="I68" s="998"/>
      <c r="J68" s="997"/>
      <c r="K68" s="998"/>
    </row>
    <row r="69" spans="1:11">
      <c r="A69" s="990" t="s">
        <v>169</v>
      </c>
      <c r="B69" s="999" t="s">
        <v>170</v>
      </c>
      <c r="C69" s="988">
        <v>1</v>
      </c>
      <c r="D69" s="988">
        <v>0</v>
      </c>
      <c r="E69" s="988">
        <v>1</v>
      </c>
      <c r="F69" s="989">
        <f t="shared" ref="F69:F100" si="4">IF(C69&gt;0,+D69/+C69,"na")</f>
        <v>0</v>
      </c>
      <c r="G69" s="989">
        <f t="shared" ref="G69:G100" si="5">IF(C69&gt;0,+E69/+C69,"na")</f>
        <v>1</v>
      </c>
      <c r="H69" s="997"/>
      <c r="I69" s="998"/>
      <c r="J69" s="997"/>
      <c r="K69" s="998"/>
    </row>
    <row r="70" spans="1:11">
      <c r="A70" s="990" t="s">
        <v>171</v>
      </c>
      <c r="B70" s="999" t="s">
        <v>172</v>
      </c>
      <c r="C70" s="988">
        <v>72</v>
      </c>
      <c r="D70" s="988">
        <v>54</v>
      </c>
      <c r="E70" s="988">
        <v>18</v>
      </c>
      <c r="F70" s="989">
        <f t="shared" si="4"/>
        <v>0.75</v>
      </c>
      <c r="G70" s="989">
        <f t="shared" si="5"/>
        <v>0.25</v>
      </c>
      <c r="H70" s="997"/>
      <c r="I70" s="998"/>
      <c r="J70" s="997"/>
      <c r="K70" s="998"/>
    </row>
    <row r="71" spans="1:11">
      <c r="A71" s="991" t="s">
        <v>173</v>
      </c>
      <c r="B71" s="999" t="s">
        <v>174</v>
      </c>
      <c r="C71" s="988">
        <v>17</v>
      </c>
      <c r="D71" s="988">
        <v>16</v>
      </c>
      <c r="E71" s="988">
        <v>1</v>
      </c>
      <c r="F71" s="989">
        <f t="shared" si="4"/>
        <v>0.94117647058823528</v>
      </c>
      <c r="G71" s="989">
        <f t="shared" si="5"/>
        <v>5.8823529411764705E-2</v>
      </c>
      <c r="H71" s="997"/>
      <c r="I71" s="998"/>
      <c r="J71" s="997"/>
      <c r="K71" s="998"/>
    </row>
    <row r="72" spans="1:11">
      <c r="A72" s="991" t="s">
        <v>175</v>
      </c>
      <c r="B72" s="999" t="s">
        <v>176</v>
      </c>
      <c r="C72" s="988">
        <v>56</v>
      </c>
      <c r="D72" s="988">
        <v>46</v>
      </c>
      <c r="E72" s="988">
        <v>9</v>
      </c>
      <c r="F72" s="989">
        <f t="shared" si="4"/>
        <v>0.8214285714285714</v>
      </c>
      <c r="G72" s="989">
        <f t="shared" si="5"/>
        <v>0.16071428571428573</v>
      </c>
      <c r="H72" s="997"/>
      <c r="I72" s="998"/>
      <c r="J72" s="997"/>
      <c r="K72" s="998"/>
    </row>
    <row r="73" spans="1:11">
      <c r="A73" s="990" t="s">
        <v>179</v>
      </c>
      <c r="B73" s="999" t="s">
        <v>180</v>
      </c>
      <c r="C73" s="988">
        <v>132</v>
      </c>
      <c r="D73" s="988">
        <v>98</v>
      </c>
      <c r="E73" s="988">
        <v>26</v>
      </c>
      <c r="F73" s="989">
        <f t="shared" si="4"/>
        <v>0.74242424242424243</v>
      </c>
      <c r="G73" s="989">
        <f t="shared" si="5"/>
        <v>0.19696969696969696</v>
      </c>
      <c r="H73" s="997"/>
      <c r="I73" s="998"/>
      <c r="J73" s="997"/>
      <c r="K73" s="998"/>
    </row>
    <row r="74" spans="1:11">
      <c r="A74" s="990" t="s">
        <v>183</v>
      </c>
      <c r="B74" s="999" t="s">
        <v>184</v>
      </c>
      <c r="C74" s="988">
        <v>5</v>
      </c>
      <c r="D74" s="988">
        <v>3</v>
      </c>
      <c r="E74" s="988">
        <v>2</v>
      </c>
      <c r="F74" s="989">
        <f t="shared" si="4"/>
        <v>0.6</v>
      </c>
      <c r="G74" s="989">
        <f t="shared" si="5"/>
        <v>0.4</v>
      </c>
      <c r="H74" s="997"/>
      <c r="I74" s="998"/>
      <c r="J74" s="997"/>
      <c r="K74" s="998"/>
    </row>
    <row r="75" spans="1:11">
      <c r="A75" s="990" t="s">
        <v>185</v>
      </c>
      <c r="B75" s="999" t="s">
        <v>186</v>
      </c>
      <c r="C75" s="988">
        <v>56</v>
      </c>
      <c r="D75" s="988">
        <v>25</v>
      </c>
      <c r="E75" s="988">
        <v>31</v>
      </c>
      <c r="F75" s="989">
        <f t="shared" si="4"/>
        <v>0.44642857142857145</v>
      </c>
      <c r="G75" s="989">
        <f t="shared" si="5"/>
        <v>0.5535714285714286</v>
      </c>
      <c r="H75" s="997"/>
      <c r="I75" s="998"/>
      <c r="J75" s="997"/>
      <c r="K75" s="998"/>
    </row>
    <row r="76" spans="1:11">
      <c r="A76" s="990" t="s">
        <v>187</v>
      </c>
      <c r="B76" s="999" t="s">
        <v>188</v>
      </c>
      <c r="C76" s="988">
        <v>23</v>
      </c>
      <c r="D76" s="988">
        <v>13</v>
      </c>
      <c r="E76" s="988">
        <v>8</v>
      </c>
      <c r="F76" s="989">
        <f t="shared" si="4"/>
        <v>0.56521739130434778</v>
      </c>
      <c r="G76" s="989">
        <f t="shared" si="5"/>
        <v>0.34782608695652173</v>
      </c>
      <c r="H76" s="997"/>
      <c r="I76" s="998"/>
      <c r="J76" s="997"/>
      <c r="K76" s="998"/>
    </row>
    <row r="77" spans="1:11">
      <c r="A77" s="990" t="s">
        <v>189</v>
      </c>
      <c r="B77" s="999" t="s">
        <v>190</v>
      </c>
      <c r="C77" s="988">
        <v>1815</v>
      </c>
      <c r="D77" s="988">
        <v>949</v>
      </c>
      <c r="E77" s="988">
        <v>706</v>
      </c>
      <c r="F77" s="989">
        <f t="shared" si="4"/>
        <v>0.52286501377410466</v>
      </c>
      <c r="G77" s="989">
        <f t="shared" si="5"/>
        <v>0.38898071625344355</v>
      </c>
      <c r="H77" s="997"/>
      <c r="I77" s="998"/>
      <c r="J77" s="997"/>
      <c r="K77" s="998"/>
    </row>
    <row r="78" spans="1:11">
      <c r="A78" s="990" t="s">
        <v>191</v>
      </c>
      <c r="B78" s="999" t="s">
        <v>192</v>
      </c>
      <c r="C78" s="988">
        <v>320</v>
      </c>
      <c r="D78" s="988">
        <v>260</v>
      </c>
      <c r="E78" s="988">
        <v>60</v>
      </c>
      <c r="F78" s="989">
        <f t="shared" si="4"/>
        <v>0.8125</v>
      </c>
      <c r="G78" s="989">
        <f t="shared" si="5"/>
        <v>0.1875</v>
      </c>
      <c r="H78" s="997"/>
      <c r="I78" s="998"/>
      <c r="J78" s="997"/>
      <c r="K78" s="998"/>
    </row>
    <row r="79" spans="1:11">
      <c r="A79" s="990" t="s">
        <v>195</v>
      </c>
      <c r="B79" s="999" t="s">
        <v>196</v>
      </c>
      <c r="C79" s="988">
        <v>0</v>
      </c>
      <c r="D79" s="988">
        <v>0</v>
      </c>
      <c r="E79" s="988">
        <v>0</v>
      </c>
      <c r="F79" s="989" t="str">
        <f t="shared" si="4"/>
        <v>na</v>
      </c>
      <c r="G79" s="989" t="str">
        <f t="shared" si="5"/>
        <v>na</v>
      </c>
      <c r="H79" s="997"/>
      <c r="I79" s="998"/>
      <c r="J79" s="997"/>
      <c r="K79" s="998"/>
    </row>
    <row r="80" spans="1:11">
      <c r="A80" s="990" t="s">
        <v>199</v>
      </c>
      <c r="B80" s="999" t="s">
        <v>285</v>
      </c>
      <c r="C80" s="988">
        <v>1</v>
      </c>
      <c r="D80" s="988">
        <v>0</v>
      </c>
      <c r="E80" s="988">
        <v>1</v>
      </c>
      <c r="F80" s="989">
        <f t="shared" si="4"/>
        <v>0</v>
      </c>
      <c r="G80" s="989">
        <f t="shared" si="5"/>
        <v>1</v>
      </c>
      <c r="H80" s="997"/>
      <c r="I80" s="998"/>
      <c r="J80" s="997"/>
      <c r="K80" s="998"/>
    </row>
    <row r="81" spans="1:11">
      <c r="A81" s="990" t="s">
        <v>203</v>
      </c>
      <c r="B81" s="999" t="s">
        <v>330</v>
      </c>
      <c r="C81" s="988">
        <v>157</v>
      </c>
      <c r="D81" s="988">
        <v>130</v>
      </c>
      <c r="E81" s="988">
        <v>27</v>
      </c>
      <c r="F81" s="989">
        <f t="shared" si="4"/>
        <v>0.82802547770700641</v>
      </c>
      <c r="G81" s="989">
        <f t="shared" si="5"/>
        <v>0.17197452229299362</v>
      </c>
      <c r="H81" s="997"/>
      <c r="I81" s="998"/>
      <c r="J81" s="997"/>
      <c r="K81" s="998"/>
    </row>
    <row r="82" spans="1:11">
      <c r="A82" s="990" t="s">
        <v>205</v>
      </c>
      <c r="B82" s="999" t="s">
        <v>331</v>
      </c>
      <c r="C82" s="988">
        <v>37</v>
      </c>
      <c r="D82" s="988">
        <v>33</v>
      </c>
      <c r="E82" s="988">
        <v>4</v>
      </c>
      <c r="F82" s="989">
        <f t="shared" si="4"/>
        <v>0.89189189189189189</v>
      </c>
      <c r="G82" s="989">
        <f t="shared" si="5"/>
        <v>0.10810810810810811</v>
      </c>
      <c r="H82" s="997"/>
      <c r="I82" s="998"/>
      <c r="J82" s="997"/>
      <c r="K82" s="998"/>
    </row>
    <row r="83" spans="1:11">
      <c r="A83" s="990" t="s">
        <v>207</v>
      </c>
      <c r="B83" s="999" t="s">
        <v>208</v>
      </c>
      <c r="C83" s="988">
        <v>352</v>
      </c>
      <c r="D83" s="988">
        <v>323</v>
      </c>
      <c r="E83" s="988">
        <v>28</v>
      </c>
      <c r="F83" s="989">
        <f t="shared" si="4"/>
        <v>0.91761363636363635</v>
      </c>
      <c r="G83" s="989">
        <f t="shared" si="5"/>
        <v>7.9545454545454544E-2</v>
      </c>
      <c r="H83" s="997"/>
      <c r="I83" s="998"/>
      <c r="J83" s="997"/>
      <c r="K83" s="998"/>
    </row>
    <row r="84" spans="1:11">
      <c r="A84" s="990" t="s">
        <v>209</v>
      </c>
      <c r="B84" s="999" t="s">
        <v>210</v>
      </c>
      <c r="C84" s="988">
        <v>112</v>
      </c>
      <c r="D84" s="988">
        <v>107</v>
      </c>
      <c r="E84" s="988">
        <v>3</v>
      </c>
      <c r="F84" s="989">
        <f t="shared" si="4"/>
        <v>0.9553571428571429</v>
      </c>
      <c r="G84" s="989">
        <f t="shared" si="5"/>
        <v>2.6785714285714284E-2</v>
      </c>
      <c r="H84" s="997"/>
      <c r="I84" s="998"/>
      <c r="J84" s="997"/>
      <c r="K84" s="998"/>
    </row>
    <row r="85" spans="1:11">
      <c r="A85" s="991" t="s">
        <v>211</v>
      </c>
      <c r="B85" s="999" t="s">
        <v>212</v>
      </c>
      <c r="C85" s="988">
        <v>32</v>
      </c>
      <c r="D85" s="988">
        <v>32</v>
      </c>
      <c r="E85" s="988">
        <v>0</v>
      </c>
      <c r="F85" s="989">
        <f t="shared" si="4"/>
        <v>1</v>
      </c>
      <c r="G85" s="989">
        <f t="shared" si="5"/>
        <v>0</v>
      </c>
      <c r="H85" s="997"/>
      <c r="I85" s="998"/>
      <c r="J85" s="997"/>
      <c r="K85" s="998"/>
    </row>
    <row r="86" spans="1:11">
      <c r="A86" s="990" t="s">
        <v>213</v>
      </c>
      <c r="B86" s="999" t="s">
        <v>214</v>
      </c>
      <c r="C86" s="988">
        <v>41</v>
      </c>
      <c r="D86" s="988">
        <v>40</v>
      </c>
      <c r="E86" s="988">
        <v>0</v>
      </c>
      <c r="F86" s="989">
        <f t="shared" si="4"/>
        <v>0.97560975609756095</v>
      </c>
      <c r="G86" s="989">
        <f t="shared" si="5"/>
        <v>0</v>
      </c>
      <c r="H86" s="997"/>
      <c r="I86" s="998"/>
      <c r="J86" s="997"/>
      <c r="K86" s="998"/>
    </row>
    <row r="87" spans="1:11">
      <c r="A87" s="990" t="s">
        <v>215</v>
      </c>
      <c r="B87" s="999" t="s">
        <v>216</v>
      </c>
      <c r="C87" s="988">
        <v>130</v>
      </c>
      <c r="D87" s="988">
        <v>122</v>
      </c>
      <c r="E87" s="988">
        <v>8</v>
      </c>
      <c r="F87" s="989">
        <f t="shared" si="4"/>
        <v>0.93846153846153846</v>
      </c>
      <c r="G87" s="989">
        <f t="shared" si="5"/>
        <v>6.1538461538461542E-2</v>
      </c>
      <c r="H87" s="997"/>
      <c r="I87" s="998"/>
      <c r="J87" s="997"/>
      <c r="K87" s="998"/>
    </row>
    <row r="88" spans="1:11">
      <c r="A88" s="990" t="s">
        <v>217</v>
      </c>
      <c r="B88" s="999" t="s">
        <v>218</v>
      </c>
      <c r="C88" s="988">
        <v>17</v>
      </c>
      <c r="D88" s="988">
        <v>7</v>
      </c>
      <c r="E88" s="988">
        <v>10</v>
      </c>
      <c r="F88" s="989">
        <f t="shared" si="4"/>
        <v>0.41176470588235292</v>
      </c>
      <c r="G88" s="989">
        <f t="shared" si="5"/>
        <v>0.58823529411764708</v>
      </c>
      <c r="H88" s="997"/>
      <c r="I88" s="998"/>
      <c r="J88" s="997"/>
      <c r="K88" s="998"/>
    </row>
    <row r="89" spans="1:11">
      <c r="A89" s="990" t="s">
        <v>219</v>
      </c>
      <c r="B89" s="999" t="s">
        <v>220</v>
      </c>
      <c r="C89" s="988">
        <v>250</v>
      </c>
      <c r="D89" s="988">
        <v>133</v>
      </c>
      <c r="E89" s="988">
        <v>44</v>
      </c>
      <c r="F89" s="989">
        <f t="shared" si="4"/>
        <v>0.53200000000000003</v>
      </c>
      <c r="G89" s="989">
        <f t="shared" si="5"/>
        <v>0.17599999999999999</v>
      </c>
      <c r="H89" s="997"/>
      <c r="I89" s="998"/>
      <c r="J89" s="997"/>
      <c r="K89" s="998"/>
    </row>
    <row r="90" spans="1:11">
      <c r="A90" s="990" t="s">
        <v>221</v>
      </c>
      <c r="B90" s="999" t="s">
        <v>222</v>
      </c>
      <c r="C90" s="988">
        <v>50</v>
      </c>
      <c r="D90" s="988">
        <v>41</v>
      </c>
      <c r="E90" s="988">
        <v>9</v>
      </c>
      <c r="F90" s="989">
        <f t="shared" si="4"/>
        <v>0.82</v>
      </c>
      <c r="G90" s="989">
        <f t="shared" si="5"/>
        <v>0.18</v>
      </c>
      <c r="H90" s="997"/>
      <c r="I90" s="998"/>
      <c r="J90" s="997"/>
      <c r="K90" s="998"/>
    </row>
    <row r="91" spans="1:11">
      <c r="A91" s="991" t="s">
        <v>225</v>
      </c>
      <c r="B91" s="999" t="s">
        <v>226</v>
      </c>
      <c r="C91" s="988">
        <v>7</v>
      </c>
      <c r="D91" s="988">
        <v>0</v>
      </c>
      <c r="E91" s="988">
        <v>7</v>
      </c>
      <c r="F91" s="989">
        <f t="shared" si="4"/>
        <v>0</v>
      </c>
      <c r="G91" s="989">
        <f t="shared" si="5"/>
        <v>1</v>
      </c>
      <c r="H91" s="997"/>
      <c r="I91" s="998"/>
      <c r="J91" s="997"/>
      <c r="K91" s="998"/>
    </row>
    <row r="92" spans="1:11">
      <c r="A92" s="990" t="s">
        <v>227</v>
      </c>
      <c r="B92" s="999" t="s">
        <v>228</v>
      </c>
      <c r="C92" s="988">
        <v>21</v>
      </c>
      <c r="D92" s="988">
        <v>5</v>
      </c>
      <c r="E92" s="988">
        <v>14</v>
      </c>
      <c r="F92" s="989">
        <f t="shared" si="4"/>
        <v>0.23809523809523808</v>
      </c>
      <c r="G92" s="989">
        <f t="shared" si="5"/>
        <v>0.66666666666666663</v>
      </c>
      <c r="H92" s="997"/>
      <c r="I92" s="998"/>
      <c r="J92" s="997"/>
      <c r="K92" s="998"/>
    </row>
    <row r="93" spans="1:11">
      <c r="A93" s="990" t="s">
        <v>229</v>
      </c>
      <c r="B93" s="999" t="s">
        <v>230</v>
      </c>
      <c r="C93" s="988">
        <v>109</v>
      </c>
      <c r="D93" s="988">
        <v>106</v>
      </c>
      <c r="E93" s="988">
        <v>3</v>
      </c>
      <c r="F93" s="989">
        <f t="shared" si="4"/>
        <v>0.97247706422018354</v>
      </c>
      <c r="G93" s="989">
        <f t="shared" si="5"/>
        <v>2.7522935779816515E-2</v>
      </c>
      <c r="H93" s="997"/>
      <c r="I93" s="998"/>
      <c r="J93" s="997"/>
      <c r="K93" s="998"/>
    </row>
    <row r="94" spans="1:11">
      <c r="A94" s="990" t="s">
        <v>233</v>
      </c>
      <c r="B94" s="999" t="s">
        <v>234</v>
      </c>
      <c r="C94" s="988">
        <v>71</v>
      </c>
      <c r="D94" s="988">
        <v>67</v>
      </c>
      <c r="E94" s="988">
        <v>4</v>
      </c>
      <c r="F94" s="989">
        <f t="shared" si="4"/>
        <v>0.94366197183098588</v>
      </c>
      <c r="G94" s="989">
        <f t="shared" si="5"/>
        <v>5.6338028169014086E-2</v>
      </c>
      <c r="H94" s="997"/>
      <c r="I94" s="998"/>
      <c r="J94" s="997"/>
      <c r="K94" s="998"/>
    </row>
    <row r="95" spans="1:11">
      <c r="A95" s="990" t="s">
        <v>235</v>
      </c>
      <c r="B95" s="999" t="s">
        <v>236</v>
      </c>
      <c r="C95" s="988">
        <v>117</v>
      </c>
      <c r="D95" s="988">
        <v>112</v>
      </c>
      <c r="E95" s="988">
        <v>3</v>
      </c>
      <c r="F95" s="989">
        <f t="shared" si="4"/>
        <v>0.95726495726495731</v>
      </c>
      <c r="G95" s="989">
        <f t="shared" si="5"/>
        <v>2.564102564102564E-2</v>
      </c>
      <c r="H95" s="997"/>
      <c r="I95" s="998"/>
      <c r="J95" s="997"/>
      <c r="K95" s="998"/>
    </row>
    <row r="96" spans="1:11">
      <c r="A96" s="990" t="s">
        <v>237</v>
      </c>
      <c r="B96" s="999" t="s">
        <v>238</v>
      </c>
      <c r="C96" s="988">
        <v>4</v>
      </c>
      <c r="D96" s="988">
        <v>2</v>
      </c>
      <c r="E96" s="988">
        <v>0</v>
      </c>
      <c r="F96" s="989">
        <f t="shared" si="4"/>
        <v>0.5</v>
      </c>
      <c r="G96" s="989">
        <f t="shared" si="5"/>
        <v>0</v>
      </c>
      <c r="H96" s="997"/>
      <c r="I96" s="998"/>
      <c r="J96" s="997"/>
      <c r="K96" s="998"/>
    </row>
    <row r="97" spans="1:11">
      <c r="A97" s="990" t="s">
        <v>243</v>
      </c>
      <c r="B97" s="999" t="s">
        <v>244</v>
      </c>
      <c r="C97" s="988">
        <v>251</v>
      </c>
      <c r="D97" s="988">
        <v>226</v>
      </c>
      <c r="E97" s="988">
        <v>25</v>
      </c>
      <c r="F97" s="989">
        <f t="shared" si="4"/>
        <v>0.90039840637450197</v>
      </c>
      <c r="G97" s="989">
        <f t="shared" si="5"/>
        <v>9.9601593625498003E-2</v>
      </c>
      <c r="H97" s="997"/>
      <c r="I97" s="998"/>
      <c r="J97" s="997"/>
      <c r="K97" s="998"/>
    </row>
    <row r="98" spans="1:11">
      <c r="A98" s="990" t="s">
        <v>245</v>
      </c>
      <c r="B98" s="999" t="s">
        <v>246</v>
      </c>
      <c r="C98" s="988">
        <v>118</v>
      </c>
      <c r="D98" s="988">
        <v>111</v>
      </c>
      <c r="E98" s="988">
        <v>7</v>
      </c>
      <c r="F98" s="989">
        <f t="shared" si="4"/>
        <v>0.94067796610169496</v>
      </c>
      <c r="G98" s="989">
        <f t="shared" si="5"/>
        <v>5.9322033898305086E-2</v>
      </c>
      <c r="H98" s="997"/>
      <c r="I98" s="998"/>
      <c r="J98" s="997"/>
      <c r="K98" s="998"/>
    </row>
    <row r="99" spans="1:11">
      <c r="A99" s="990" t="s">
        <v>247</v>
      </c>
      <c r="B99" s="999" t="s">
        <v>248</v>
      </c>
      <c r="C99" s="988">
        <v>137</v>
      </c>
      <c r="D99" s="988">
        <v>93</v>
      </c>
      <c r="E99" s="988">
        <v>16</v>
      </c>
      <c r="F99" s="989">
        <f t="shared" si="4"/>
        <v>0.67883211678832112</v>
      </c>
      <c r="G99" s="989">
        <f t="shared" si="5"/>
        <v>0.11678832116788321</v>
      </c>
      <c r="H99" s="997"/>
      <c r="I99" s="998"/>
      <c r="J99" s="997"/>
      <c r="K99" s="998"/>
    </row>
    <row r="100" spans="1:11">
      <c r="A100" s="990" t="s">
        <v>14</v>
      </c>
      <c r="B100" s="999" t="s">
        <v>15</v>
      </c>
      <c r="C100" s="988">
        <v>152</v>
      </c>
      <c r="D100" s="988">
        <v>57</v>
      </c>
      <c r="E100" s="988">
        <v>92</v>
      </c>
      <c r="F100" s="989">
        <f t="shared" si="4"/>
        <v>0.375</v>
      </c>
      <c r="G100" s="989">
        <f t="shared" si="5"/>
        <v>0.60526315789473684</v>
      </c>
      <c r="H100" s="997"/>
      <c r="I100" s="998"/>
      <c r="J100" s="997"/>
      <c r="K100" s="998"/>
    </row>
    <row r="101" spans="1:11">
      <c r="A101" s="990" t="s">
        <v>35</v>
      </c>
      <c r="B101" s="999" t="s">
        <v>36</v>
      </c>
      <c r="C101" s="988">
        <v>86</v>
      </c>
      <c r="D101" s="988">
        <v>67</v>
      </c>
      <c r="E101" s="988">
        <v>5</v>
      </c>
      <c r="F101" s="989">
        <f t="shared" ref="F101:F124" si="6">IF(C101&gt;0,+D101/+C101,"na")</f>
        <v>0.77906976744186052</v>
      </c>
      <c r="G101" s="989">
        <f t="shared" ref="G101:G124" si="7">IF(C101&gt;0,+E101/+C101,"na")</f>
        <v>5.8139534883720929E-2</v>
      </c>
      <c r="H101" s="997"/>
      <c r="I101" s="998"/>
      <c r="J101" s="997"/>
      <c r="K101" s="998"/>
    </row>
    <row r="102" spans="1:11">
      <c r="A102" s="990" t="s">
        <v>53</v>
      </c>
      <c r="B102" s="999" t="s">
        <v>54</v>
      </c>
      <c r="C102" s="988">
        <v>109</v>
      </c>
      <c r="D102" s="988">
        <v>53</v>
      </c>
      <c r="E102" s="988">
        <v>56</v>
      </c>
      <c r="F102" s="989">
        <f t="shared" si="6"/>
        <v>0.48623853211009177</v>
      </c>
      <c r="G102" s="989">
        <f t="shared" si="7"/>
        <v>0.51376146788990829</v>
      </c>
      <c r="H102" s="997"/>
      <c r="I102" s="998"/>
      <c r="J102" s="997"/>
      <c r="K102" s="998"/>
    </row>
    <row r="103" spans="1:11" ht="15.75" customHeight="1">
      <c r="A103" s="990" t="s">
        <v>55</v>
      </c>
      <c r="B103" s="999" t="s">
        <v>56</v>
      </c>
      <c r="C103" s="988">
        <v>378</v>
      </c>
      <c r="D103" s="988">
        <v>210</v>
      </c>
      <c r="E103" s="988">
        <v>161</v>
      </c>
      <c r="F103" s="989">
        <f t="shared" si="6"/>
        <v>0.55555555555555558</v>
      </c>
      <c r="G103" s="989">
        <f t="shared" si="7"/>
        <v>0.42592592592592593</v>
      </c>
      <c r="H103" s="997"/>
      <c r="I103" s="998"/>
      <c r="J103" s="997"/>
      <c r="K103" s="998"/>
    </row>
    <row r="104" spans="1:11" ht="15.75" customHeight="1">
      <c r="A104" s="990" t="s">
        <v>67</v>
      </c>
      <c r="B104" s="999" t="s">
        <v>68</v>
      </c>
      <c r="C104" s="988">
        <v>66</v>
      </c>
      <c r="D104" s="988">
        <v>26</v>
      </c>
      <c r="E104" s="988">
        <v>38</v>
      </c>
      <c r="F104" s="989">
        <f t="shared" si="6"/>
        <v>0.39393939393939392</v>
      </c>
      <c r="G104" s="989">
        <f t="shared" si="7"/>
        <v>0.5757575757575758</v>
      </c>
      <c r="H104" s="997"/>
      <c r="I104" s="998"/>
      <c r="J104" s="997"/>
      <c r="K104" s="998"/>
    </row>
    <row r="105" spans="1:11">
      <c r="A105" s="990" t="s">
        <v>83</v>
      </c>
      <c r="B105" s="999" t="s">
        <v>84</v>
      </c>
      <c r="C105" s="988">
        <v>8</v>
      </c>
      <c r="D105" s="988">
        <v>3</v>
      </c>
      <c r="E105" s="988">
        <v>5</v>
      </c>
      <c r="F105" s="989">
        <f t="shared" si="6"/>
        <v>0.375</v>
      </c>
      <c r="G105" s="989">
        <f t="shared" si="7"/>
        <v>0.625</v>
      </c>
      <c r="H105" s="997"/>
      <c r="I105" s="998"/>
      <c r="J105" s="997"/>
      <c r="K105" s="998"/>
    </row>
    <row r="106" spans="1:11">
      <c r="A106" s="990" t="s">
        <v>89</v>
      </c>
      <c r="B106" s="999" t="s">
        <v>90</v>
      </c>
      <c r="C106" s="988">
        <v>96</v>
      </c>
      <c r="D106" s="988">
        <v>56</v>
      </c>
      <c r="E106" s="988">
        <v>40</v>
      </c>
      <c r="F106" s="989">
        <f t="shared" si="6"/>
        <v>0.58333333333333337</v>
      </c>
      <c r="G106" s="989">
        <f t="shared" si="7"/>
        <v>0.41666666666666669</v>
      </c>
      <c r="H106" s="997"/>
      <c r="I106" s="998"/>
      <c r="J106" s="997"/>
      <c r="K106" s="998"/>
    </row>
    <row r="107" spans="1:11">
      <c r="A107" s="991" t="s">
        <v>91</v>
      </c>
      <c r="B107" s="999" t="s">
        <v>92</v>
      </c>
      <c r="C107" s="988">
        <v>14</v>
      </c>
      <c r="D107" s="988">
        <v>14</v>
      </c>
      <c r="E107" s="988">
        <v>0</v>
      </c>
      <c r="F107" s="989">
        <f t="shared" si="6"/>
        <v>1</v>
      </c>
      <c r="G107" s="989">
        <f t="shared" si="7"/>
        <v>0</v>
      </c>
      <c r="H107" s="997"/>
      <c r="I107" s="998"/>
      <c r="J107" s="997"/>
      <c r="K107" s="998"/>
    </row>
    <row r="108" spans="1:11">
      <c r="A108" s="990" t="s">
        <v>107</v>
      </c>
      <c r="B108" s="999" t="s">
        <v>108</v>
      </c>
      <c r="C108" s="988">
        <v>426</v>
      </c>
      <c r="D108" s="988">
        <v>150</v>
      </c>
      <c r="E108" s="988">
        <v>265</v>
      </c>
      <c r="F108" s="989">
        <f t="shared" si="6"/>
        <v>0.352112676056338</v>
      </c>
      <c r="G108" s="989">
        <f t="shared" si="7"/>
        <v>0.6220657276995305</v>
      </c>
      <c r="H108" s="997"/>
      <c r="I108" s="998"/>
      <c r="J108" s="997"/>
      <c r="K108" s="998"/>
    </row>
    <row r="109" spans="1:11">
      <c r="A109" s="990" t="s">
        <v>117</v>
      </c>
      <c r="B109" s="999" t="s">
        <v>118</v>
      </c>
      <c r="C109" s="988">
        <v>81</v>
      </c>
      <c r="D109" s="988">
        <v>46</v>
      </c>
      <c r="E109" s="988">
        <v>34</v>
      </c>
      <c r="F109" s="989">
        <f t="shared" si="6"/>
        <v>0.5679012345679012</v>
      </c>
      <c r="G109" s="989">
        <f t="shared" si="7"/>
        <v>0.41975308641975306</v>
      </c>
      <c r="H109" s="997"/>
      <c r="I109" s="998"/>
      <c r="J109" s="997"/>
      <c r="K109" s="998"/>
    </row>
    <row r="110" spans="1:11">
      <c r="A110" s="990" t="s">
        <v>139</v>
      </c>
      <c r="B110" s="999" t="s">
        <v>140</v>
      </c>
      <c r="C110" s="988">
        <v>129</v>
      </c>
      <c r="D110" s="988">
        <v>58</v>
      </c>
      <c r="E110" s="988">
        <v>71</v>
      </c>
      <c r="F110" s="989">
        <f t="shared" si="6"/>
        <v>0.44961240310077522</v>
      </c>
      <c r="G110" s="989">
        <f t="shared" si="7"/>
        <v>0.55038759689922478</v>
      </c>
      <c r="H110" s="997"/>
      <c r="I110" s="998"/>
      <c r="J110" s="997"/>
      <c r="K110" s="998"/>
    </row>
    <row r="111" spans="1:11">
      <c r="A111" s="990" t="s">
        <v>143</v>
      </c>
      <c r="B111" s="999" t="s">
        <v>144</v>
      </c>
      <c r="C111" s="988">
        <v>33</v>
      </c>
      <c r="D111" s="988">
        <v>20</v>
      </c>
      <c r="E111" s="988">
        <v>11</v>
      </c>
      <c r="F111" s="989">
        <f t="shared" si="6"/>
        <v>0.60606060606060608</v>
      </c>
      <c r="G111" s="989">
        <f t="shared" si="7"/>
        <v>0.33333333333333331</v>
      </c>
      <c r="H111" s="997"/>
      <c r="I111" s="998"/>
      <c r="J111" s="997"/>
      <c r="K111" s="998"/>
    </row>
    <row r="112" spans="1:11">
      <c r="A112" s="991" t="s">
        <v>145</v>
      </c>
      <c r="B112" s="999" t="s">
        <v>146</v>
      </c>
      <c r="C112" s="988">
        <v>26</v>
      </c>
      <c r="D112" s="988">
        <v>20</v>
      </c>
      <c r="E112" s="988">
        <v>6</v>
      </c>
      <c r="F112" s="989">
        <f t="shared" si="6"/>
        <v>0.76923076923076927</v>
      </c>
      <c r="G112" s="989">
        <f t="shared" si="7"/>
        <v>0.23076923076923078</v>
      </c>
      <c r="H112" s="997"/>
      <c r="I112" s="998"/>
      <c r="J112" s="997"/>
      <c r="K112" s="998"/>
    </row>
    <row r="113" spans="1:11">
      <c r="A113" s="990" t="s">
        <v>159</v>
      </c>
      <c r="B113" s="999" t="s">
        <v>160</v>
      </c>
      <c r="C113" s="988">
        <v>446</v>
      </c>
      <c r="D113" s="988">
        <v>148</v>
      </c>
      <c r="E113" s="988">
        <v>272</v>
      </c>
      <c r="F113" s="989">
        <f t="shared" si="6"/>
        <v>0.33183856502242154</v>
      </c>
      <c r="G113" s="989">
        <f t="shared" si="7"/>
        <v>0.60986547085201792</v>
      </c>
      <c r="H113" s="997"/>
      <c r="I113" s="998"/>
      <c r="J113" s="997"/>
      <c r="K113" s="998"/>
    </row>
    <row r="114" spans="1:11">
      <c r="A114" s="990" t="s">
        <v>161</v>
      </c>
      <c r="B114" s="999" t="s">
        <v>162</v>
      </c>
      <c r="C114" s="988">
        <v>862</v>
      </c>
      <c r="D114" s="988">
        <v>239</v>
      </c>
      <c r="E114" s="988">
        <v>621</v>
      </c>
      <c r="F114" s="989">
        <f t="shared" si="6"/>
        <v>0.27726218097447797</v>
      </c>
      <c r="G114" s="989">
        <f t="shared" si="7"/>
        <v>0.72041763341067289</v>
      </c>
      <c r="H114" s="997"/>
      <c r="I114" s="998"/>
      <c r="J114" s="997"/>
      <c r="K114" s="998"/>
    </row>
    <row r="115" spans="1:11">
      <c r="A115" s="990" t="s">
        <v>167</v>
      </c>
      <c r="B115" s="999" t="s">
        <v>168</v>
      </c>
      <c r="C115" s="988">
        <v>9</v>
      </c>
      <c r="D115" s="988">
        <v>8</v>
      </c>
      <c r="E115" s="988">
        <v>1</v>
      </c>
      <c r="F115" s="989">
        <f t="shared" si="6"/>
        <v>0.88888888888888884</v>
      </c>
      <c r="G115" s="989">
        <f t="shared" si="7"/>
        <v>0.1111111111111111</v>
      </c>
      <c r="H115" s="997"/>
      <c r="I115" s="998"/>
      <c r="J115" s="997"/>
      <c r="K115" s="998"/>
    </row>
    <row r="116" spans="1:11">
      <c r="A116" s="990" t="s">
        <v>177</v>
      </c>
      <c r="B116" s="999" t="s">
        <v>178</v>
      </c>
      <c r="C116" s="988">
        <v>65</v>
      </c>
      <c r="D116" s="988">
        <v>12</v>
      </c>
      <c r="E116" s="988">
        <v>53</v>
      </c>
      <c r="F116" s="989">
        <f t="shared" si="6"/>
        <v>0.18461538461538463</v>
      </c>
      <c r="G116" s="989">
        <f t="shared" si="7"/>
        <v>0.81538461538461537</v>
      </c>
      <c r="H116" s="997"/>
      <c r="I116" s="998"/>
      <c r="J116" s="997"/>
      <c r="K116" s="998"/>
    </row>
    <row r="117" spans="1:11">
      <c r="A117" s="990" t="s">
        <v>181</v>
      </c>
      <c r="B117" s="999" t="s">
        <v>182</v>
      </c>
      <c r="C117" s="988">
        <v>280</v>
      </c>
      <c r="D117" s="988">
        <v>73</v>
      </c>
      <c r="E117" s="988">
        <v>199</v>
      </c>
      <c r="F117" s="989">
        <f t="shared" si="6"/>
        <v>0.26071428571428573</v>
      </c>
      <c r="G117" s="989">
        <f t="shared" si="7"/>
        <v>0.71071428571428574</v>
      </c>
      <c r="H117" s="997"/>
      <c r="I117" s="998"/>
      <c r="J117" s="997"/>
      <c r="K117" s="998"/>
    </row>
    <row r="118" spans="1:11">
      <c r="A118" s="990" t="s">
        <v>193</v>
      </c>
      <c r="B118" s="999" t="s">
        <v>194</v>
      </c>
      <c r="C118" s="988">
        <v>31</v>
      </c>
      <c r="D118" s="988">
        <v>28</v>
      </c>
      <c r="E118" s="988">
        <v>3</v>
      </c>
      <c r="F118" s="989">
        <f t="shared" si="6"/>
        <v>0.90322580645161288</v>
      </c>
      <c r="G118" s="989">
        <f t="shared" si="7"/>
        <v>9.6774193548387094E-2</v>
      </c>
      <c r="H118" s="997"/>
      <c r="I118" s="998"/>
      <c r="J118" s="997"/>
      <c r="K118" s="998"/>
    </row>
    <row r="119" spans="1:11">
      <c r="A119" s="990" t="s">
        <v>197</v>
      </c>
      <c r="B119" s="999" t="s">
        <v>198</v>
      </c>
      <c r="C119" s="988">
        <v>312</v>
      </c>
      <c r="D119" s="988">
        <v>51</v>
      </c>
      <c r="E119" s="988">
        <v>260</v>
      </c>
      <c r="F119" s="989">
        <f t="shared" si="6"/>
        <v>0.16346153846153846</v>
      </c>
      <c r="G119" s="989">
        <f t="shared" si="7"/>
        <v>0.83333333333333337</v>
      </c>
      <c r="H119" s="997"/>
      <c r="I119" s="998"/>
      <c r="J119" s="997"/>
      <c r="K119" s="998"/>
    </row>
    <row r="120" spans="1:11">
      <c r="A120" s="990" t="s">
        <v>201</v>
      </c>
      <c r="B120" s="999" t="s">
        <v>202</v>
      </c>
      <c r="C120" s="988">
        <v>306</v>
      </c>
      <c r="D120" s="988">
        <v>186</v>
      </c>
      <c r="E120" s="988">
        <v>120</v>
      </c>
      <c r="F120" s="989">
        <f t="shared" si="6"/>
        <v>0.60784313725490191</v>
      </c>
      <c r="G120" s="989">
        <f t="shared" si="7"/>
        <v>0.39215686274509803</v>
      </c>
      <c r="H120" s="997"/>
      <c r="I120" s="998"/>
      <c r="J120" s="997"/>
      <c r="K120" s="998"/>
    </row>
    <row r="121" spans="1:11">
      <c r="A121" s="990" t="s">
        <v>223</v>
      </c>
      <c r="B121" s="999" t="s">
        <v>224</v>
      </c>
      <c r="C121" s="988">
        <v>69</v>
      </c>
      <c r="D121" s="988">
        <v>22</v>
      </c>
      <c r="E121" s="988">
        <v>37</v>
      </c>
      <c r="F121" s="989">
        <f t="shared" si="6"/>
        <v>0.3188405797101449</v>
      </c>
      <c r="G121" s="989">
        <f t="shared" si="7"/>
        <v>0.53623188405797106</v>
      </c>
      <c r="H121" s="997"/>
      <c r="I121" s="998"/>
      <c r="J121" s="997"/>
      <c r="K121" s="998"/>
    </row>
    <row r="122" spans="1:11">
      <c r="A122" s="990" t="s">
        <v>231</v>
      </c>
      <c r="B122" s="999" t="s">
        <v>232</v>
      </c>
      <c r="C122" s="988">
        <v>1197</v>
      </c>
      <c r="D122" s="988">
        <v>717</v>
      </c>
      <c r="E122" s="988">
        <v>414</v>
      </c>
      <c r="F122" s="989">
        <f t="shared" si="6"/>
        <v>0.59899749373433586</v>
      </c>
      <c r="G122" s="989">
        <f t="shared" si="7"/>
        <v>0.34586466165413532</v>
      </c>
      <c r="H122" s="997"/>
      <c r="I122" s="998"/>
      <c r="J122" s="997"/>
      <c r="K122" s="998"/>
    </row>
    <row r="123" spans="1:11">
      <c r="A123" s="990" t="s">
        <v>239</v>
      </c>
      <c r="B123" s="999" t="s">
        <v>240</v>
      </c>
      <c r="C123" s="988">
        <v>15</v>
      </c>
      <c r="D123" s="988">
        <v>11</v>
      </c>
      <c r="E123" s="988">
        <v>4</v>
      </c>
      <c r="F123" s="989">
        <f t="shared" si="6"/>
        <v>0.73333333333333328</v>
      </c>
      <c r="G123" s="989">
        <f t="shared" si="7"/>
        <v>0.26666666666666666</v>
      </c>
      <c r="H123" s="997"/>
      <c r="I123" s="998"/>
      <c r="J123" s="997"/>
      <c r="K123" s="998"/>
    </row>
    <row r="124" spans="1:11">
      <c r="A124" s="992" t="s">
        <v>241</v>
      </c>
      <c r="B124" s="1000" t="s">
        <v>242</v>
      </c>
      <c r="C124" s="993">
        <v>50</v>
      </c>
      <c r="D124" s="993">
        <v>32</v>
      </c>
      <c r="E124" s="993">
        <v>18</v>
      </c>
      <c r="F124" s="994">
        <f t="shared" si="6"/>
        <v>0.64</v>
      </c>
      <c r="G124" s="994">
        <f t="shared" si="7"/>
        <v>0.36</v>
      </c>
      <c r="H124" s="997"/>
      <c r="I124" s="998"/>
      <c r="J124" s="997"/>
      <c r="K124" s="998"/>
    </row>
    <row r="125" spans="1:11" ht="29.25" customHeight="1">
      <c r="A125" s="1394" t="s">
        <v>1037</v>
      </c>
      <c r="B125" s="1394"/>
      <c r="C125" s="1394"/>
      <c r="D125" s="1394"/>
      <c r="E125" s="1394"/>
      <c r="F125" s="1394"/>
      <c r="G125" s="1394"/>
    </row>
    <row r="126" spans="1:11" ht="5.0999999999999996" customHeight="1"/>
    <row r="127" spans="1:11" ht="27.75" customHeight="1">
      <c r="A127" s="1395" t="s">
        <v>250</v>
      </c>
      <c r="B127" s="1395"/>
      <c r="C127" s="1395"/>
      <c r="D127" s="1395"/>
      <c r="E127" s="1395"/>
      <c r="F127" s="1395"/>
      <c r="G127" s="1395"/>
      <c r="H127" s="995"/>
    </row>
    <row r="128" spans="1:11">
      <c r="A128" s="996" t="s">
        <v>251</v>
      </c>
      <c r="B128" s="966" t="s">
        <v>252</v>
      </c>
      <c r="C128" s="190"/>
      <c r="D128" s="190"/>
      <c r="E128" s="190"/>
      <c r="F128" s="190"/>
      <c r="G128" s="190"/>
      <c r="H128" s="190"/>
    </row>
  </sheetData>
  <autoFilter ref="A3:B3"/>
  <mergeCells count="4">
    <mergeCell ref="A1:G1"/>
    <mergeCell ref="F2:G2"/>
    <mergeCell ref="A125:G125"/>
    <mergeCell ref="A127:G127"/>
  </mergeCells>
  <hyperlinks>
    <hyperlink ref="B128" r:id="rId1"/>
  </hyperlinks>
  <pageMargins left="1" right="0" top="1" bottom="1" header="0.3" footer="0.3"/>
  <pageSetup orientation="portrait" r:id="rId2"/>
  <headerFooter>
    <oddFooter>&amp;C&amp;"Courier New,Regular"&amp;10&amp;P of &amp;N</oddFooter>
  </headerFooter>
</worksheet>
</file>

<file path=xl/worksheets/sheet42.xml><?xml version="1.0" encoding="utf-8"?>
<worksheet xmlns="http://schemas.openxmlformats.org/spreadsheetml/2006/main" xmlns:r="http://schemas.openxmlformats.org/officeDocument/2006/relationships">
  <dimension ref="A1:S142"/>
  <sheetViews>
    <sheetView workbookViewId="0">
      <pane ySplit="4" topLeftCell="A109" activePane="bottomLeft" state="frozen"/>
      <selection activeCell="B10" sqref="B10"/>
      <selection pane="bottomLeft" activeCell="B12" sqref="B12"/>
    </sheetView>
  </sheetViews>
  <sheetFormatPr defaultRowHeight="13.5"/>
  <cols>
    <col min="1" max="1" width="9.125" style="20" customWidth="1"/>
    <col min="2" max="2" width="17.75" style="20" customWidth="1"/>
    <col min="3" max="3" width="11.25" style="20" customWidth="1"/>
    <col min="4" max="9" width="7.5" style="20" customWidth="1"/>
    <col min="10" max="10" width="18.375" style="20" customWidth="1"/>
    <col min="11" max="11" width="26.25" style="20" customWidth="1"/>
    <col min="12" max="12" width="18.375" style="20" customWidth="1"/>
    <col min="13" max="13" width="26.25" style="20" customWidth="1"/>
    <col min="14" max="14" width="18.375" style="20" customWidth="1"/>
    <col min="15" max="15" width="26.25" style="20" customWidth="1"/>
    <col min="16" max="16" width="18.375" style="20" customWidth="1"/>
    <col min="17" max="17" width="26.25" style="20" customWidth="1"/>
    <col min="18" max="18" width="18.375" style="20" customWidth="1"/>
    <col min="19" max="19" width="26.25" style="20" customWidth="1"/>
    <col min="20" max="16384" width="9" style="20"/>
  </cols>
  <sheetData>
    <row r="1" spans="1:19" ht="16.5">
      <c r="A1" s="1397"/>
      <c r="B1" s="1397"/>
      <c r="C1" s="1397"/>
      <c r="D1" s="1397"/>
      <c r="E1" s="1397"/>
      <c r="F1" s="1397"/>
      <c r="G1" s="1397"/>
      <c r="H1" s="23"/>
      <c r="I1" s="23"/>
      <c r="J1" s="24" t="s">
        <v>335</v>
      </c>
    </row>
    <row r="2" spans="1:19" ht="33.75" customHeight="1">
      <c r="A2" s="1398" t="s">
        <v>336</v>
      </c>
      <c r="B2" s="1398"/>
      <c r="C2" s="1398"/>
      <c r="D2" s="1398"/>
      <c r="E2" s="1398"/>
      <c r="F2" s="1398"/>
      <c r="G2" s="1398"/>
      <c r="H2" s="1398"/>
      <c r="I2" s="23"/>
    </row>
    <row r="3" spans="1:19" s="29" customFormat="1" ht="15.75">
      <c r="A3" s="25" t="s">
        <v>4</v>
      </c>
      <c r="B3" s="25" t="s">
        <v>337</v>
      </c>
      <c r="C3" s="25" t="s">
        <v>253</v>
      </c>
      <c r="D3" s="26" t="s">
        <v>319</v>
      </c>
      <c r="E3" s="26" t="s">
        <v>320</v>
      </c>
      <c r="F3" s="26" t="s">
        <v>321</v>
      </c>
      <c r="G3" s="26" t="s">
        <v>322</v>
      </c>
      <c r="H3" s="26" t="s">
        <v>323</v>
      </c>
      <c r="I3" s="27"/>
      <c r="J3" s="28" t="s">
        <v>338</v>
      </c>
      <c r="K3" s="28" t="s">
        <v>339</v>
      </c>
      <c r="L3" s="28" t="s">
        <v>340</v>
      </c>
      <c r="M3" s="28" t="s">
        <v>341</v>
      </c>
      <c r="N3" s="28" t="s">
        <v>342</v>
      </c>
      <c r="O3" s="28" t="s">
        <v>343</v>
      </c>
      <c r="P3" s="28" t="s">
        <v>344</v>
      </c>
      <c r="Q3" s="28" t="s">
        <v>345</v>
      </c>
      <c r="R3" s="28" t="s">
        <v>346</v>
      </c>
      <c r="S3" s="28" t="s">
        <v>347</v>
      </c>
    </row>
    <row r="4" spans="1:19" s="29" customFormat="1" ht="15.75">
      <c r="A4" s="30"/>
      <c r="B4" s="31" t="s">
        <v>9</v>
      </c>
      <c r="C4" s="31"/>
      <c r="D4" s="32">
        <f>+J139/K139</f>
        <v>3.8062924145393509</v>
      </c>
      <c r="E4" s="32">
        <f>+L139/M139</f>
        <v>3.8799307799540785</v>
      </c>
      <c r="F4" s="32">
        <f>+N139/O139</f>
        <v>3.9257311454021009</v>
      </c>
      <c r="G4" s="32">
        <f>+P139/Q139</f>
        <v>3.4404281561577594</v>
      </c>
      <c r="H4" s="32">
        <f>+R139/S139</f>
        <v>3.2513158883512423</v>
      </c>
      <c r="I4" s="33"/>
      <c r="J4" s="28"/>
      <c r="K4" s="28"/>
      <c r="L4" s="28"/>
      <c r="M4" s="28"/>
      <c r="N4" s="28"/>
      <c r="O4" s="28"/>
      <c r="P4" s="28"/>
      <c r="Q4" s="28"/>
      <c r="R4" s="28"/>
      <c r="S4" s="28"/>
    </row>
    <row r="5" spans="1:19" s="950" customFormat="1" ht="12.75">
      <c r="A5" s="970" t="s">
        <v>10</v>
      </c>
      <c r="B5" s="971" t="s">
        <v>11</v>
      </c>
      <c r="C5" s="972" t="s">
        <v>272</v>
      </c>
      <c r="D5" s="973">
        <f t="shared" ref="D5:D36" si="0">+J5/K5</f>
        <v>5</v>
      </c>
      <c r="E5" s="973">
        <f t="shared" ref="E5:E36" si="1">+L5/M5</f>
        <v>6.1612938717130596</v>
      </c>
      <c r="F5" s="973">
        <f t="shared" ref="F5:F36" si="2">+N5/O5</f>
        <v>6.7</v>
      </c>
      <c r="G5" s="973">
        <f t="shared" ref="G5:G36" si="3">+P5/Q5</f>
        <v>5.2</v>
      </c>
      <c r="H5" s="973">
        <f t="shared" ref="H5:H36" si="4">+R5/S5</f>
        <v>7.9</v>
      </c>
      <c r="I5" s="973"/>
      <c r="J5" s="978">
        <v>45.655000000000001</v>
      </c>
      <c r="K5" s="979">
        <v>9.1310000000000002</v>
      </c>
      <c r="L5" s="979">
        <v>56</v>
      </c>
      <c r="M5" s="979">
        <v>9.0890000000000004</v>
      </c>
      <c r="N5" s="979">
        <v>60.226300000000009</v>
      </c>
      <c r="O5" s="979">
        <v>8.9890000000000008</v>
      </c>
      <c r="P5" s="979">
        <v>46.3996</v>
      </c>
      <c r="Q5" s="979">
        <v>8.923</v>
      </c>
      <c r="R5" s="979">
        <v>68.706299999999999</v>
      </c>
      <c r="S5" s="979">
        <v>8.6969999999999992</v>
      </c>
    </row>
    <row r="6" spans="1:19" s="950" customFormat="1" ht="12.75">
      <c r="A6" s="970" t="s">
        <v>12</v>
      </c>
      <c r="B6" s="971" t="s">
        <v>13</v>
      </c>
      <c r="C6" s="972" t="s">
        <v>273</v>
      </c>
      <c r="D6" s="973">
        <f t="shared" si="0"/>
        <v>1.5</v>
      </c>
      <c r="E6" s="973">
        <f t="shared" si="1"/>
        <v>1.6054585591009434</v>
      </c>
      <c r="F6" s="973">
        <f t="shared" si="2"/>
        <v>1.1000000000000001</v>
      </c>
      <c r="G6" s="973">
        <f t="shared" si="3"/>
        <v>1.7</v>
      </c>
      <c r="H6" s="973">
        <f t="shared" si="4"/>
        <v>0.10000000000000002</v>
      </c>
      <c r="I6" s="973"/>
      <c r="J6" s="980">
        <v>29.8995</v>
      </c>
      <c r="K6" s="981">
        <v>19.933</v>
      </c>
      <c r="L6" s="981">
        <v>32</v>
      </c>
      <c r="M6" s="981">
        <v>19.931999999999999</v>
      </c>
      <c r="N6" s="981">
        <v>21.965900000000001</v>
      </c>
      <c r="O6" s="981">
        <v>19.969000000000001</v>
      </c>
      <c r="P6" s="981">
        <v>34.186999999999998</v>
      </c>
      <c r="Q6" s="981">
        <v>20.11</v>
      </c>
      <c r="R6" s="981">
        <v>2.0202000000000004</v>
      </c>
      <c r="S6" s="981">
        <v>20.202000000000002</v>
      </c>
    </row>
    <row r="7" spans="1:19" s="950" customFormat="1" ht="12.75">
      <c r="A7" s="970" t="s">
        <v>16</v>
      </c>
      <c r="B7" s="971" t="s">
        <v>274</v>
      </c>
      <c r="C7" s="972" t="s">
        <v>273</v>
      </c>
      <c r="D7" s="973">
        <f t="shared" si="0"/>
        <v>1.3</v>
      </c>
      <c r="E7" s="973">
        <f t="shared" si="1"/>
        <v>1.3885031935573451</v>
      </c>
      <c r="F7" s="973">
        <f t="shared" si="2"/>
        <v>2.6</v>
      </c>
      <c r="G7" s="973">
        <f t="shared" si="3"/>
        <v>3.1</v>
      </c>
      <c r="H7" s="973">
        <f t="shared" si="4"/>
        <v>2.4</v>
      </c>
      <c r="I7" s="973"/>
      <c r="J7" s="980">
        <v>4.6891000000000007</v>
      </c>
      <c r="K7" s="981">
        <v>3.6070000000000002</v>
      </c>
      <c r="L7" s="981">
        <v>5</v>
      </c>
      <c r="M7" s="981">
        <v>3.601</v>
      </c>
      <c r="N7" s="981">
        <v>9.3339999999999996</v>
      </c>
      <c r="O7" s="981">
        <v>3.59</v>
      </c>
      <c r="P7" s="981">
        <v>11.144500000000001</v>
      </c>
      <c r="Q7" s="981">
        <v>3.5950000000000002</v>
      </c>
      <c r="R7" s="981">
        <v>8.6856000000000009</v>
      </c>
      <c r="S7" s="981">
        <v>3.6190000000000002</v>
      </c>
    </row>
    <row r="8" spans="1:19" s="950" customFormat="1" ht="12.75">
      <c r="A8" s="970" t="s">
        <v>18</v>
      </c>
      <c r="B8" s="971" t="s">
        <v>19</v>
      </c>
      <c r="C8" s="972" t="s">
        <v>275</v>
      </c>
      <c r="D8" s="973">
        <f t="shared" si="0"/>
        <v>1.8</v>
      </c>
      <c r="E8" s="973">
        <f t="shared" si="1"/>
        <v>3.913198150124511</v>
      </c>
      <c r="F8" s="973">
        <f t="shared" si="2"/>
        <v>2</v>
      </c>
      <c r="G8" s="973">
        <f t="shared" si="3"/>
        <v>1.6</v>
      </c>
      <c r="H8" s="973">
        <f t="shared" si="4"/>
        <v>0.6</v>
      </c>
      <c r="I8" s="973"/>
      <c r="J8" s="980">
        <v>5.0903999999999998</v>
      </c>
      <c r="K8" s="981">
        <v>2.8279999999999998</v>
      </c>
      <c r="L8" s="981">
        <v>11</v>
      </c>
      <c r="M8" s="981">
        <v>2.8109999999999999</v>
      </c>
      <c r="N8" s="981">
        <v>5.7060000000000004</v>
      </c>
      <c r="O8" s="981">
        <v>2.8530000000000002</v>
      </c>
      <c r="P8" s="981">
        <v>4.6912000000000003</v>
      </c>
      <c r="Q8" s="981">
        <v>2.9319999999999999</v>
      </c>
      <c r="R8" s="981">
        <v>1.7645999999999999</v>
      </c>
      <c r="S8" s="981">
        <v>2.9409999999999998</v>
      </c>
    </row>
    <row r="9" spans="1:19" s="950" customFormat="1" ht="12.75">
      <c r="A9" s="970" t="s">
        <v>20</v>
      </c>
      <c r="B9" s="971" t="s">
        <v>21</v>
      </c>
      <c r="C9" s="972" t="s">
        <v>273</v>
      </c>
      <c r="D9" s="973">
        <f t="shared" si="0"/>
        <v>5.8</v>
      </c>
      <c r="E9" s="973">
        <f t="shared" si="1"/>
        <v>1.9660160089875016</v>
      </c>
      <c r="F9" s="973">
        <f t="shared" si="2"/>
        <v>2.2999999999999998</v>
      </c>
      <c r="G9" s="973">
        <f t="shared" si="3"/>
        <v>1.8</v>
      </c>
      <c r="H9" s="973">
        <f t="shared" si="4"/>
        <v>3.9</v>
      </c>
      <c r="I9" s="973"/>
      <c r="J9" s="980">
        <v>42.253</v>
      </c>
      <c r="K9" s="981">
        <v>7.2850000000000001</v>
      </c>
      <c r="L9" s="981">
        <v>14</v>
      </c>
      <c r="M9" s="981">
        <v>7.1210000000000004</v>
      </c>
      <c r="N9" s="981">
        <v>16.145999999999997</v>
      </c>
      <c r="O9" s="981">
        <v>7.02</v>
      </c>
      <c r="P9" s="981">
        <v>12.461400000000001</v>
      </c>
      <c r="Q9" s="981">
        <v>6.923</v>
      </c>
      <c r="R9" s="981">
        <v>26.933399999999999</v>
      </c>
      <c r="S9" s="981">
        <v>6.9059999999999997</v>
      </c>
    </row>
    <row r="10" spans="1:19" s="950" customFormat="1" ht="12.75">
      <c r="A10" s="970" t="s">
        <v>22</v>
      </c>
      <c r="B10" s="971" t="s">
        <v>23</v>
      </c>
      <c r="C10" s="972" t="s">
        <v>273</v>
      </c>
      <c r="D10" s="973">
        <f t="shared" si="0"/>
        <v>6.2</v>
      </c>
      <c r="E10" s="973">
        <f t="shared" si="1"/>
        <v>3.4558592522777256</v>
      </c>
      <c r="F10" s="973">
        <f t="shared" si="2"/>
        <v>6.8999999999999995</v>
      </c>
      <c r="G10" s="973">
        <f t="shared" si="3"/>
        <v>4.5999999999999996</v>
      </c>
      <c r="H10" s="973">
        <f t="shared" si="4"/>
        <v>5.0999999999999996</v>
      </c>
      <c r="I10" s="973"/>
      <c r="J10" s="980">
        <v>19.864800000000002</v>
      </c>
      <c r="K10" s="981">
        <v>3.2040000000000002</v>
      </c>
      <c r="L10" s="981">
        <v>11</v>
      </c>
      <c r="M10" s="981">
        <v>3.1829999999999998</v>
      </c>
      <c r="N10" s="981">
        <v>21.914400000000001</v>
      </c>
      <c r="O10" s="981">
        <v>3.1760000000000002</v>
      </c>
      <c r="P10" s="981">
        <v>14.526799999999998</v>
      </c>
      <c r="Q10" s="981">
        <v>3.1579999999999999</v>
      </c>
      <c r="R10" s="981">
        <v>16.432199999999998</v>
      </c>
      <c r="S10" s="981">
        <v>3.222</v>
      </c>
    </row>
    <row r="11" spans="1:19" s="950" customFormat="1" ht="12.75">
      <c r="A11" s="970" t="s">
        <v>24</v>
      </c>
      <c r="B11" s="971" t="s">
        <v>25</v>
      </c>
      <c r="C11" s="972" t="s">
        <v>276</v>
      </c>
      <c r="D11" s="973">
        <f t="shared" si="0"/>
        <v>2.5</v>
      </c>
      <c r="E11" s="973">
        <f t="shared" si="1"/>
        <v>2.2371364653243848</v>
      </c>
      <c r="F11" s="973">
        <f t="shared" si="2"/>
        <v>2.6</v>
      </c>
      <c r="G11" s="973">
        <f t="shared" si="3"/>
        <v>1.4</v>
      </c>
      <c r="H11" s="973">
        <f t="shared" si="4"/>
        <v>1.1000000000000001</v>
      </c>
      <c r="I11" s="973"/>
      <c r="J11" s="980">
        <v>80.717500000000001</v>
      </c>
      <c r="K11" s="981">
        <v>32.286999999999999</v>
      </c>
      <c r="L11" s="981">
        <v>72</v>
      </c>
      <c r="M11" s="981">
        <v>32.183999999999997</v>
      </c>
      <c r="N11" s="981">
        <v>84.068400000000011</v>
      </c>
      <c r="O11" s="981">
        <v>32.334000000000003</v>
      </c>
      <c r="P11" s="981">
        <v>45.214399999999998</v>
      </c>
      <c r="Q11" s="981">
        <v>32.295999999999999</v>
      </c>
      <c r="R11" s="981">
        <v>35.966700000000003</v>
      </c>
      <c r="S11" s="981">
        <v>32.697000000000003</v>
      </c>
    </row>
    <row r="12" spans="1:19" s="950" customFormat="1" ht="12.75">
      <c r="A12" s="970" t="s">
        <v>26</v>
      </c>
      <c r="B12" s="971" t="s">
        <v>277</v>
      </c>
      <c r="C12" s="972" t="s">
        <v>273</v>
      </c>
      <c r="D12" s="973">
        <f t="shared" si="0"/>
        <v>3.6</v>
      </c>
      <c r="E12" s="973">
        <f t="shared" si="1"/>
        <v>5.0430896903925948</v>
      </c>
      <c r="F12" s="973">
        <f t="shared" si="2"/>
        <v>5.5</v>
      </c>
      <c r="G12" s="973">
        <f t="shared" si="3"/>
        <v>3.8</v>
      </c>
      <c r="H12" s="973">
        <f t="shared" si="4"/>
        <v>5.5</v>
      </c>
      <c r="I12" s="973"/>
      <c r="J12" s="980">
        <v>55.461600000000004</v>
      </c>
      <c r="K12" s="981">
        <v>15.406000000000001</v>
      </c>
      <c r="L12" s="981">
        <v>79</v>
      </c>
      <c r="M12" s="981">
        <v>15.664999999999999</v>
      </c>
      <c r="N12" s="981">
        <v>86.278499999999994</v>
      </c>
      <c r="O12" s="981">
        <v>15.686999999999999</v>
      </c>
      <c r="P12" s="981">
        <v>60.283200000000001</v>
      </c>
      <c r="Q12" s="981">
        <v>15.864000000000001</v>
      </c>
      <c r="R12" s="981">
        <v>88.648999999999987</v>
      </c>
      <c r="S12" s="981">
        <v>16.117999999999999</v>
      </c>
    </row>
    <row r="13" spans="1:19" s="950" customFormat="1" ht="12.75">
      <c r="A13" s="970" t="s">
        <v>27</v>
      </c>
      <c r="B13" s="971" t="s">
        <v>28</v>
      </c>
      <c r="C13" s="972" t="s">
        <v>273</v>
      </c>
      <c r="D13" s="973">
        <f t="shared" si="0"/>
        <v>5.0999999999999996</v>
      </c>
      <c r="E13" s="973">
        <f t="shared" si="1"/>
        <v>0</v>
      </c>
      <c r="F13" s="973">
        <f t="shared" si="2"/>
        <v>0</v>
      </c>
      <c r="G13" s="973">
        <f t="shared" si="3"/>
        <v>4.2</v>
      </c>
      <c r="H13" s="973">
        <f t="shared" si="4"/>
        <v>5.0999999999999988</v>
      </c>
      <c r="I13" s="973"/>
      <c r="J13" s="980">
        <v>5.0489999999999995</v>
      </c>
      <c r="K13" s="981">
        <v>0.99</v>
      </c>
      <c r="L13" s="981">
        <v>0</v>
      </c>
      <c r="M13" s="981">
        <v>0.98399999999999999</v>
      </c>
      <c r="N13" s="981">
        <v>0</v>
      </c>
      <c r="O13" s="981">
        <v>0.96499999999999997</v>
      </c>
      <c r="P13" s="981">
        <v>3.7926000000000002</v>
      </c>
      <c r="Q13" s="981">
        <v>0.90300000000000002</v>
      </c>
      <c r="R13" s="981">
        <v>4.4522999999999993</v>
      </c>
      <c r="S13" s="981">
        <v>0.873</v>
      </c>
    </row>
    <row r="14" spans="1:19" s="950" customFormat="1" ht="12.75">
      <c r="A14" s="970" t="s">
        <v>29</v>
      </c>
      <c r="B14" s="971" t="s">
        <v>348</v>
      </c>
      <c r="C14" s="972" t="s">
        <v>273</v>
      </c>
      <c r="D14" s="973">
        <f t="shared" si="0"/>
        <v>3.2</v>
      </c>
      <c r="E14" s="973">
        <f t="shared" si="1"/>
        <v>3.6221979223619467</v>
      </c>
      <c r="F14" s="973">
        <f t="shared" si="2"/>
        <v>4.2</v>
      </c>
      <c r="G14" s="973">
        <f t="shared" si="3"/>
        <v>2.7</v>
      </c>
      <c r="H14" s="973">
        <f t="shared" si="4"/>
        <v>4.4000000000000004</v>
      </c>
      <c r="I14" s="973"/>
      <c r="J14" s="980">
        <v>46.025599999999997</v>
      </c>
      <c r="K14" s="981">
        <v>14.382999999999999</v>
      </c>
      <c r="L14" s="981">
        <v>53</v>
      </c>
      <c r="M14" s="981">
        <v>14.632</v>
      </c>
      <c r="N14" s="981">
        <v>62.353200000000001</v>
      </c>
      <c r="O14" s="981">
        <v>14.846</v>
      </c>
      <c r="P14" s="981">
        <v>40.740300000000005</v>
      </c>
      <c r="Q14" s="981">
        <v>15.089</v>
      </c>
      <c r="R14" s="981">
        <v>66.941600000000008</v>
      </c>
      <c r="S14" s="981">
        <v>15.214</v>
      </c>
    </row>
    <row r="15" spans="1:19" s="950" customFormat="1" ht="12.75">
      <c r="A15" s="970" t="s">
        <v>31</v>
      </c>
      <c r="B15" s="971" t="s">
        <v>32</v>
      </c>
      <c r="C15" s="972" t="s">
        <v>278</v>
      </c>
      <c r="D15" s="973">
        <f t="shared" si="0"/>
        <v>18.8</v>
      </c>
      <c r="E15" s="973">
        <f t="shared" si="1"/>
        <v>3.8910505836575879</v>
      </c>
      <c r="F15" s="973">
        <f t="shared" si="2"/>
        <v>12.900000000000002</v>
      </c>
      <c r="G15" s="973">
        <f t="shared" si="3"/>
        <v>9.1</v>
      </c>
      <c r="H15" s="973">
        <f t="shared" si="4"/>
        <v>33.9</v>
      </c>
      <c r="I15" s="973"/>
      <c r="J15" s="980">
        <v>24.5152</v>
      </c>
      <c r="K15" s="981">
        <v>1.304</v>
      </c>
      <c r="L15" s="981">
        <v>5</v>
      </c>
      <c r="M15" s="981">
        <v>1.2849999999999999</v>
      </c>
      <c r="N15" s="981">
        <v>16.3443</v>
      </c>
      <c r="O15" s="981">
        <v>1.2669999999999999</v>
      </c>
      <c r="P15" s="981">
        <v>11.2385</v>
      </c>
      <c r="Q15" s="981">
        <v>1.2350000000000001</v>
      </c>
      <c r="R15" s="981">
        <v>42.002099999999999</v>
      </c>
      <c r="S15" s="981">
        <v>1.2390000000000001</v>
      </c>
    </row>
    <row r="16" spans="1:19" s="950" customFormat="1" ht="12.75">
      <c r="A16" s="970" t="s">
        <v>33</v>
      </c>
      <c r="B16" s="971" t="s">
        <v>34</v>
      </c>
      <c r="C16" s="972" t="s">
        <v>273</v>
      </c>
      <c r="D16" s="973">
        <f t="shared" si="0"/>
        <v>2.5</v>
      </c>
      <c r="E16" s="973">
        <f t="shared" si="1"/>
        <v>4.4549631073367673</v>
      </c>
      <c r="F16" s="973">
        <f t="shared" si="2"/>
        <v>5.4</v>
      </c>
      <c r="G16" s="973">
        <f t="shared" si="3"/>
        <v>4</v>
      </c>
      <c r="H16" s="973">
        <f t="shared" si="4"/>
        <v>4.8</v>
      </c>
      <c r="I16" s="973"/>
      <c r="J16" s="980">
        <v>18.002499999999998</v>
      </c>
      <c r="K16" s="981">
        <v>7.2009999999999996</v>
      </c>
      <c r="L16" s="981">
        <v>32</v>
      </c>
      <c r="M16" s="981">
        <v>7.1829999999999998</v>
      </c>
      <c r="N16" s="981">
        <v>38.215800000000002</v>
      </c>
      <c r="O16" s="981">
        <v>7.077</v>
      </c>
      <c r="P16" s="981">
        <v>28.24</v>
      </c>
      <c r="Q16" s="981">
        <v>7.06</v>
      </c>
      <c r="R16" s="981">
        <v>33.691200000000002</v>
      </c>
      <c r="S16" s="981">
        <v>7.0190000000000001</v>
      </c>
    </row>
    <row r="17" spans="1:19" s="950" customFormat="1" ht="12.75">
      <c r="A17" s="970" t="s">
        <v>37</v>
      </c>
      <c r="B17" s="971" t="s">
        <v>38</v>
      </c>
      <c r="C17" s="972" t="s">
        <v>272</v>
      </c>
      <c r="D17" s="973">
        <f t="shared" si="0"/>
        <v>2.8</v>
      </c>
      <c r="E17" s="973">
        <f t="shared" si="1"/>
        <v>2.5944076102623237</v>
      </c>
      <c r="F17" s="973">
        <f t="shared" si="2"/>
        <v>2.9</v>
      </c>
      <c r="G17" s="973">
        <f t="shared" si="3"/>
        <v>2</v>
      </c>
      <c r="H17" s="973">
        <f t="shared" si="4"/>
        <v>1.2</v>
      </c>
      <c r="I17" s="973"/>
      <c r="J17" s="980">
        <v>9.8756000000000004</v>
      </c>
      <c r="K17" s="981">
        <v>3.5270000000000001</v>
      </c>
      <c r="L17" s="981">
        <v>9</v>
      </c>
      <c r="M17" s="981">
        <v>3.4689999999999999</v>
      </c>
      <c r="N17" s="981">
        <v>9.7237000000000009</v>
      </c>
      <c r="O17" s="981">
        <v>3.3530000000000002</v>
      </c>
      <c r="P17" s="981">
        <v>6.6740000000000004</v>
      </c>
      <c r="Q17" s="981">
        <v>3.3370000000000002</v>
      </c>
      <c r="R17" s="981">
        <v>3.9996</v>
      </c>
      <c r="S17" s="981">
        <v>3.3330000000000002</v>
      </c>
    </row>
    <row r="18" spans="1:19" s="950" customFormat="1" ht="12.75">
      <c r="A18" s="970" t="s">
        <v>39</v>
      </c>
      <c r="B18" s="971" t="s">
        <v>40</v>
      </c>
      <c r="C18" s="972" t="s">
        <v>278</v>
      </c>
      <c r="D18" s="973">
        <f t="shared" si="0"/>
        <v>5.0999999999999996</v>
      </c>
      <c r="E18" s="973">
        <f t="shared" si="1"/>
        <v>7.7875399361022364</v>
      </c>
      <c r="F18" s="973">
        <f t="shared" si="2"/>
        <v>4.8</v>
      </c>
      <c r="G18" s="973">
        <f t="shared" si="3"/>
        <v>4.4000000000000004</v>
      </c>
      <c r="H18" s="973">
        <f t="shared" si="4"/>
        <v>5.7</v>
      </c>
      <c r="I18" s="973"/>
      <c r="J18" s="980">
        <v>26.2089</v>
      </c>
      <c r="K18" s="981">
        <v>5.1390000000000002</v>
      </c>
      <c r="L18" s="981">
        <v>39</v>
      </c>
      <c r="M18" s="981">
        <v>5.008</v>
      </c>
      <c r="N18" s="981">
        <v>23.347199999999997</v>
      </c>
      <c r="O18" s="981">
        <v>4.8639999999999999</v>
      </c>
      <c r="P18" s="981">
        <v>20.834000000000003</v>
      </c>
      <c r="Q18" s="981">
        <v>4.7350000000000003</v>
      </c>
      <c r="R18" s="981">
        <v>26.305500000000002</v>
      </c>
      <c r="S18" s="981">
        <v>4.6150000000000002</v>
      </c>
    </row>
    <row r="19" spans="1:19" s="950" customFormat="1" ht="12.75">
      <c r="A19" s="970" t="s">
        <v>41</v>
      </c>
      <c r="B19" s="971" t="s">
        <v>42</v>
      </c>
      <c r="C19" s="972" t="s">
        <v>275</v>
      </c>
      <c r="D19" s="973">
        <f t="shared" si="0"/>
        <v>2.4</v>
      </c>
      <c r="E19" s="973">
        <f t="shared" si="1"/>
        <v>3.9901780233271946</v>
      </c>
      <c r="F19" s="973">
        <f t="shared" si="2"/>
        <v>5.9</v>
      </c>
      <c r="G19" s="973">
        <f t="shared" si="3"/>
        <v>4</v>
      </c>
      <c r="H19" s="973">
        <f t="shared" si="4"/>
        <v>6.7</v>
      </c>
      <c r="I19" s="973"/>
      <c r="J19" s="980">
        <v>7.9127999999999998</v>
      </c>
      <c r="K19" s="981">
        <v>3.2970000000000002</v>
      </c>
      <c r="L19" s="981">
        <v>13</v>
      </c>
      <c r="M19" s="981">
        <v>3.258</v>
      </c>
      <c r="N19" s="981">
        <v>19.003900000000002</v>
      </c>
      <c r="O19" s="981">
        <v>3.2210000000000001</v>
      </c>
      <c r="P19" s="981">
        <v>12.808</v>
      </c>
      <c r="Q19" s="981">
        <v>3.202</v>
      </c>
      <c r="R19" s="981">
        <v>21.165299999999998</v>
      </c>
      <c r="S19" s="981">
        <v>3.1589999999999998</v>
      </c>
    </row>
    <row r="20" spans="1:19" s="950" customFormat="1" ht="12.75">
      <c r="A20" s="970" t="s">
        <v>43</v>
      </c>
      <c r="B20" s="971" t="s">
        <v>44</v>
      </c>
      <c r="C20" s="972" t="s">
        <v>273</v>
      </c>
      <c r="D20" s="973">
        <f t="shared" si="0"/>
        <v>8.9</v>
      </c>
      <c r="E20" s="973">
        <f t="shared" si="1"/>
        <v>8.6620132873601889</v>
      </c>
      <c r="F20" s="973">
        <f t="shared" si="2"/>
        <v>11.8</v>
      </c>
      <c r="G20" s="973">
        <f t="shared" si="3"/>
        <v>6.6000000000000005</v>
      </c>
      <c r="H20" s="973">
        <f t="shared" si="4"/>
        <v>3.8</v>
      </c>
      <c r="I20" s="973"/>
      <c r="J20" s="980">
        <v>106.94240000000001</v>
      </c>
      <c r="K20" s="981">
        <v>12.016</v>
      </c>
      <c r="L20" s="981">
        <v>103</v>
      </c>
      <c r="M20" s="981">
        <v>11.891</v>
      </c>
      <c r="N20" s="981">
        <v>139.77100000000002</v>
      </c>
      <c r="O20" s="981">
        <v>11.845000000000001</v>
      </c>
      <c r="P20" s="981">
        <v>78.520200000000003</v>
      </c>
      <c r="Q20" s="981">
        <v>11.897</v>
      </c>
      <c r="R20" s="981">
        <v>44.349799999999995</v>
      </c>
      <c r="S20" s="981">
        <v>11.670999999999999</v>
      </c>
    </row>
    <row r="21" spans="1:19" s="950" customFormat="1" ht="12.75">
      <c r="A21" s="970" t="s">
        <v>45</v>
      </c>
      <c r="B21" s="971" t="s">
        <v>46</v>
      </c>
      <c r="C21" s="972" t="s">
        <v>275</v>
      </c>
      <c r="D21" s="973">
        <f t="shared" si="0"/>
        <v>0.9</v>
      </c>
      <c r="E21" s="973">
        <f t="shared" si="1"/>
        <v>2.3181169757489304</v>
      </c>
      <c r="F21" s="973">
        <f t="shared" si="2"/>
        <v>0.5</v>
      </c>
      <c r="G21" s="973">
        <f t="shared" si="3"/>
        <v>1.5</v>
      </c>
      <c r="H21" s="973">
        <f t="shared" si="4"/>
        <v>2.8</v>
      </c>
      <c r="I21" s="973"/>
      <c r="J21" s="980">
        <v>4.9005000000000001</v>
      </c>
      <c r="K21" s="981">
        <v>5.4450000000000003</v>
      </c>
      <c r="L21" s="981">
        <v>13</v>
      </c>
      <c r="M21" s="981">
        <v>5.6079999999999997</v>
      </c>
      <c r="N21" s="981">
        <v>3.0139999999999998</v>
      </c>
      <c r="O21" s="981">
        <v>6.0279999999999996</v>
      </c>
      <c r="P21" s="981">
        <v>9.5790000000000006</v>
      </c>
      <c r="Q21" s="981">
        <v>6.3860000000000001</v>
      </c>
      <c r="R21" s="981">
        <v>18.591999999999999</v>
      </c>
      <c r="S21" s="981">
        <v>6.64</v>
      </c>
    </row>
    <row r="22" spans="1:19" s="950" customFormat="1" ht="12.75">
      <c r="A22" s="970" t="s">
        <v>47</v>
      </c>
      <c r="B22" s="971" t="s">
        <v>48</v>
      </c>
      <c r="C22" s="972" t="s">
        <v>278</v>
      </c>
      <c r="D22" s="973">
        <f t="shared" si="0"/>
        <v>2.9999999999999996</v>
      </c>
      <c r="E22" s="973">
        <f t="shared" si="1"/>
        <v>2.3356690023356692</v>
      </c>
      <c r="F22" s="973">
        <f t="shared" si="2"/>
        <v>5.9999999999999991</v>
      </c>
      <c r="G22" s="973">
        <f t="shared" si="3"/>
        <v>5.5</v>
      </c>
      <c r="H22" s="973">
        <f t="shared" si="4"/>
        <v>3.1</v>
      </c>
      <c r="I22" s="973"/>
      <c r="J22" s="980">
        <v>17.960999999999999</v>
      </c>
      <c r="K22" s="981">
        <v>5.9870000000000001</v>
      </c>
      <c r="L22" s="981">
        <v>14</v>
      </c>
      <c r="M22" s="981">
        <v>5.9939999999999998</v>
      </c>
      <c r="N22" s="981">
        <v>35.555999999999997</v>
      </c>
      <c r="O22" s="981">
        <v>5.9260000000000002</v>
      </c>
      <c r="P22" s="981">
        <v>32.488500000000002</v>
      </c>
      <c r="Q22" s="981">
        <v>5.907</v>
      </c>
      <c r="R22" s="981">
        <v>18.200100000000003</v>
      </c>
      <c r="S22" s="981">
        <v>5.8710000000000004</v>
      </c>
    </row>
    <row r="23" spans="1:19" s="950" customFormat="1" ht="12.75">
      <c r="A23" s="970" t="s">
        <v>49</v>
      </c>
      <c r="B23" s="971" t="s">
        <v>279</v>
      </c>
      <c r="C23" s="972" t="s">
        <v>275</v>
      </c>
      <c r="D23" s="973">
        <f t="shared" si="0"/>
        <v>2.1</v>
      </c>
      <c r="E23" s="973">
        <f t="shared" si="1"/>
        <v>0.71479628305932807</v>
      </c>
      <c r="F23" s="973">
        <f t="shared" si="2"/>
        <v>2.9</v>
      </c>
      <c r="G23" s="973">
        <f t="shared" si="3"/>
        <v>2.1</v>
      </c>
      <c r="H23" s="973">
        <f t="shared" si="4"/>
        <v>0.7</v>
      </c>
      <c r="I23" s="973"/>
      <c r="J23" s="980">
        <v>3.0933000000000002</v>
      </c>
      <c r="K23" s="981">
        <v>1.4730000000000001</v>
      </c>
      <c r="L23" s="981">
        <v>1</v>
      </c>
      <c r="M23" s="981">
        <v>1.399</v>
      </c>
      <c r="N23" s="981">
        <v>3.9701</v>
      </c>
      <c r="O23" s="981">
        <v>1.369</v>
      </c>
      <c r="P23" s="981">
        <v>2.9085000000000001</v>
      </c>
      <c r="Q23" s="981">
        <v>1.385</v>
      </c>
      <c r="R23" s="981">
        <v>0.93729999999999991</v>
      </c>
      <c r="S23" s="981">
        <v>1.339</v>
      </c>
    </row>
    <row r="24" spans="1:19" s="950" customFormat="1" ht="12.75">
      <c r="A24" s="970" t="s">
        <v>51</v>
      </c>
      <c r="B24" s="971" t="s">
        <v>52</v>
      </c>
      <c r="C24" s="972" t="s">
        <v>273</v>
      </c>
      <c r="D24" s="973">
        <f t="shared" si="0"/>
        <v>4.8</v>
      </c>
      <c r="E24" s="973">
        <f t="shared" si="1"/>
        <v>4.5123221103783413</v>
      </c>
      <c r="F24" s="973">
        <f t="shared" si="2"/>
        <v>5.8</v>
      </c>
      <c r="G24" s="973">
        <f t="shared" si="3"/>
        <v>4.8</v>
      </c>
      <c r="H24" s="973">
        <f t="shared" si="4"/>
        <v>7.8</v>
      </c>
      <c r="I24" s="973"/>
      <c r="J24" s="980">
        <v>13.7904</v>
      </c>
      <c r="K24" s="981">
        <v>2.8730000000000002</v>
      </c>
      <c r="L24" s="981">
        <v>13</v>
      </c>
      <c r="M24" s="981">
        <v>2.8809999999999998</v>
      </c>
      <c r="N24" s="981">
        <v>16.6982</v>
      </c>
      <c r="O24" s="981">
        <v>2.879</v>
      </c>
      <c r="P24" s="981">
        <v>13.6416</v>
      </c>
      <c r="Q24" s="981">
        <v>2.8420000000000001</v>
      </c>
      <c r="R24" s="981">
        <v>21.613799999999998</v>
      </c>
      <c r="S24" s="981">
        <v>2.7709999999999999</v>
      </c>
    </row>
    <row r="25" spans="1:19" s="950" customFormat="1" ht="12.75">
      <c r="A25" s="970" t="s">
        <v>57</v>
      </c>
      <c r="B25" s="971" t="s">
        <v>280</v>
      </c>
      <c r="C25" s="972" t="s">
        <v>275</v>
      </c>
      <c r="D25" s="973">
        <f t="shared" si="0"/>
        <v>1.4</v>
      </c>
      <c r="E25" s="973">
        <f t="shared" si="1"/>
        <v>1.012369073422716</v>
      </c>
      <c r="F25" s="973">
        <f t="shared" si="2"/>
        <v>1.2</v>
      </c>
      <c r="G25" s="973">
        <f t="shared" si="3"/>
        <v>1.5</v>
      </c>
      <c r="H25" s="973">
        <f t="shared" si="4"/>
        <v>1.1000000000000001</v>
      </c>
      <c r="I25" s="973"/>
      <c r="J25" s="980">
        <v>106.03179999999999</v>
      </c>
      <c r="K25" s="981">
        <v>75.736999999999995</v>
      </c>
      <c r="L25" s="981">
        <v>78</v>
      </c>
      <c r="M25" s="981">
        <v>77.046999999999997</v>
      </c>
      <c r="N25" s="981">
        <v>93.730799999999988</v>
      </c>
      <c r="O25" s="981">
        <v>78.108999999999995</v>
      </c>
      <c r="P25" s="981">
        <v>119.4915</v>
      </c>
      <c r="Q25" s="981">
        <v>79.661000000000001</v>
      </c>
      <c r="R25" s="981">
        <v>88.867900000000006</v>
      </c>
      <c r="S25" s="981">
        <v>80.789000000000001</v>
      </c>
    </row>
    <row r="26" spans="1:19" s="950" customFormat="1" ht="12.75">
      <c r="A26" s="970" t="s">
        <v>59</v>
      </c>
      <c r="B26" s="971" t="s">
        <v>60</v>
      </c>
      <c r="C26" s="972" t="s">
        <v>276</v>
      </c>
      <c r="D26" s="973">
        <f t="shared" si="0"/>
        <v>2.7</v>
      </c>
      <c r="E26" s="973">
        <f t="shared" si="1"/>
        <v>4.545454545454545</v>
      </c>
      <c r="F26" s="973">
        <f t="shared" si="2"/>
        <v>0.3</v>
      </c>
      <c r="G26" s="973">
        <f t="shared" si="3"/>
        <v>2.5</v>
      </c>
      <c r="H26" s="973">
        <f t="shared" si="4"/>
        <v>3.7</v>
      </c>
      <c r="I26" s="973"/>
      <c r="J26" s="980">
        <v>8.1297000000000015</v>
      </c>
      <c r="K26" s="981">
        <v>3.0110000000000001</v>
      </c>
      <c r="L26" s="981">
        <v>14</v>
      </c>
      <c r="M26" s="981">
        <v>3.08</v>
      </c>
      <c r="N26" s="981">
        <v>0.94440000000000002</v>
      </c>
      <c r="O26" s="981">
        <v>3.1480000000000001</v>
      </c>
      <c r="P26" s="981">
        <v>7.9325000000000001</v>
      </c>
      <c r="Q26" s="981">
        <v>3.173</v>
      </c>
      <c r="R26" s="981">
        <v>11.7919</v>
      </c>
      <c r="S26" s="981">
        <v>3.1869999999999998</v>
      </c>
    </row>
    <row r="27" spans="1:19" s="950" customFormat="1" ht="12.75">
      <c r="A27" s="970" t="s">
        <v>61</v>
      </c>
      <c r="B27" s="971" t="s">
        <v>62</v>
      </c>
      <c r="C27" s="972" t="s">
        <v>273</v>
      </c>
      <c r="D27" s="973">
        <f t="shared" si="0"/>
        <v>5.9</v>
      </c>
      <c r="E27" s="973">
        <f t="shared" si="1"/>
        <v>5.1413881748071981</v>
      </c>
      <c r="F27" s="973">
        <f t="shared" si="2"/>
        <v>4.3</v>
      </c>
      <c r="G27" s="973">
        <f t="shared" si="3"/>
        <v>1.7</v>
      </c>
      <c r="H27" s="973">
        <f t="shared" si="4"/>
        <v>7.4999999999999991</v>
      </c>
      <c r="I27" s="973"/>
      <c r="J27" s="980">
        <v>6.8381000000000007</v>
      </c>
      <c r="K27" s="981">
        <v>1.159</v>
      </c>
      <c r="L27" s="981">
        <v>6</v>
      </c>
      <c r="M27" s="981">
        <v>1.167</v>
      </c>
      <c r="N27" s="981">
        <v>4.9062999999999999</v>
      </c>
      <c r="O27" s="981">
        <v>1.141</v>
      </c>
      <c r="P27" s="981">
        <v>1.9124999999999999</v>
      </c>
      <c r="Q27" s="981">
        <v>1.125</v>
      </c>
      <c r="R27" s="981">
        <v>8.317499999999999</v>
      </c>
      <c r="S27" s="981">
        <v>1.109</v>
      </c>
    </row>
    <row r="28" spans="1:19" s="950" customFormat="1" ht="12.75">
      <c r="A28" s="970" t="s">
        <v>63</v>
      </c>
      <c r="B28" s="971" t="s">
        <v>64</v>
      </c>
      <c r="C28" s="972" t="s">
        <v>276</v>
      </c>
      <c r="D28" s="973">
        <f t="shared" si="0"/>
        <v>2.9</v>
      </c>
      <c r="E28" s="973">
        <f t="shared" si="1"/>
        <v>5.9288537549407119</v>
      </c>
      <c r="F28" s="973">
        <f t="shared" si="2"/>
        <v>4.2</v>
      </c>
      <c r="G28" s="973">
        <f t="shared" si="3"/>
        <v>3.4</v>
      </c>
      <c r="H28" s="973">
        <f t="shared" si="4"/>
        <v>4.2</v>
      </c>
      <c r="I28" s="973"/>
      <c r="J28" s="980">
        <v>28.028499999999998</v>
      </c>
      <c r="K28" s="981">
        <v>9.6649999999999991</v>
      </c>
      <c r="L28" s="981">
        <v>60</v>
      </c>
      <c r="M28" s="981">
        <v>10.119999999999999</v>
      </c>
      <c r="N28" s="981">
        <v>45.267600000000002</v>
      </c>
      <c r="O28" s="981">
        <v>10.778</v>
      </c>
      <c r="P28" s="981">
        <v>39.147599999999997</v>
      </c>
      <c r="Q28" s="981">
        <v>11.513999999999999</v>
      </c>
      <c r="R28" s="981">
        <v>50.677200000000006</v>
      </c>
      <c r="S28" s="981">
        <v>12.066000000000001</v>
      </c>
    </row>
    <row r="29" spans="1:19" s="950" customFormat="1" ht="15.75" customHeight="1">
      <c r="A29" s="970" t="s">
        <v>65</v>
      </c>
      <c r="B29" s="971" t="s">
        <v>66</v>
      </c>
      <c r="C29" s="972" t="s">
        <v>275</v>
      </c>
      <c r="D29" s="973">
        <f t="shared" si="0"/>
        <v>1.8</v>
      </c>
      <c r="E29" s="973">
        <f t="shared" si="1"/>
        <v>4.2016806722689077</v>
      </c>
      <c r="F29" s="973">
        <f t="shared" si="2"/>
        <v>11</v>
      </c>
      <c r="G29" s="973">
        <f t="shared" si="3"/>
        <v>3.9</v>
      </c>
      <c r="H29" s="973">
        <f t="shared" si="4"/>
        <v>4.3</v>
      </c>
      <c r="I29" s="973"/>
      <c r="J29" s="980">
        <v>3.9221999999999997</v>
      </c>
      <c r="K29" s="981">
        <v>2.1789999999999998</v>
      </c>
      <c r="L29" s="981">
        <v>9</v>
      </c>
      <c r="M29" s="981">
        <v>2.1419999999999999</v>
      </c>
      <c r="N29" s="981">
        <v>24.232999999999997</v>
      </c>
      <c r="O29" s="981">
        <v>2.2029999999999998</v>
      </c>
      <c r="P29" s="981">
        <v>8.4980999999999991</v>
      </c>
      <c r="Q29" s="981">
        <v>2.1789999999999998</v>
      </c>
      <c r="R29" s="981">
        <v>9.4771999999999998</v>
      </c>
      <c r="S29" s="981">
        <v>2.2040000000000002</v>
      </c>
    </row>
    <row r="30" spans="1:19" s="950" customFormat="1" ht="12.75">
      <c r="A30" s="970" t="s">
        <v>69</v>
      </c>
      <c r="B30" s="971" t="s">
        <v>70</v>
      </c>
      <c r="C30" s="972" t="s">
        <v>278</v>
      </c>
      <c r="D30" s="973">
        <f t="shared" si="0"/>
        <v>2.4</v>
      </c>
      <c r="E30" s="973">
        <f t="shared" si="1"/>
        <v>4.1506077675659645</v>
      </c>
      <c r="F30" s="973">
        <f t="shared" si="2"/>
        <v>3.9</v>
      </c>
      <c r="G30" s="973">
        <f t="shared" si="3"/>
        <v>8.8000000000000007</v>
      </c>
      <c r="H30" s="973">
        <f t="shared" si="4"/>
        <v>6.2</v>
      </c>
      <c r="I30" s="973"/>
      <c r="J30" s="980">
        <v>8.1288</v>
      </c>
      <c r="K30" s="981">
        <v>3.387</v>
      </c>
      <c r="L30" s="981">
        <v>14</v>
      </c>
      <c r="M30" s="981">
        <v>3.3730000000000002</v>
      </c>
      <c r="N30" s="981">
        <v>12.9909</v>
      </c>
      <c r="O30" s="981">
        <v>3.331</v>
      </c>
      <c r="P30" s="981">
        <v>29.066400000000002</v>
      </c>
      <c r="Q30" s="981">
        <v>3.3029999999999999</v>
      </c>
      <c r="R30" s="981">
        <v>20.274000000000001</v>
      </c>
      <c r="S30" s="981">
        <v>3.27</v>
      </c>
    </row>
    <row r="31" spans="1:19" s="950" customFormat="1" ht="12.75">
      <c r="A31" s="970" t="s">
        <v>71</v>
      </c>
      <c r="B31" s="971" t="s">
        <v>72</v>
      </c>
      <c r="C31" s="972" t="s">
        <v>272</v>
      </c>
      <c r="D31" s="973">
        <f t="shared" si="0"/>
        <v>1.4</v>
      </c>
      <c r="E31" s="973">
        <f t="shared" si="1"/>
        <v>2.0768431983385254</v>
      </c>
      <c r="F31" s="973">
        <f t="shared" si="2"/>
        <v>0.7</v>
      </c>
      <c r="G31" s="973">
        <f t="shared" si="3"/>
        <v>1.9</v>
      </c>
      <c r="H31" s="973">
        <f t="shared" si="4"/>
        <v>3.5</v>
      </c>
      <c r="I31" s="973"/>
      <c r="J31" s="980">
        <v>8.1815999999999995</v>
      </c>
      <c r="K31" s="981">
        <v>5.8440000000000003</v>
      </c>
      <c r="L31" s="981">
        <v>12</v>
      </c>
      <c r="M31" s="981">
        <v>5.7779999999999996</v>
      </c>
      <c r="N31" s="981">
        <v>4.0606999999999998</v>
      </c>
      <c r="O31" s="981">
        <v>5.8010000000000002</v>
      </c>
      <c r="P31" s="981">
        <v>11.069399999999998</v>
      </c>
      <c r="Q31" s="981">
        <v>5.8259999999999996</v>
      </c>
      <c r="R31" s="981">
        <v>20.489000000000001</v>
      </c>
      <c r="S31" s="981">
        <v>5.8540000000000001</v>
      </c>
    </row>
    <row r="32" spans="1:19" s="950" customFormat="1" ht="12.75">
      <c r="A32" s="970" t="s">
        <v>73</v>
      </c>
      <c r="B32" s="971" t="s">
        <v>74</v>
      </c>
      <c r="C32" s="972" t="s">
        <v>275</v>
      </c>
      <c r="D32" s="973">
        <f t="shared" si="0"/>
        <v>0.4</v>
      </c>
      <c r="E32" s="973">
        <f t="shared" si="1"/>
        <v>0.8857395925597874</v>
      </c>
      <c r="F32" s="973">
        <f t="shared" si="2"/>
        <v>0.4</v>
      </c>
      <c r="G32" s="973">
        <f t="shared" si="3"/>
        <v>0.8</v>
      </c>
      <c r="H32" s="973">
        <f t="shared" si="4"/>
        <v>3.2</v>
      </c>
      <c r="I32" s="973"/>
      <c r="J32" s="980">
        <v>0.92799999999999994</v>
      </c>
      <c r="K32" s="981">
        <v>2.3199999999999998</v>
      </c>
      <c r="L32" s="981">
        <v>2</v>
      </c>
      <c r="M32" s="981">
        <v>2.258</v>
      </c>
      <c r="N32" s="981">
        <v>0.91920000000000002</v>
      </c>
      <c r="O32" s="981">
        <v>2.298</v>
      </c>
      <c r="P32" s="981">
        <v>1.8344000000000003</v>
      </c>
      <c r="Q32" s="981">
        <v>2.2930000000000001</v>
      </c>
      <c r="R32" s="981">
        <v>7.4528000000000008</v>
      </c>
      <c r="S32" s="981">
        <v>2.3290000000000002</v>
      </c>
    </row>
    <row r="33" spans="1:19" s="950" customFormat="1" ht="15.75" customHeight="1">
      <c r="A33" s="970" t="s">
        <v>75</v>
      </c>
      <c r="B33" s="971" t="s">
        <v>350</v>
      </c>
      <c r="C33" s="972" t="s">
        <v>276</v>
      </c>
      <c r="D33" s="973">
        <f t="shared" si="0"/>
        <v>1</v>
      </c>
      <c r="E33" s="973">
        <f t="shared" si="1"/>
        <v>0.80651889757209994</v>
      </c>
      <c r="F33" s="973">
        <f t="shared" si="2"/>
        <v>0.8</v>
      </c>
      <c r="G33" s="973">
        <f t="shared" si="3"/>
        <v>1.1000000000000001</v>
      </c>
      <c r="H33" s="973">
        <f t="shared" si="4"/>
        <v>0.8</v>
      </c>
      <c r="I33" s="973"/>
      <c r="J33" s="980">
        <v>251.09700000000001</v>
      </c>
      <c r="K33" s="981">
        <v>251.09700000000001</v>
      </c>
      <c r="L33" s="981">
        <v>203</v>
      </c>
      <c r="M33" s="981">
        <v>251.69900000000001</v>
      </c>
      <c r="N33" s="981">
        <v>202.04240000000001</v>
      </c>
      <c r="O33" s="981">
        <v>252.553</v>
      </c>
      <c r="P33" s="981">
        <v>275.61490000000003</v>
      </c>
      <c r="Q33" s="981">
        <v>250.559</v>
      </c>
      <c r="R33" s="981">
        <v>200.93119999999999</v>
      </c>
      <c r="S33" s="981">
        <v>251.16399999999999</v>
      </c>
    </row>
    <row r="34" spans="1:19" s="950" customFormat="1" ht="12.75">
      <c r="A34" s="970" t="s">
        <v>77</v>
      </c>
      <c r="B34" s="971" t="s">
        <v>78</v>
      </c>
      <c r="C34" s="972" t="s">
        <v>276</v>
      </c>
      <c r="D34" s="973">
        <f t="shared" si="0"/>
        <v>2.2000000000000002</v>
      </c>
      <c r="E34" s="973">
        <f t="shared" si="1"/>
        <v>2.364782925054572</v>
      </c>
      <c r="F34" s="973">
        <f t="shared" si="2"/>
        <v>2.4</v>
      </c>
      <c r="G34" s="973">
        <f t="shared" si="3"/>
        <v>4.2</v>
      </c>
      <c r="H34" s="973">
        <f t="shared" si="4"/>
        <v>2.7</v>
      </c>
      <c r="I34" s="973"/>
      <c r="J34" s="980">
        <v>35.059200000000004</v>
      </c>
      <c r="K34" s="981">
        <v>15.936</v>
      </c>
      <c r="L34" s="981">
        <v>39</v>
      </c>
      <c r="M34" s="981">
        <v>16.492000000000001</v>
      </c>
      <c r="N34" s="981">
        <v>40.643999999999998</v>
      </c>
      <c r="O34" s="981">
        <v>16.934999999999999</v>
      </c>
      <c r="P34" s="981">
        <v>72.206400000000002</v>
      </c>
      <c r="Q34" s="981">
        <v>17.192</v>
      </c>
      <c r="R34" s="981">
        <v>46.296900000000001</v>
      </c>
      <c r="S34" s="981">
        <v>17.146999999999998</v>
      </c>
    </row>
    <row r="35" spans="1:19" s="950" customFormat="1" ht="12.75">
      <c r="A35" s="970" t="s">
        <v>79</v>
      </c>
      <c r="B35" s="971" t="s">
        <v>80</v>
      </c>
      <c r="C35" s="972" t="s">
        <v>278</v>
      </c>
      <c r="D35" s="973">
        <f t="shared" si="0"/>
        <v>1.6</v>
      </c>
      <c r="E35" s="973">
        <f t="shared" si="1"/>
        <v>8.2908163265306118</v>
      </c>
      <c r="F35" s="973">
        <f t="shared" si="2"/>
        <v>6.9</v>
      </c>
      <c r="G35" s="973">
        <f t="shared" si="3"/>
        <v>7.1</v>
      </c>
      <c r="H35" s="973">
        <f t="shared" si="4"/>
        <v>6.5</v>
      </c>
      <c r="I35" s="973"/>
      <c r="J35" s="980">
        <v>4.9664000000000001</v>
      </c>
      <c r="K35" s="981">
        <v>3.1040000000000001</v>
      </c>
      <c r="L35" s="981">
        <v>26</v>
      </c>
      <c r="M35" s="981">
        <v>3.1360000000000001</v>
      </c>
      <c r="N35" s="981">
        <v>21.969600000000003</v>
      </c>
      <c r="O35" s="981">
        <v>3.1840000000000002</v>
      </c>
      <c r="P35" s="981">
        <v>22.258499999999998</v>
      </c>
      <c r="Q35" s="981">
        <v>3.1349999999999998</v>
      </c>
      <c r="R35" s="981">
        <v>20.28</v>
      </c>
      <c r="S35" s="981">
        <v>3.12</v>
      </c>
    </row>
    <row r="36" spans="1:19" s="950" customFormat="1" ht="12.75">
      <c r="A36" s="970" t="s">
        <v>81</v>
      </c>
      <c r="B36" s="971" t="s">
        <v>82</v>
      </c>
      <c r="C36" s="972" t="s">
        <v>275</v>
      </c>
      <c r="D36" s="973">
        <f t="shared" si="0"/>
        <v>2.2999999999999998</v>
      </c>
      <c r="E36" s="973">
        <f t="shared" si="1"/>
        <v>0.36416605972323379</v>
      </c>
      <c r="F36" s="973">
        <f t="shared" si="2"/>
        <v>3.8000000000000003</v>
      </c>
      <c r="G36" s="973">
        <f t="shared" si="3"/>
        <v>0.2</v>
      </c>
      <c r="H36" s="973">
        <f t="shared" si="4"/>
        <v>3.8</v>
      </c>
      <c r="I36" s="973"/>
      <c r="J36" s="980">
        <v>12.212999999999997</v>
      </c>
      <c r="K36" s="981">
        <v>5.31</v>
      </c>
      <c r="L36" s="981">
        <v>2</v>
      </c>
      <c r="M36" s="981">
        <v>5.492</v>
      </c>
      <c r="N36" s="981">
        <v>21.610600000000002</v>
      </c>
      <c r="O36" s="981">
        <v>5.6870000000000003</v>
      </c>
      <c r="P36" s="981">
        <v>1.1534000000000002</v>
      </c>
      <c r="Q36" s="981">
        <v>5.7670000000000003</v>
      </c>
      <c r="R36" s="981">
        <v>22.1844</v>
      </c>
      <c r="S36" s="981">
        <v>5.8380000000000001</v>
      </c>
    </row>
    <row r="37" spans="1:19" s="950" customFormat="1" ht="12.75">
      <c r="A37" s="970" t="s">
        <v>85</v>
      </c>
      <c r="B37" s="971" t="s">
        <v>86</v>
      </c>
      <c r="C37" s="972" t="s">
        <v>273</v>
      </c>
      <c r="D37" s="973">
        <f t="shared" ref="D37:D68" si="5">+J37/K37</f>
        <v>3.6</v>
      </c>
      <c r="E37" s="973">
        <f t="shared" ref="E37:E68" si="6">+L37/M37</f>
        <v>2.9339390497823206</v>
      </c>
      <c r="F37" s="973">
        <f t="shared" ref="F37:F68" si="7">+N37/O37</f>
        <v>5.2</v>
      </c>
      <c r="G37" s="973">
        <f t="shared" ref="G37:G68" si="8">+P37/Q37</f>
        <v>2</v>
      </c>
      <c r="H37" s="973">
        <f t="shared" ref="H37:H68" si="9">+R37/S37</f>
        <v>2.9</v>
      </c>
      <c r="I37" s="973"/>
      <c r="J37" s="980">
        <v>37.929600000000001</v>
      </c>
      <c r="K37" s="981">
        <v>10.536</v>
      </c>
      <c r="L37" s="981">
        <v>31</v>
      </c>
      <c r="M37" s="981">
        <v>10.566000000000001</v>
      </c>
      <c r="N37" s="981">
        <v>55.057600000000001</v>
      </c>
      <c r="O37" s="981">
        <v>10.587999999999999</v>
      </c>
      <c r="P37" s="981">
        <v>21.23</v>
      </c>
      <c r="Q37" s="981">
        <v>10.615</v>
      </c>
      <c r="R37" s="981">
        <v>31.163399999999999</v>
      </c>
      <c r="S37" s="981">
        <v>10.746</v>
      </c>
    </row>
    <row r="38" spans="1:19" s="950" customFormat="1" ht="12.75">
      <c r="A38" s="970" t="s">
        <v>87</v>
      </c>
      <c r="B38" s="971" t="s">
        <v>88</v>
      </c>
      <c r="C38" s="972" t="s">
        <v>276</v>
      </c>
      <c r="D38" s="973">
        <f t="shared" si="5"/>
        <v>1.2</v>
      </c>
      <c r="E38" s="973">
        <f t="shared" si="6"/>
        <v>2.2002200220021999</v>
      </c>
      <c r="F38" s="973">
        <f t="shared" si="7"/>
        <v>1.9</v>
      </c>
      <c r="G38" s="973">
        <f t="shared" si="8"/>
        <v>2.4</v>
      </c>
      <c r="H38" s="973">
        <f t="shared" si="9"/>
        <v>3.1</v>
      </c>
      <c r="I38" s="973"/>
      <c r="J38" s="980">
        <v>20.161199999999997</v>
      </c>
      <c r="K38" s="981">
        <v>16.800999999999998</v>
      </c>
      <c r="L38" s="981">
        <v>38</v>
      </c>
      <c r="M38" s="981">
        <v>17.271000000000001</v>
      </c>
      <c r="N38" s="981">
        <v>33.884599999999999</v>
      </c>
      <c r="O38" s="981">
        <v>17.834</v>
      </c>
      <c r="P38" s="981">
        <v>44.248800000000003</v>
      </c>
      <c r="Q38" s="981">
        <v>18.437000000000001</v>
      </c>
      <c r="R38" s="981">
        <v>59.020900000000005</v>
      </c>
      <c r="S38" s="981">
        <v>19.039000000000001</v>
      </c>
    </row>
    <row r="39" spans="1:19" s="950" customFormat="1" ht="12.75">
      <c r="A39" s="970" t="s">
        <v>93</v>
      </c>
      <c r="B39" s="971" t="s">
        <v>94</v>
      </c>
      <c r="C39" s="972" t="s">
        <v>278</v>
      </c>
      <c r="D39" s="973">
        <f t="shared" si="5"/>
        <v>21.8</v>
      </c>
      <c r="E39" s="973">
        <f t="shared" si="6"/>
        <v>28.222523744911804</v>
      </c>
      <c r="F39" s="973">
        <f t="shared" si="7"/>
        <v>18.800000000000004</v>
      </c>
      <c r="G39" s="973">
        <f t="shared" si="8"/>
        <v>15.4</v>
      </c>
      <c r="H39" s="973">
        <f t="shared" si="9"/>
        <v>10.4</v>
      </c>
      <c r="I39" s="973"/>
      <c r="J39" s="980">
        <v>80.812600000000003</v>
      </c>
      <c r="K39" s="981">
        <v>3.7069999999999999</v>
      </c>
      <c r="L39" s="981">
        <v>104</v>
      </c>
      <c r="M39" s="981">
        <v>3.6850000000000001</v>
      </c>
      <c r="N39" s="981">
        <v>70.349600000000009</v>
      </c>
      <c r="O39" s="981">
        <v>3.742</v>
      </c>
      <c r="P39" s="981">
        <v>57.472800000000007</v>
      </c>
      <c r="Q39" s="981">
        <v>3.7320000000000002</v>
      </c>
      <c r="R39" s="981">
        <v>38.802399999999999</v>
      </c>
      <c r="S39" s="981">
        <v>3.7309999999999999</v>
      </c>
    </row>
    <row r="40" spans="1:19" s="950" customFormat="1" ht="12.75">
      <c r="A40" s="970" t="s">
        <v>95</v>
      </c>
      <c r="B40" s="971" t="s">
        <v>96</v>
      </c>
      <c r="C40" s="972" t="s">
        <v>272</v>
      </c>
      <c r="D40" s="973">
        <f t="shared" si="5"/>
        <v>3</v>
      </c>
      <c r="E40" s="973">
        <f t="shared" si="6"/>
        <v>5.2117986249722774</v>
      </c>
      <c r="F40" s="973">
        <f t="shared" si="7"/>
        <v>2.4</v>
      </c>
      <c r="G40" s="973">
        <f t="shared" si="8"/>
        <v>2.1</v>
      </c>
      <c r="H40" s="973">
        <f t="shared" si="9"/>
        <v>3.8999999999999995</v>
      </c>
      <c r="I40" s="973"/>
      <c r="J40" s="980">
        <v>27.183</v>
      </c>
      <c r="K40" s="981">
        <v>9.0609999999999999</v>
      </c>
      <c r="L40" s="981">
        <v>47</v>
      </c>
      <c r="M40" s="981">
        <v>9.0180000000000007</v>
      </c>
      <c r="N40" s="981">
        <v>21.612000000000002</v>
      </c>
      <c r="O40" s="981">
        <v>9.0050000000000008</v>
      </c>
      <c r="P40" s="981">
        <v>18.744600000000002</v>
      </c>
      <c r="Q40" s="981">
        <v>8.9260000000000002</v>
      </c>
      <c r="R40" s="981">
        <v>34.713899999999995</v>
      </c>
      <c r="S40" s="981">
        <v>8.9009999999999998</v>
      </c>
    </row>
    <row r="41" spans="1:19" s="950" customFormat="1" ht="12.75">
      <c r="A41" s="970" t="s">
        <v>97</v>
      </c>
      <c r="B41" s="971" t="s">
        <v>98</v>
      </c>
      <c r="C41" s="972" t="s">
        <v>275</v>
      </c>
      <c r="D41" s="973">
        <f t="shared" si="5"/>
        <v>3.1</v>
      </c>
      <c r="E41" s="973">
        <f t="shared" si="6"/>
        <v>1.5735641227380015</v>
      </c>
      <c r="F41" s="973">
        <f t="shared" si="7"/>
        <v>2.2000000000000002</v>
      </c>
      <c r="G41" s="973">
        <f t="shared" si="8"/>
        <v>1.7</v>
      </c>
      <c r="H41" s="973">
        <f t="shared" si="9"/>
        <v>1.6</v>
      </c>
      <c r="I41" s="973"/>
      <c r="J41" s="980">
        <v>11.600200000000001</v>
      </c>
      <c r="K41" s="981">
        <v>3.742</v>
      </c>
      <c r="L41" s="981">
        <v>6</v>
      </c>
      <c r="M41" s="981">
        <v>3.8130000000000002</v>
      </c>
      <c r="N41" s="981">
        <v>8.6592000000000002</v>
      </c>
      <c r="O41" s="981">
        <v>3.9359999999999999</v>
      </c>
      <c r="P41" s="981">
        <v>7.0073999999999996</v>
      </c>
      <c r="Q41" s="981">
        <v>4.1219999999999999</v>
      </c>
      <c r="R41" s="981">
        <v>6.7712000000000003</v>
      </c>
      <c r="S41" s="981">
        <v>4.2320000000000002</v>
      </c>
    </row>
    <row r="42" spans="1:19" s="950" customFormat="1" ht="12.75">
      <c r="A42" s="970" t="s">
        <v>99</v>
      </c>
      <c r="B42" s="971" t="s">
        <v>100</v>
      </c>
      <c r="C42" s="972" t="s">
        <v>278</v>
      </c>
      <c r="D42" s="973">
        <f t="shared" si="5"/>
        <v>8.6999999999999993</v>
      </c>
      <c r="E42" s="973">
        <f t="shared" si="6"/>
        <v>3.0873726458783577</v>
      </c>
      <c r="F42" s="973">
        <f t="shared" si="7"/>
        <v>7.2999999999999989</v>
      </c>
      <c r="G42" s="973">
        <f t="shared" si="8"/>
        <v>8.6999999999999993</v>
      </c>
      <c r="H42" s="973">
        <f t="shared" si="9"/>
        <v>6.3</v>
      </c>
      <c r="I42" s="973"/>
      <c r="J42" s="980">
        <v>28.849199999999996</v>
      </c>
      <c r="K42" s="981">
        <v>3.3159999999999998</v>
      </c>
      <c r="L42" s="981">
        <v>10</v>
      </c>
      <c r="M42" s="981">
        <v>3.2389999999999999</v>
      </c>
      <c r="N42" s="981">
        <v>23.104499999999998</v>
      </c>
      <c r="O42" s="981">
        <v>3.165</v>
      </c>
      <c r="P42" s="981">
        <v>27.004799999999999</v>
      </c>
      <c r="Q42" s="981">
        <v>3.1040000000000001</v>
      </c>
      <c r="R42" s="981">
        <v>19.605599999999999</v>
      </c>
      <c r="S42" s="981">
        <v>3.1120000000000001</v>
      </c>
    </row>
    <row r="43" spans="1:19" s="950" customFormat="1" ht="12.75">
      <c r="A43" s="970" t="s">
        <v>101</v>
      </c>
      <c r="B43" s="971" t="s">
        <v>102</v>
      </c>
      <c r="C43" s="972" t="s">
        <v>276</v>
      </c>
      <c r="D43" s="973">
        <f t="shared" si="5"/>
        <v>2.2000000000000002</v>
      </c>
      <c r="E43" s="973">
        <f t="shared" si="6"/>
        <v>1.5300546448087431</v>
      </c>
      <c r="F43" s="973">
        <f t="shared" si="7"/>
        <v>1.7999999999999998</v>
      </c>
      <c r="G43" s="973">
        <f t="shared" si="8"/>
        <v>0.2</v>
      </c>
      <c r="H43" s="973">
        <f t="shared" si="9"/>
        <v>2.5</v>
      </c>
      <c r="I43" s="973"/>
      <c r="J43" s="980">
        <v>9.9087999999999994</v>
      </c>
      <c r="K43" s="981">
        <v>4.5039999999999996</v>
      </c>
      <c r="L43" s="981">
        <v>7</v>
      </c>
      <c r="M43" s="981">
        <v>4.5750000000000002</v>
      </c>
      <c r="N43" s="981">
        <v>8.298</v>
      </c>
      <c r="O43" s="981">
        <v>4.6100000000000003</v>
      </c>
      <c r="P43" s="981">
        <v>0.94960000000000011</v>
      </c>
      <c r="Q43" s="981">
        <v>4.7480000000000002</v>
      </c>
      <c r="R43" s="981">
        <v>11.995000000000001</v>
      </c>
      <c r="S43" s="981">
        <v>4.798</v>
      </c>
    </row>
    <row r="44" spans="1:19" s="950" customFormat="1" ht="12.75">
      <c r="A44" s="970" t="s">
        <v>103</v>
      </c>
      <c r="B44" s="971" t="s">
        <v>281</v>
      </c>
      <c r="C44" s="972" t="s">
        <v>272</v>
      </c>
      <c r="D44" s="973">
        <f t="shared" si="5"/>
        <v>4</v>
      </c>
      <c r="E44" s="973">
        <f t="shared" si="6"/>
        <v>0</v>
      </c>
      <c r="F44" s="973">
        <f t="shared" si="7"/>
        <v>0</v>
      </c>
      <c r="G44" s="973">
        <f t="shared" si="8"/>
        <v>0.9</v>
      </c>
      <c r="H44" s="973">
        <f t="shared" si="9"/>
        <v>0</v>
      </c>
      <c r="I44" s="973"/>
      <c r="J44" s="980">
        <v>8.3119999999999994</v>
      </c>
      <c r="K44" s="981">
        <v>2.0779999999999998</v>
      </c>
      <c r="L44" s="981">
        <v>0</v>
      </c>
      <c r="M44" s="981">
        <v>2.0830000000000002</v>
      </c>
      <c r="N44" s="981">
        <v>0</v>
      </c>
      <c r="O44" s="981">
        <v>2.1459999999999999</v>
      </c>
      <c r="P44" s="981">
        <v>1.9278</v>
      </c>
      <c r="Q44" s="981">
        <v>2.1419999999999999</v>
      </c>
      <c r="R44" s="981">
        <v>0</v>
      </c>
      <c r="S44" s="981">
        <v>2.1549999999999998</v>
      </c>
    </row>
    <row r="45" spans="1:19" s="950" customFormat="1" ht="12.75">
      <c r="A45" s="970" t="s">
        <v>105</v>
      </c>
      <c r="B45" s="971" t="s">
        <v>106</v>
      </c>
      <c r="C45" s="972" t="s">
        <v>273</v>
      </c>
      <c r="D45" s="973">
        <f t="shared" si="5"/>
        <v>4</v>
      </c>
      <c r="E45" s="973">
        <f t="shared" si="6"/>
        <v>4.297642436149312</v>
      </c>
      <c r="F45" s="973">
        <f t="shared" si="7"/>
        <v>7.1</v>
      </c>
      <c r="G45" s="973">
        <f t="shared" si="8"/>
        <v>3.8</v>
      </c>
      <c r="H45" s="973">
        <f t="shared" si="9"/>
        <v>2.8</v>
      </c>
      <c r="I45" s="973"/>
      <c r="J45" s="980">
        <v>33.024000000000001</v>
      </c>
      <c r="K45" s="981">
        <v>8.2560000000000002</v>
      </c>
      <c r="L45" s="981">
        <v>35</v>
      </c>
      <c r="M45" s="981">
        <v>8.1440000000000001</v>
      </c>
      <c r="N45" s="981">
        <v>57.119499999999995</v>
      </c>
      <c r="O45" s="981">
        <v>8.0449999999999999</v>
      </c>
      <c r="P45" s="981">
        <v>30.5672</v>
      </c>
      <c r="Q45" s="981">
        <v>8.0440000000000005</v>
      </c>
      <c r="R45" s="981">
        <v>22.178799999999999</v>
      </c>
      <c r="S45" s="981">
        <v>7.9210000000000003</v>
      </c>
    </row>
    <row r="46" spans="1:19" s="950" customFormat="1" ht="12.75">
      <c r="A46" s="970" t="s">
        <v>109</v>
      </c>
      <c r="B46" s="971" t="s">
        <v>110</v>
      </c>
      <c r="C46" s="972" t="s">
        <v>275</v>
      </c>
      <c r="D46" s="973">
        <f t="shared" si="5"/>
        <v>2.5</v>
      </c>
      <c r="E46" s="973">
        <f t="shared" si="6"/>
        <v>1.9311866945177945</v>
      </c>
      <c r="F46" s="973">
        <f t="shared" si="7"/>
        <v>1.5</v>
      </c>
      <c r="G46" s="973">
        <f t="shared" si="8"/>
        <v>1.5</v>
      </c>
      <c r="H46" s="973">
        <f t="shared" si="9"/>
        <v>1</v>
      </c>
      <c r="I46" s="973"/>
      <c r="J46" s="980">
        <v>62.094999999999999</v>
      </c>
      <c r="K46" s="981">
        <v>24.838000000000001</v>
      </c>
      <c r="L46" s="981">
        <v>49</v>
      </c>
      <c r="M46" s="981">
        <v>25.373000000000001</v>
      </c>
      <c r="N46" s="981">
        <v>38.178000000000004</v>
      </c>
      <c r="O46" s="981">
        <v>25.452000000000002</v>
      </c>
      <c r="P46" s="981">
        <v>38.4495</v>
      </c>
      <c r="Q46" s="981">
        <v>25.632999999999999</v>
      </c>
      <c r="R46" s="981">
        <v>25.568000000000001</v>
      </c>
      <c r="S46" s="981">
        <v>25.568000000000001</v>
      </c>
    </row>
    <row r="47" spans="1:19" s="950" customFormat="1" ht="12.75">
      <c r="A47" s="970" t="s">
        <v>111</v>
      </c>
      <c r="B47" s="971" t="s">
        <v>112</v>
      </c>
      <c r="C47" s="972" t="s">
        <v>275</v>
      </c>
      <c r="D47" s="973">
        <f t="shared" si="5"/>
        <v>3.8</v>
      </c>
      <c r="E47" s="973">
        <f t="shared" si="6"/>
        <v>3.7679531887227378</v>
      </c>
      <c r="F47" s="973">
        <f t="shared" si="7"/>
        <v>3.7999999999999994</v>
      </c>
      <c r="G47" s="973">
        <f t="shared" si="8"/>
        <v>2.8</v>
      </c>
      <c r="H47" s="973">
        <f t="shared" si="9"/>
        <v>2.2000000000000002</v>
      </c>
      <c r="I47" s="973"/>
      <c r="J47" s="980">
        <v>251.8184</v>
      </c>
      <c r="K47" s="981">
        <v>66.268000000000001</v>
      </c>
      <c r="L47" s="981">
        <v>255</v>
      </c>
      <c r="M47" s="981">
        <v>67.676000000000002</v>
      </c>
      <c r="N47" s="981">
        <v>261.01059999999995</v>
      </c>
      <c r="O47" s="981">
        <v>68.686999999999998</v>
      </c>
      <c r="P47" s="981">
        <v>194.16040000000001</v>
      </c>
      <c r="Q47" s="981">
        <v>69.343000000000004</v>
      </c>
      <c r="R47" s="981">
        <v>153.72280000000001</v>
      </c>
      <c r="S47" s="981">
        <v>69.873999999999995</v>
      </c>
    </row>
    <row r="48" spans="1:19" s="950" customFormat="1" ht="12.75">
      <c r="A48" s="970" t="s">
        <v>113</v>
      </c>
      <c r="B48" s="971" t="s">
        <v>282</v>
      </c>
      <c r="C48" s="972" t="s">
        <v>273</v>
      </c>
      <c r="D48" s="973">
        <f t="shared" si="5"/>
        <v>4.9000000000000004</v>
      </c>
      <c r="E48" s="973">
        <f t="shared" si="6"/>
        <v>4.6311610982467748</v>
      </c>
      <c r="F48" s="973">
        <f t="shared" si="7"/>
        <v>6.1</v>
      </c>
      <c r="G48" s="973">
        <f t="shared" si="8"/>
        <v>5.6</v>
      </c>
      <c r="H48" s="973">
        <f t="shared" si="9"/>
        <v>4.4000000000000004</v>
      </c>
      <c r="I48" s="973"/>
      <c r="J48" s="980">
        <v>59.682000000000002</v>
      </c>
      <c r="K48" s="981">
        <v>12.18</v>
      </c>
      <c r="L48" s="981">
        <v>56</v>
      </c>
      <c r="M48" s="981">
        <v>12.092000000000001</v>
      </c>
      <c r="N48" s="981">
        <v>71.601799999999997</v>
      </c>
      <c r="O48" s="981">
        <v>11.738</v>
      </c>
      <c r="P48" s="981">
        <v>65.071999999999989</v>
      </c>
      <c r="Q48" s="981">
        <v>11.62</v>
      </c>
      <c r="R48" s="981">
        <v>50.776000000000003</v>
      </c>
      <c r="S48" s="981">
        <v>11.54</v>
      </c>
    </row>
    <row r="49" spans="1:19" s="950" customFormat="1" ht="12.75">
      <c r="A49" s="970" t="s">
        <v>115</v>
      </c>
      <c r="B49" s="971" t="s">
        <v>116</v>
      </c>
      <c r="C49" s="972" t="s">
        <v>273</v>
      </c>
      <c r="D49" s="973">
        <f t="shared" si="5"/>
        <v>0</v>
      </c>
      <c r="E49" s="973">
        <f t="shared" si="6"/>
        <v>0</v>
      </c>
      <c r="F49" s="973">
        <f t="shared" si="7"/>
        <v>0</v>
      </c>
      <c r="G49" s="973">
        <f t="shared" si="8"/>
        <v>0</v>
      </c>
      <c r="H49" s="973">
        <f t="shared" si="9"/>
        <v>0</v>
      </c>
      <c r="I49" s="973"/>
      <c r="J49" s="980">
        <v>0</v>
      </c>
      <c r="K49" s="981">
        <v>0.45700000000000002</v>
      </c>
      <c r="L49" s="981">
        <v>0</v>
      </c>
      <c r="M49" s="981">
        <v>0.42799999999999999</v>
      </c>
      <c r="N49" s="981">
        <v>0</v>
      </c>
      <c r="O49" s="981">
        <v>0.40300000000000002</v>
      </c>
      <c r="P49" s="981">
        <v>0</v>
      </c>
      <c r="Q49" s="981">
        <v>0.41299999999999998</v>
      </c>
      <c r="R49" s="981">
        <v>0</v>
      </c>
      <c r="S49" s="981">
        <v>0.39700000000000002</v>
      </c>
    </row>
    <row r="50" spans="1:19" s="950" customFormat="1" ht="15.75" customHeight="1">
      <c r="A50" s="970" t="s">
        <v>119</v>
      </c>
      <c r="B50" s="971" t="s">
        <v>283</v>
      </c>
      <c r="C50" s="972" t="s">
        <v>272</v>
      </c>
      <c r="D50" s="973">
        <f t="shared" si="5"/>
        <v>6.3</v>
      </c>
      <c r="E50" s="973">
        <f t="shared" si="6"/>
        <v>2.8237710178410986</v>
      </c>
      <c r="F50" s="973">
        <f t="shared" si="7"/>
        <v>3</v>
      </c>
      <c r="G50" s="973">
        <f t="shared" si="8"/>
        <v>2.2000000000000002</v>
      </c>
      <c r="H50" s="973">
        <f t="shared" si="9"/>
        <v>1.3</v>
      </c>
      <c r="I50" s="973"/>
      <c r="J50" s="980">
        <v>48.176099999999998</v>
      </c>
      <c r="K50" s="981">
        <v>7.6470000000000002</v>
      </c>
      <c r="L50" s="981">
        <v>22</v>
      </c>
      <c r="M50" s="981">
        <v>7.7910000000000004</v>
      </c>
      <c r="N50" s="981">
        <v>23.475000000000001</v>
      </c>
      <c r="O50" s="981">
        <v>7.8250000000000002</v>
      </c>
      <c r="P50" s="981">
        <v>17.575800000000001</v>
      </c>
      <c r="Q50" s="981">
        <v>7.9889999999999999</v>
      </c>
      <c r="R50" s="981">
        <v>10.537800000000001</v>
      </c>
      <c r="S50" s="981">
        <v>8.1059999999999999</v>
      </c>
    </row>
    <row r="51" spans="1:19" s="950" customFormat="1" ht="12.75">
      <c r="A51" s="970" t="s">
        <v>121</v>
      </c>
      <c r="B51" s="971" t="s">
        <v>122</v>
      </c>
      <c r="C51" s="972" t="s">
        <v>272</v>
      </c>
      <c r="D51" s="973">
        <f t="shared" si="5"/>
        <v>3.3999999999999995</v>
      </c>
      <c r="E51" s="973">
        <f t="shared" si="6"/>
        <v>5.6096353737007094</v>
      </c>
      <c r="F51" s="973">
        <f t="shared" si="7"/>
        <v>4.9000000000000004</v>
      </c>
      <c r="G51" s="973">
        <f t="shared" si="8"/>
        <v>5.3</v>
      </c>
      <c r="H51" s="973">
        <f t="shared" si="9"/>
        <v>3.3</v>
      </c>
      <c r="I51" s="973"/>
      <c r="J51" s="980">
        <v>39.657599999999995</v>
      </c>
      <c r="K51" s="981">
        <v>11.664</v>
      </c>
      <c r="L51" s="981">
        <v>68</v>
      </c>
      <c r="M51" s="981">
        <v>12.122</v>
      </c>
      <c r="N51" s="981">
        <v>61.352900000000005</v>
      </c>
      <c r="O51" s="981">
        <v>12.521000000000001</v>
      </c>
      <c r="P51" s="981">
        <v>68.693299999999994</v>
      </c>
      <c r="Q51" s="981">
        <v>12.961</v>
      </c>
      <c r="R51" s="981">
        <v>43.266300000000001</v>
      </c>
      <c r="S51" s="981">
        <v>13.111000000000001</v>
      </c>
    </row>
    <row r="52" spans="1:19" s="950" customFormat="1" ht="12.75">
      <c r="A52" s="970" t="s">
        <v>123</v>
      </c>
      <c r="B52" s="971" t="s">
        <v>351</v>
      </c>
      <c r="C52" s="972" t="s">
        <v>275</v>
      </c>
      <c r="D52" s="973">
        <f t="shared" si="5"/>
        <v>0</v>
      </c>
      <c r="E52" s="973">
        <f t="shared" si="6"/>
        <v>0</v>
      </c>
      <c r="F52" s="973">
        <f t="shared" si="7"/>
        <v>0.7</v>
      </c>
      <c r="G52" s="973">
        <f t="shared" si="8"/>
        <v>4.8</v>
      </c>
      <c r="H52" s="973">
        <f t="shared" si="9"/>
        <v>11.6</v>
      </c>
      <c r="I52" s="973"/>
      <c r="J52" s="980">
        <v>0</v>
      </c>
      <c r="K52" s="981">
        <v>1.3759999999999999</v>
      </c>
      <c r="L52" s="981">
        <v>0</v>
      </c>
      <c r="M52" s="981">
        <v>1.4339999999999999</v>
      </c>
      <c r="N52" s="981">
        <v>0.99539999999999984</v>
      </c>
      <c r="O52" s="981">
        <v>1.4219999999999999</v>
      </c>
      <c r="P52" s="981">
        <v>6.7967999999999993</v>
      </c>
      <c r="Q52" s="981">
        <v>1.4159999999999999</v>
      </c>
      <c r="R52" s="981">
        <v>16.3096</v>
      </c>
      <c r="S52" s="981">
        <v>1.4059999999999999</v>
      </c>
    </row>
    <row r="53" spans="1:19" s="950" customFormat="1" ht="12.75">
      <c r="A53" s="970" t="s">
        <v>125</v>
      </c>
      <c r="B53" s="971" t="s">
        <v>126</v>
      </c>
      <c r="C53" s="972" t="s">
        <v>276</v>
      </c>
      <c r="D53" s="973">
        <f t="shared" si="5"/>
        <v>1.7</v>
      </c>
      <c r="E53" s="973">
        <f t="shared" si="6"/>
        <v>1.1675423234092235</v>
      </c>
      <c r="F53" s="973">
        <f t="shared" si="7"/>
        <v>2.6</v>
      </c>
      <c r="G53" s="973">
        <f t="shared" si="8"/>
        <v>0.7</v>
      </c>
      <c r="H53" s="973">
        <f t="shared" si="9"/>
        <v>3.8000000000000003</v>
      </c>
      <c r="I53" s="973"/>
      <c r="J53" s="980">
        <v>8.3062000000000005</v>
      </c>
      <c r="K53" s="981">
        <v>4.8860000000000001</v>
      </c>
      <c r="L53" s="981">
        <v>6</v>
      </c>
      <c r="M53" s="981">
        <v>5.1390000000000002</v>
      </c>
      <c r="N53" s="981">
        <v>14.450799999999999</v>
      </c>
      <c r="O53" s="981">
        <v>5.5579999999999998</v>
      </c>
      <c r="P53" s="981">
        <v>4.0831</v>
      </c>
      <c r="Q53" s="981">
        <v>5.8330000000000002</v>
      </c>
      <c r="R53" s="981">
        <v>23.088799999999999</v>
      </c>
      <c r="S53" s="981">
        <v>6.0759999999999996</v>
      </c>
    </row>
    <row r="54" spans="1:19" s="950" customFormat="1" ht="12.75">
      <c r="A54" s="970" t="s">
        <v>127</v>
      </c>
      <c r="B54" s="971" t="s">
        <v>128</v>
      </c>
      <c r="C54" s="972" t="s">
        <v>275</v>
      </c>
      <c r="D54" s="973">
        <f t="shared" si="5"/>
        <v>1.7</v>
      </c>
      <c r="E54" s="973">
        <f t="shared" si="6"/>
        <v>4.1436464088397793</v>
      </c>
      <c r="F54" s="973">
        <f t="shared" si="7"/>
        <v>1.8</v>
      </c>
      <c r="G54" s="973">
        <f t="shared" si="8"/>
        <v>1.3</v>
      </c>
      <c r="H54" s="973">
        <f t="shared" si="9"/>
        <v>1</v>
      </c>
      <c r="I54" s="973"/>
      <c r="J54" s="980">
        <v>6.0587999999999997</v>
      </c>
      <c r="K54" s="981">
        <v>3.5640000000000001</v>
      </c>
      <c r="L54" s="981">
        <v>15</v>
      </c>
      <c r="M54" s="981">
        <v>3.62</v>
      </c>
      <c r="N54" s="981">
        <v>6.5645999999999995</v>
      </c>
      <c r="O54" s="981">
        <v>3.6469999999999998</v>
      </c>
      <c r="P54" s="981">
        <v>4.9842000000000004</v>
      </c>
      <c r="Q54" s="981">
        <v>3.8340000000000001</v>
      </c>
      <c r="R54" s="981">
        <v>3.9689999999999999</v>
      </c>
      <c r="S54" s="981">
        <v>3.9689999999999999</v>
      </c>
    </row>
    <row r="55" spans="1:19" s="950" customFormat="1" ht="12.75">
      <c r="A55" s="970" t="s">
        <v>129</v>
      </c>
      <c r="B55" s="971" t="s">
        <v>130</v>
      </c>
      <c r="C55" s="972" t="s">
        <v>275</v>
      </c>
      <c r="D55" s="973">
        <f t="shared" si="5"/>
        <v>1.9</v>
      </c>
      <c r="E55" s="973">
        <f t="shared" si="6"/>
        <v>12.151898734177214</v>
      </c>
      <c r="F55" s="973">
        <f t="shared" si="7"/>
        <v>9.6999999999999993</v>
      </c>
      <c r="G55" s="973">
        <f t="shared" si="8"/>
        <v>3.4</v>
      </c>
      <c r="H55" s="973">
        <f t="shared" si="9"/>
        <v>2.4</v>
      </c>
      <c r="I55" s="973"/>
      <c r="J55" s="980">
        <v>3.8398999999999996</v>
      </c>
      <c r="K55" s="981">
        <v>2.0209999999999999</v>
      </c>
      <c r="L55" s="981">
        <v>24</v>
      </c>
      <c r="M55" s="981">
        <v>1.9750000000000001</v>
      </c>
      <c r="N55" s="981">
        <v>19.196300000000001</v>
      </c>
      <c r="O55" s="981">
        <v>1.9790000000000001</v>
      </c>
      <c r="P55" s="981">
        <v>6.6027999999999993</v>
      </c>
      <c r="Q55" s="981">
        <v>1.9419999999999999</v>
      </c>
      <c r="R55" s="981">
        <v>4.7160000000000002</v>
      </c>
      <c r="S55" s="981">
        <v>1.9650000000000001</v>
      </c>
    </row>
    <row r="56" spans="1:19" s="950" customFormat="1" ht="12.75">
      <c r="A56" s="970" t="s">
        <v>131</v>
      </c>
      <c r="B56" s="971" t="s">
        <v>132</v>
      </c>
      <c r="C56" s="972" t="s">
        <v>278</v>
      </c>
      <c r="D56" s="973">
        <f t="shared" si="5"/>
        <v>9.1999999999999993</v>
      </c>
      <c r="E56" s="973">
        <f t="shared" si="6"/>
        <v>4.9703689543108389</v>
      </c>
      <c r="F56" s="973">
        <f t="shared" si="7"/>
        <v>3.9</v>
      </c>
      <c r="G56" s="973">
        <f t="shared" si="8"/>
        <v>4.7</v>
      </c>
      <c r="H56" s="973">
        <f t="shared" si="9"/>
        <v>3.5</v>
      </c>
      <c r="I56" s="973"/>
      <c r="J56" s="980">
        <v>48.235599999999998</v>
      </c>
      <c r="K56" s="981">
        <v>5.2430000000000003</v>
      </c>
      <c r="L56" s="981">
        <v>26</v>
      </c>
      <c r="M56" s="981">
        <v>5.2309999999999999</v>
      </c>
      <c r="N56" s="981">
        <v>20.209800000000001</v>
      </c>
      <c r="O56" s="981">
        <v>5.1820000000000004</v>
      </c>
      <c r="P56" s="981">
        <v>23.974700000000002</v>
      </c>
      <c r="Q56" s="981">
        <v>5.101</v>
      </c>
      <c r="R56" s="981">
        <v>17.759</v>
      </c>
      <c r="S56" s="981">
        <v>5.0739999999999998</v>
      </c>
    </row>
    <row r="57" spans="1:19" s="950" customFormat="1" ht="12.75">
      <c r="A57" s="970" t="s">
        <v>133</v>
      </c>
      <c r="B57" s="971" t="s">
        <v>134</v>
      </c>
      <c r="C57" s="972" t="s">
        <v>276</v>
      </c>
      <c r="D57" s="973">
        <f t="shared" si="5"/>
        <v>0.6</v>
      </c>
      <c r="E57" s="973">
        <f t="shared" si="6"/>
        <v>0.53741390770623254</v>
      </c>
      <c r="F57" s="973">
        <f t="shared" si="7"/>
        <v>1</v>
      </c>
      <c r="G57" s="973">
        <f t="shared" si="8"/>
        <v>1.2</v>
      </c>
      <c r="H57" s="973">
        <f t="shared" si="9"/>
        <v>0.79999999999999993</v>
      </c>
      <c r="I57" s="973"/>
      <c r="J57" s="980">
        <v>39.172200000000004</v>
      </c>
      <c r="K57" s="981">
        <v>65.287000000000006</v>
      </c>
      <c r="L57" s="981">
        <v>38</v>
      </c>
      <c r="M57" s="981">
        <v>70.709000000000003</v>
      </c>
      <c r="N57" s="981">
        <v>75.450999999999993</v>
      </c>
      <c r="O57" s="981">
        <v>75.450999999999993</v>
      </c>
      <c r="P57" s="981">
        <v>95.008800000000008</v>
      </c>
      <c r="Q57" s="981">
        <v>79.174000000000007</v>
      </c>
      <c r="R57" s="981">
        <v>66.372</v>
      </c>
      <c r="S57" s="981">
        <v>82.965000000000003</v>
      </c>
    </row>
    <row r="58" spans="1:19" s="950" customFormat="1" ht="12.75">
      <c r="A58" s="970" t="s">
        <v>135</v>
      </c>
      <c r="B58" s="971" t="s">
        <v>136</v>
      </c>
      <c r="C58" s="972" t="s">
        <v>276</v>
      </c>
      <c r="D58" s="973">
        <f t="shared" si="5"/>
        <v>2.1</v>
      </c>
      <c r="E58" s="973">
        <f t="shared" si="6"/>
        <v>3.797083839611179</v>
      </c>
      <c r="F58" s="973">
        <f t="shared" si="7"/>
        <v>5.9</v>
      </c>
      <c r="G58" s="973">
        <f t="shared" si="8"/>
        <v>5.9000000000000012</v>
      </c>
      <c r="H58" s="973">
        <f t="shared" si="9"/>
        <v>2.2000000000000002</v>
      </c>
      <c r="I58" s="973"/>
      <c r="J58" s="980">
        <v>13.635300000000001</v>
      </c>
      <c r="K58" s="981">
        <v>6.4930000000000003</v>
      </c>
      <c r="L58" s="981">
        <v>25</v>
      </c>
      <c r="M58" s="981">
        <v>6.5839999999999996</v>
      </c>
      <c r="N58" s="981">
        <v>40.1967</v>
      </c>
      <c r="O58" s="981">
        <v>6.8129999999999997</v>
      </c>
      <c r="P58" s="981">
        <v>41.429800000000007</v>
      </c>
      <c r="Q58" s="981">
        <v>7.0220000000000002</v>
      </c>
      <c r="R58" s="981">
        <v>15.644200000000001</v>
      </c>
      <c r="S58" s="981">
        <v>7.1109999999999998</v>
      </c>
    </row>
    <row r="59" spans="1:19" s="950" customFormat="1" ht="12.75">
      <c r="A59" s="970" t="s">
        <v>137</v>
      </c>
      <c r="B59" s="971" t="s">
        <v>138</v>
      </c>
      <c r="C59" s="972" t="s">
        <v>275</v>
      </c>
      <c r="D59" s="973">
        <f t="shared" si="5"/>
        <v>0.4</v>
      </c>
      <c r="E59" s="973">
        <f t="shared" si="6"/>
        <v>0</v>
      </c>
      <c r="F59" s="973">
        <f t="shared" si="7"/>
        <v>0</v>
      </c>
      <c r="G59" s="973">
        <f t="shared" si="8"/>
        <v>1.1000000000000001</v>
      </c>
      <c r="H59" s="973">
        <f t="shared" si="9"/>
        <v>1.9</v>
      </c>
      <c r="I59" s="973"/>
      <c r="J59" s="980">
        <v>1.0720000000000001</v>
      </c>
      <c r="K59" s="981">
        <v>2.68</v>
      </c>
      <c r="L59" s="981">
        <v>0</v>
      </c>
      <c r="M59" s="981">
        <v>2.6190000000000002</v>
      </c>
      <c r="N59" s="981">
        <v>0</v>
      </c>
      <c r="O59" s="981">
        <v>2.5910000000000002</v>
      </c>
      <c r="P59" s="981">
        <v>2.8512000000000004</v>
      </c>
      <c r="Q59" s="981">
        <v>2.5920000000000001</v>
      </c>
      <c r="R59" s="981">
        <v>4.8373999999999997</v>
      </c>
      <c r="S59" s="981">
        <v>2.5459999999999998</v>
      </c>
    </row>
    <row r="60" spans="1:19" s="950" customFormat="1" ht="12.75">
      <c r="A60" s="970" t="s">
        <v>141</v>
      </c>
      <c r="B60" s="971" t="s">
        <v>142</v>
      </c>
      <c r="C60" s="972" t="s">
        <v>276</v>
      </c>
      <c r="D60" s="973">
        <f t="shared" si="5"/>
        <v>1.7</v>
      </c>
      <c r="E60" s="973">
        <f t="shared" si="6"/>
        <v>0.67294751009421261</v>
      </c>
      <c r="F60" s="973">
        <f t="shared" si="7"/>
        <v>0.7</v>
      </c>
      <c r="G60" s="973">
        <f t="shared" si="8"/>
        <v>1.6</v>
      </c>
      <c r="H60" s="973">
        <f t="shared" si="9"/>
        <v>1.6</v>
      </c>
      <c r="I60" s="973"/>
      <c r="J60" s="980">
        <v>5.0830000000000002</v>
      </c>
      <c r="K60" s="981">
        <v>2.99</v>
      </c>
      <c r="L60" s="981">
        <v>2</v>
      </c>
      <c r="M60" s="981">
        <v>2.972</v>
      </c>
      <c r="N60" s="981">
        <v>2.0922999999999998</v>
      </c>
      <c r="O60" s="981">
        <v>2.9889999999999999</v>
      </c>
      <c r="P60" s="981">
        <v>4.8256000000000006</v>
      </c>
      <c r="Q60" s="981">
        <v>3.016</v>
      </c>
      <c r="R60" s="981">
        <v>4.8512000000000004</v>
      </c>
      <c r="S60" s="981">
        <v>3.032</v>
      </c>
    </row>
    <row r="61" spans="1:19" s="950" customFormat="1" ht="12.75">
      <c r="A61" s="970" t="s">
        <v>147</v>
      </c>
      <c r="B61" s="971" t="s">
        <v>148</v>
      </c>
      <c r="C61" s="972" t="s">
        <v>272</v>
      </c>
      <c r="D61" s="973">
        <f t="shared" si="5"/>
        <v>7.7</v>
      </c>
      <c r="E61" s="973">
        <f t="shared" si="6"/>
        <v>5.9559261465157833</v>
      </c>
      <c r="F61" s="973">
        <f t="shared" si="7"/>
        <v>3.4</v>
      </c>
      <c r="G61" s="973">
        <f t="shared" si="8"/>
        <v>19.8</v>
      </c>
      <c r="H61" s="973">
        <f t="shared" si="9"/>
        <v>8.4</v>
      </c>
      <c r="I61" s="973"/>
      <c r="J61" s="980">
        <v>13.174700000000001</v>
      </c>
      <c r="K61" s="981">
        <v>1.7110000000000001</v>
      </c>
      <c r="L61" s="981">
        <v>10</v>
      </c>
      <c r="M61" s="981">
        <v>1.679</v>
      </c>
      <c r="N61" s="981">
        <v>5.6167999999999996</v>
      </c>
      <c r="O61" s="981">
        <v>1.6519999999999999</v>
      </c>
      <c r="P61" s="981">
        <v>32.511600000000001</v>
      </c>
      <c r="Q61" s="981">
        <v>1.6419999999999999</v>
      </c>
      <c r="R61" s="981">
        <v>13.692</v>
      </c>
      <c r="S61" s="981">
        <v>1.63</v>
      </c>
    </row>
    <row r="62" spans="1:19" s="950" customFormat="1" ht="12.75">
      <c r="A62" s="970" t="s">
        <v>149</v>
      </c>
      <c r="B62" s="971" t="s">
        <v>150</v>
      </c>
      <c r="C62" s="972" t="s">
        <v>273</v>
      </c>
      <c r="D62" s="973">
        <f t="shared" si="5"/>
        <v>4.4000000000000004</v>
      </c>
      <c r="E62" s="973">
        <f t="shared" si="6"/>
        <v>3.5836941914289979</v>
      </c>
      <c r="F62" s="973">
        <f t="shared" si="7"/>
        <v>3.8</v>
      </c>
      <c r="G62" s="973">
        <f t="shared" si="8"/>
        <v>2.2999999999999998</v>
      </c>
      <c r="H62" s="973">
        <f t="shared" si="9"/>
        <v>5.5</v>
      </c>
      <c r="I62" s="973"/>
      <c r="J62" s="980">
        <v>29.638400000000001</v>
      </c>
      <c r="K62" s="981">
        <v>6.7359999999999998</v>
      </c>
      <c r="L62" s="981">
        <v>24</v>
      </c>
      <c r="M62" s="981">
        <v>6.6970000000000001</v>
      </c>
      <c r="N62" s="981">
        <v>24.889999999999997</v>
      </c>
      <c r="O62" s="981">
        <v>6.55</v>
      </c>
      <c r="P62" s="981">
        <v>14.9316</v>
      </c>
      <c r="Q62" s="981">
        <v>6.492</v>
      </c>
      <c r="R62" s="981">
        <v>35.376000000000005</v>
      </c>
      <c r="S62" s="981">
        <v>6.4320000000000004</v>
      </c>
    </row>
    <row r="63" spans="1:19" s="950" customFormat="1" ht="12.75">
      <c r="A63" s="970" t="s">
        <v>151</v>
      </c>
      <c r="B63" s="971" t="s">
        <v>152</v>
      </c>
      <c r="C63" s="972" t="s">
        <v>275</v>
      </c>
      <c r="D63" s="973">
        <f t="shared" si="5"/>
        <v>1.6</v>
      </c>
      <c r="E63" s="973">
        <f t="shared" si="6"/>
        <v>1.1013215859030836</v>
      </c>
      <c r="F63" s="973">
        <f t="shared" si="7"/>
        <v>1.6</v>
      </c>
      <c r="G63" s="973">
        <f t="shared" si="8"/>
        <v>2.2000000000000002</v>
      </c>
      <c r="H63" s="973">
        <f t="shared" si="9"/>
        <v>10.3</v>
      </c>
      <c r="I63" s="973"/>
      <c r="J63" s="980">
        <v>3</v>
      </c>
      <c r="K63" s="981">
        <v>1.875</v>
      </c>
      <c r="L63" s="981">
        <v>2</v>
      </c>
      <c r="M63" s="981">
        <v>1.8160000000000001</v>
      </c>
      <c r="N63" s="981">
        <v>2.9072</v>
      </c>
      <c r="O63" s="981">
        <v>1.8169999999999999</v>
      </c>
      <c r="P63" s="981">
        <v>3.9226000000000001</v>
      </c>
      <c r="Q63" s="981">
        <v>1.7829999999999999</v>
      </c>
      <c r="R63" s="981">
        <v>18.0044</v>
      </c>
      <c r="S63" s="981">
        <v>1.748</v>
      </c>
    </row>
    <row r="64" spans="1:19" s="950" customFormat="1" ht="12.75">
      <c r="A64" s="970" t="s">
        <v>153</v>
      </c>
      <c r="B64" s="971" t="s">
        <v>154</v>
      </c>
      <c r="C64" s="972" t="s">
        <v>278</v>
      </c>
      <c r="D64" s="973">
        <f t="shared" si="5"/>
        <v>4.7</v>
      </c>
      <c r="E64" s="973">
        <f t="shared" si="6"/>
        <v>3.9888033589923024</v>
      </c>
      <c r="F64" s="973">
        <f t="shared" si="7"/>
        <v>4.9000000000000004</v>
      </c>
      <c r="G64" s="973">
        <f t="shared" si="8"/>
        <v>5.7</v>
      </c>
      <c r="H64" s="973">
        <f t="shared" si="9"/>
        <v>5.5</v>
      </c>
      <c r="I64" s="973"/>
      <c r="J64" s="980">
        <v>66.246500000000012</v>
      </c>
      <c r="K64" s="981">
        <v>14.095000000000001</v>
      </c>
      <c r="L64" s="981">
        <v>57</v>
      </c>
      <c r="M64" s="981">
        <v>14.29</v>
      </c>
      <c r="N64" s="981">
        <v>70.295400000000001</v>
      </c>
      <c r="O64" s="981">
        <v>14.346</v>
      </c>
      <c r="P64" s="981">
        <v>81.994500000000002</v>
      </c>
      <c r="Q64" s="981">
        <v>14.385</v>
      </c>
      <c r="R64" s="981">
        <v>80.1845</v>
      </c>
      <c r="S64" s="981">
        <v>14.579000000000001</v>
      </c>
    </row>
    <row r="65" spans="1:19" s="950" customFormat="1" ht="12.75">
      <c r="A65" s="970" t="s">
        <v>155</v>
      </c>
      <c r="B65" s="971" t="s">
        <v>156</v>
      </c>
      <c r="C65" s="972" t="s">
        <v>273</v>
      </c>
      <c r="D65" s="973">
        <f t="shared" si="5"/>
        <v>0</v>
      </c>
      <c r="E65" s="973">
        <f t="shared" si="6"/>
        <v>0.65703022339027595</v>
      </c>
      <c r="F65" s="973">
        <f t="shared" si="7"/>
        <v>0.9</v>
      </c>
      <c r="G65" s="973">
        <f t="shared" si="8"/>
        <v>3.1000000000000005</v>
      </c>
      <c r="H65" s="973">
        <f t="shared" si="9"/>
        <v>0.9</v>
      </c>
      <c r="I65" s="973"/>
      <c r="J65" s="980">
        <v>0</v>
      </c>
      <c r="K65" s="981">
        <v>3.077</v>
      </c>
      <c r="L65" s="981">
        <v>2</v>
      </c>
      <c r="M65" s="981">
        <v>3.044</v>
      </c>
      <c r="N65" s="981">
        <v>2.6991000000000001</v>
      </c>
      <c r="O65" s="981">
        <v>2.9990000000000001</v>
      </c>
      <c r="P65" s="981">
        <v>9.1667000000000005</v>
      </c>
      <c r="Q65" s="981">
        <v>2.9569999999999999</v>
      </c>
      <c r="R65" s="981">
        <v>2.6684999999999999</v>
      </c>
      <c r="S65" s="981">
        <v>2.9649999999999999</v>
      </c>
    </row>
    <row r="66" spans="1:19" s="950" customFormat="1" ht="12.75">
      <c r="A66" s="970" t="s">
        <v>157</v>
      </c>
      <c r="B66" s="971" t="s">
        <v>158</v>
      </c>
      <c r="C66" s="972" t="s">
        <v>275</v>
      </c>
      <c r="D66" s="973">
        <f t="shared" si="5"/>
        <v>4</v>
      </c>
      <c r="E66" s="973">
        <f t="shared" si="6"/>
        <v>3.0977189524077722</v>
      </c>
      <c r="F66" s="973">
        <f t="shared" si="7"/>
        <v>1.9</v>
      </c>
      <c r="G66" s="973">
        <f t="shared" si="8"/>
        <v>2.8</v>
      </c>
      <c r="H66" s="973">
        <f t="shared" si="9"/>
        <v>1.2</v>
      </c>
      <c r="I66" s="973"/>
      <c r="J66" s="980">
        <v>13.827999999999999</v>
      </c>
      <c r="K66" s="981">
        <v>3.4569999999999999</v>
      </c>
      <c r="L66" s="981">
        <v>11</v>
      </c>
      <c r="M66" s="981">
        <v>3.5510000000000002</v>
      </c>
      <c r="N66" s="981">
        <v>6.9463999999999997</v>
      </c>
      <c r="O66" s="981">
        <v>3.6560000000000001</v>
      </c>
      <c r="P66" s="981">
        <v>10.511199999999999</v>
      </c>
      <c r="Q66" s="981">
        <v>3.754</v>
      </c>
      <c r="R66" s="981">
        <v>4.6511999999999993</v>
      </c>
      <c r="S66" s="981">
        <v>3.8759999999999999</v>
      </c>
    </row>
    <row r="67" spans="1:19" s="950" customFormat="1" ht="12.75">
      <c r="A67" s="970" t="s">
        <v>163</v>
      </c>
      <c r="B67" s="971" t="s">
        <v>164</v>
      </c>
      <c r="C67" s="972" t="s">
        <v>272</v>
      </c>
      <c r="D67" s="973">
        <f t="shared" si="5"/>
        <v>2.2999999999999998</v>
      </c>
      <c r="E67" s="973">
        <f t="shared" si="6"/>
        <v>0.66622251832111934</v>
      </c>
      <c r="F67" s="973">
        <f t="shared" si="7"/>
        <v>1.4</v>
      </c>
      <c r="G67" s="973">
        <f t="shared" si="8"/>
        <v>1</v>
      </c>
      <c r="H67" s="973">
        <f t="shared" si="9"/>
        <v>4.8</v>
      </c>
      <c r="I67" s="973"/>
      <c r="J67" s="980">
        <v>6.7688999999999995</v>
      </c>
      <c r="K67" s="981">
        <v>2.9430000000000001</v>
      </c>
      <c r="L67" s="981">
        <v>2</v>
      </c>
      <c r="M67" s="981">
        <v>3.0019999999999998</v>
      </c>
      <c r="N67" s="981">
        <v>4.2545999999999999</v>
      </c>
      <c r="O67" s="981">
        <v>3.0390000000000001</v>
      </c>
      <c r="P67" s="981">
        <v>3.03</v>
      </c>
      <c r="Q67" s="981">
        <v>3.03</v>
      </c>
      <c r="R67" s="981">
        <v>14.236800000000001</v>
      </c>
      <c r="S67" s="981">
        <v>2.9660000000000002</v>
      </c>
    </row>
    <row r="68" spans="1:19" s="950" customFormat="1" ht="12.75">
      <c r="A68" s="970" t="s">
        <v>165</v>
      </c>
      <c r="B68" s="971" t="s">
        <v>166</v>
      </c>
      <c r="C68" s="972" t="s">
        <v>275</v>
      </c>
      <c r="D68" s="973">
        <f t="shared" si="5"/>
        <v>3.4</v>
      </c>
      <c r="E68" s="973">
        <f t="shared" si="6"/>
        <v>9.0702947845804989</v>
      </c>
      <c r="F68" s="973">
        <f t="shared" si="7"/>
        <v>7.4</v>
      </c>
      <c r="G68" s="973">
        <f t="shared" si="8"/>
        <v>1.7</v>
      </c>
      <c r="H68" s="973">
        <f t="shared" si="9"/>
        <v>11.5</v>
      </c>
      <c r="I68" s="973"/>
      <c r="J68" s="980">
        <v>7.7316000000000003</v>
      </c>
      <c r="K68" s="981">
        <v>2.274</v>
      </c>
      <c r="L68" s="981">
        <v>20</v>
      </c>
      <c r="M68" s="981">
        <v>2.2050000000000001</v>
      </c>
      <c r="N68" s="981">
        <v>16.169</v>
      </c>
      <c r="O68" s="981">
        <v>2.1850000000000001</v>
      </c>
      <c r="P68" s="981">
        <v>3.6702999999999997</v>
      </c>
      <c r="Q68" s="981">
        <v>2.1589999999999998</v>
      </c>
      <c r="R68" s="981">
        <v>25.047000000000001</v>
      </c>
      <c r="S68" s="981">
        <v>2.1779999999999999</v>
      </c>
    </row>
    <row r="69" spans="1:19" s="950" customFormat="1" ht="12.75">
      <c r="A69" s="970" t="s">
        <v>169</v>
      </c>
      <c r="B69" s="971" t="s">
        <v>170</v>
      </c>
      <c r="C69" s="972" t="s">
        <v>275</v>
      </c>
      <c r="D69" s="973">
        <f t="shared" ref="D69:D100" si="10">+J69/K69</f>
        <v>2.6</v>
      </c>
      <c r="E69" s="973">
        <f t="shared" ref="E69:E100" si="11">+L69/M69</f>
        <v>1.6783216783216783</v>
      </c>
      <c r="F69" s="973">
        <f t="shared" ref="F69:F100" si="12">+N69/O69</f>
        <v>5.1999999999999993</v>
      </c>
      <c r="G69" s="973">
        <f t="shared" ref="G69:G100" si="13">+P69/Q69</f>
        <v>2</v>
      </c>
      <c r="H69" s="973">
        <f t="shared" ref="H69:H100" si="14">+R69/S69</f>
        <v>1.2</v>
      </c>
      <c r="I69" s="973"/>
      <c r="J69" s="980">
        <v>9.3054000000000006</v>
      </c>
      <c r="K69" s="981">
        <v>3.5790000000000002</v>
      </c>
      <c r="L69" s="981">
        <v>6</v>
      </c>
      <c r="M69" s="981">
        <v>3.5750000000000002</v>
      </c>
      <c r="N69" s="981">
        <v>18.293599999999998</v>
      </c>
      <c r="O69" s="981">
        <v>3.5179999999999998</v>
      </c>
      <c r="P69" s="981">
        <v>6.8639999999999999</v>
      </c>
      <c r="Q69" s="981">
        <v>3.4319999999999999</v>
      </c>
      <c r="R69" s="981">
        <v>4.0907999999999998</v>
      </c>
      <c r="S69" s="981">
        <v>3.4089999999999998</v>
      </c>
    </row>
    <row r="70" spans="1:19" s="950" customFormat="1" ht="12.75">
      <c r="A70" s="970" t="s">
        <v>171</v>
      </c>
      <c r="B70" s="971" t="s">
        <v>172</v>
      </c>
      <c r="C70" s="972" t="s">
        <v>276</v>
      </c>
      <c r="D70" s="973">
        <f t="shared" si="10"/>
        <v>4.7</v>
      </c>
      <c r="E70" s="973">
        <f t="shared" si="11"/>
        <v>3.9457070707070705</v>
      </c>
      <c r="F70" s="973">
        <f t="shared" si="12"/>
        <v>5.8</v>
      </c>
      <c r="G70" s="973">
        <f t="shared" si="13"/>
        <v>3.9000000000000004</v>
      </c>
      <c r="H70" s="973">
        <f t="shared" si="14"/>
        <v>5.2</v>
      </c>
      <c r="I70" s="973"/>
      <c r="J70" s="980">
        <v>29.078900000000001</v>
      </c>
      <c r="K70" s="981">
        <v>6.1870000000000003</v>
      </c>
      <c r="L70" s="981">
        <v>25</v>
      </c>
      <c r="M70" s="981">
        <v>6.3360000000000003</v>
      </c>
      <c r="N70" s="981">
        <v>38.790399999999998</v>
      </c>
      <c r="O70" s="981">
        <v>6.6879999999999997</v>
      </c>
      <c r="P70" s="981">
        <v>27.7212</v>
      </c>
      <c r="Q70" s="981">
        <v>7.1079999999999997</v>
      </c>
      <c r="R70" s="981">
        <v>38.636000000000003</v>
      </c>
      <c r="S70" s="981">
        <v>7.43</v>
      </c>
    </row>
    <row r="71" spans="1:19" s="950" customFormat="1" ht="12.75">
      <c r="A71" s="970" t="s">
        <v>173</v>
      </c>
      <c r="B71" s="971" t="s">
        <v>174</v>
      </c>
      <c r="C71" s="972" t="s">
        <v>276</v>
      </c>
      <c r="D71" s="973">
        <f t="shared" si="10"/>
        <v>5.7</v>
      </c>
      <c r="E71" s="973">
        <f t="shared" si="11"/>
        <v>4.1872858774267225</v>
      </c>
      <c r="F71" s="973">
        <f t="shared" si="12"/>
        <v>6.6</v>
      </c>
      <c r="G71" s="973">
        <f t="shared" si="13"/>
        <v>5.6</v>
      </c>
      <c r="H71" s="973">
        <f t="shared" si="14"/>
        <v>3.2</v>
      </c>
      <c r="I71" s="973"/>
      <c r="J71" s="980">
        <v>29.907900000000001</v>
      </c>
      <c r="K71" s="981">
        <v>5.2469999999999999</v>
      </c>
      <c r="L71" s="981">
        <v>22</v>
      </c>
      <c r="M71" s="981">
        <v>5.2539999999999996</v>
      </c>
      <c r="N71" s="981">
        <v>34.451999999999998</v>
      </c>
      <c r="O71" s="981">
        <v>5.22</v>
      </c>
      <c r="P71" s="981">
        <v>29.355199999999996</v>
      </c>
      <c r="Q71" s="981">
        <v>5.242</v>
      </c>
      <c r="R71" s="981">
        <v>16.576000000000001</v>
      </c>
      <c r="S71" s="981">
        <v>5.18</v>
      </c>
    </row>
    <row r="72" spans="1:19" s="950" customFormat="1" ht="12.75">
      <c r="A72" s="970" t="s">
        <v>175</v>
      </c>
      <c r="B72" s="971" t="s">
        <v>176</v>
      </c>
      <c r="C72" s="972" t="s">
        <v>278</v>
      </c>
      <c r="D72" s="973">
        <f t="shared" si="10"/>
        <v>7.1</v>
      </c>
      <c r="E72" s="973">
        <f t="shared" si="11"/>
        <v>3.4427966101694918</v>
      </c>
      <c r="F72" s="973">
        <f t="shared" si="12"/>
        <v>3.9</v>
      </c>
      <c r="G72" s="973">
        <f t="shared" si="13"/>
        <v>4.5999999999999996</v>
      </c>
      <c r="H72" s="973">
        <f t="shared" si="14"/>
        <v>8.5</v>
      </c>
      <c r="I72" s="973"/>
      <c r="J72" s="980">
        <v>27.2498</v>
      </c>
      <c r="K72" s="981">
        <v>3.8380000000000001</v>
      </c>
      <c r="L72" s="981">
        <v>13</v>
      </c>
      <c r="M72" s="981">
        <v>3.7759999999999998</v>
      </c>
      <c r="N72" s="981">
        <v>14.4846</v>
      </c>
      <c r="O72" s="981">
        <v>3.714</v>
      </c>
      <c r="P72" s="981">
        <v>16.785399999999999</v>
      </c>
      <c r="Q72" s="981">
        <v>3.649</v>
      </c>
      <c r="R72" s="981">
        <v>31.11</v>
      </c>
      <c r="S72" s="981">
        <v>3.66</v>
      </c>
    </row>
    <row r="73" spans="1:19" s="950" customFormat="1" ht="12.75">
      <c r="A73" s="970" t="s">
        <v>179</v>
      </c>
      <c r="B73" s="971" t="s">
        <v>180</v>
      </c>
      <c r="C73" s="972" t="s">
        <v>273</v>
      </c>
      <c r="D73" s="973">
        <f t="shared" si="10"/>
        <v>4.0999999999999996</v>
      </c>
      <c r="E73" s="973">
        <f t="shared" si="11"/>
        <v>4.8663567693201628</v>
      </c>
      <c r="F73" s="973">
        <f t="shared" si="12"/>
        <v>3.2999999999999994</v>
      </c>
      <c r="G73" s="973">
        <f t="shared" si="13"/>
        <v>2.2000000000000002</v>
      </c>
      <c r="H73" s="973">
        <f t="shared" si="14"/>
        <v>1.1000000000000001</v>
      </c>
      <c r="I73" s="973"/>
      <c r="J73" s="980">
        <v>56.608699999999999</v>
      </c>
      <c r="K73" s="981">
        <v>13.807</v>
      </c>
      <c r="L73" s="981">
        <v>67</v>
      </c>
      <c r="M73" s="981">
        <v>13.768000000000001</v>
      </c>
      <c r="N73" s="981">
        <v>45.031799999999997</v>
      </c>
      <c r="O73" s="981">
        <v>13.646000000000001</v>
      </c>
      <c r="P73" s="981">
        <v>29.570200000000003</v>
      </c>
      <c r="Q73" s="981">
        <v>13.441000000000001</v>
      </c>
      <c r="R73" s="981">
        <v>14.715800000000002</v>
      </c>
      <c r="S73" s="981">
        <v>13.378</v>
      </c>
    </row>
    <row r="74" spans="1:19" s="950" customFormat="1" ht="12.75">
      <c r="A74" s="970" t="s">
        <v>183</v>
      </c>
      <c r="B74" s="971" t="s">
        <v>184</v>
      </c>
      <c r="C74" s="972" t="s">
        <v>275</v>
      </c>
      <c r="D74" s="973">
        <f t="shared" si="10"/>
        <v>0.5</v>
      </c>
      <c r="E74" s="973">
        <f t="shared" si="11"/>
        <v>0.4963600264725348</v>
      </c>
      <c r="F74" s="973">
        <f t="shared" si="12"/>
        <v>0.2</v>
      </c>
      <c r="G74" s="973">
        <f t="shared" si="13"/>
        <v>0.5</v>
      </c>
      <c r="H74" s="973">
        <f t="shared" si="14"/>
        <v>0.5</v>
      </c>
      <c r="I74" s="973"/>
      <c r="J74" s="980">
        <v>2.9575</v>
      </c>
      <c r="K74" s="981">
        <v>5.915</v>
      </c>
      <c r="L74" s="981">
        <v>3</v>
      </c>
      <c r="M74" s="981">
        <v>6.0439999999999996</v>
      </c>
      <c r="N74" s="981">
        <v>1.2452000000000001</v>
      </c>
      <c r="O74" s="981">
        <v>6.226</v>
      </c>
      <c r="P74" s="981">
        <v>3.1974999999999998</v>
      </c>
      <c r="Q74" s="981">
        <v>6.3949999999999996</v>
      </c>
      <c r="R74" s="981">
        <v>3.1825000000000001</v>
      </c>
      <c r="S74" s="981">
        <v>6.3650000000000002</v>
      </c>
    </row>
    <row r="75" spans="1:19" s="950" customFormat="1" ht="12.75">
      <c r="A75" s="970" t="s">
        <v>185</v>
      </c>
      <c r="B75" s="971" t="s">
        <v>186</v>
      </c>
      <c r="C75" s="972" t="s">
        <v>275</v>
      </c>
      <c r="D75" s="973">
        <f t="shared" si="10"/>
        <v>2.6999999999999997</v>
      </c>
      <c r="E75" s="973">
        <f t="shared" si="11"/>
        <v>6.0744115413819282</v>
      </c>
      <c r="F75" s="973">
        <f t="shared" si="12"/>
        <v>3.3</v>
      </c>
      <c r="G75" s="973">
        <f t="shared" si="13"/>
        <v>10.4</v>
      </c>
      <c r="H75" s="973">
        <f t="shared" si="14"/>
        <v>5.6</v>
      </c>
      <c r="I75" s="973"/>
      <c r="J75" s="980">
        <v>10.6866</v>
      </c>
      <c r="K75" s="981">
        <v>3.9580000000000002</v>
      </c>
      <c r="L75" s="981">
        <v>24</v>
      </c>
      <c r="M75" s="981">
        <v>3.9510000000000001</v>
      </c>
      <c r="N75" s="981">
        <v>13.0284</v>
      </c>
      <c r="O75" s="981">
        <v>3.948</v>
      </c>
      <c r="P75" s="981">
        <v>40.362400000000001</v>
      </c>
      <c r="Q75" s="981">
        <v>3.8809999999999998</v>
      </c>
      <c r="R75" s="981">
        <v>21.800799999999999</v>
      </c>
      <c r="S75" s="981">
        <v>3.8929999999999998</v>
      </c>
    </row>
    <row r="76" spans="1:19" s="950" customFormat="1" ht="12.75">
      <c r="A76" s="970" t="s">
        <v>187</v>
      </c>
      <c r="B76" s="971" t="s">
        <v>188</v>
      </c>
      <c r="C76" s="972" t="s">
        <v>272</v>
      </c>
      <c r="D76" s="973">
        <f t="shared" si="10"/>
        <v>6.4</v>
      </c>
      <c r="E76" s="973">
        <f t="shared" si="11"/>
        <v>5.3563111318118306</v>
      </c>
      <c r="F76" s="973">
        <f t="shared" si="12"/>
        <v>7.3</v>
      </c>
      <c r="G76" s="973">
        <f t="shared" si="13"/>
        <v>4</v>
      </c>
      <c r="H76" s="973">
        <f t="shared" si="14"/>
        <v>2.2000000000000002</v>
      </c>
      <c r="I76" s="973"/>
      <c r="J76" s="980">
        <v>54.94400000000001</v>
      </c>
      <c r="K76" s="981">
        <v>8.5850000000000009</v>
      </c>
      <c r="L76" s="981">
        <v>46</v>
      </c>
      <c r="M76" s="981">
        <v>8.5879999999999992</v>
      </c>
      <c r="N76" s="981">
        <v>62.341999999999992</v>
      </c>
      <c r="O76" s="981">
        <v>8.5399999999999991</v>
      </c>
      <c r="P76" s="981">
        <v>33.124000000000002</v>
      </c>
      <c r="Q76" s="981">
        <v>8.2810000000000006</v>
      </c>
      <c r="R76" s="981">
        <v>17.853000000000002</v>
      </c>
      <c r="S76" s="981">
        <v>8.1150000000000002</v>
      </c>
    </row>
    <row r="77" spans="1:19" s="950" customFormat="1" ht="12.75">
      <c r="A77" s="970" t="s">
        <v>189</v>
      </c>
      <c r="B77" s="971" t="s">
        <v>190</v>
      </c>
      <c r="C77" s="972" t="s">
        <v>276</v>
      </c>
      <c r="D77" s="973">
        <f t="shared" si="10"/>
        <v>3.5</v>
      </c>
      <c r="E77" s="973">
        <f t="shared" si="11"/>
        <v>3.1912126608111082</v>
      </c>
      <c r="F77" s="973">
        <f t="shared" si="12"/>
        <v>2.6</v>
      </c>
      <c r="G77" s="973">
        <f t="shared" si="13"/>
        <v>2.4</v>
      </c>
      <c r="H77" s="973">
        <f t="shared" si="14"/>
        <v>2.7</v>
      </c>
      <c r="I77" s="973"/>
      <c r="J77" s="980">
        <v>336.9905</v>
      </c>
      <c r="K77" s="981">
        <v>96.283000000000001</v>
      </c>
      <c r="L77" s="981">
        <v>319</v>
      </c>
      <c r="M77" s="981">
        <v>99.962000000000003</v>
      </c>
      <c r="N77" s="981">
        <v>268.08860000000004</v>
      </c>
      <c r="O77" s="981">
        <v>103.111</v>
      </c>
      <c r="P77" s="981">
        <v>252.07679999999999</v>
      </c>
      <c r="Q77" s="981">
        <v>105.032</v>
      </c>
      <c r="R77" s="981">
        <v>291.18689999999998</v>
      </c>
      <c r="S77" s="981">
        <v>107.84699999999999</v>
      </c>
    </row>
    <row r="78" spans="1:19" s="950" customFormat="1" ht="12.75">
      <c r="A78" s="970" t="s">
        <v>191</v>
      </c>
      <c r="B78" s="971" t="s">
        <v>192</v>
      </c>
      <c r="C78" s="972" t="s">
        <v>278</v>
      </c>
      <c r="D78" s="973">
        <f t="shared" si="10"/>
        <v>13.6</v>
      </c>
      <c r="E78" s="973">
        <f t="shared" si="11"/>
        <v>16.359918200408998</v>
      </c>
      <c r="F78" s="973">
        <f t="shared" si="12"/>
        <v>13.499999999999998</v>
      </c>
      <c r="G78" s="973">
        <f t="shared" si="13"/>
        <v>16.899999999999999</v>
      </c>
      <c r="H78" s="973">
        <f t="shared" si="14"/>
        <v>14.1</v>
      </c>
      <c r="I78" s="973"/>
      <c r="J78" s="980">
        <v>94.220799999999997</v>
      </c>
      <c r="K78" s="981">
        <v>6.9279999999999999</v>
      </c>
      <c r="L78" s="981">
        <v>112</v>
      </c>
      <c r="M78" s="981">
        <v>6.8460000000000001</v>
      </c>
      <c r="N78" s="981">
        <v>91.246499999999997</v>
      </c>
      <c r="O78" s="981">
        <v>6.7590000000000003</v>
      </c>
      <c r="P78" s="981">
        <v>114.88619999999999</v>
      </c>
      <c r="Q78" s="981">
        <v>6.798</v>
      </c>
      <c r="R78" s="981">
        <v>95.851799999999997</v>
      </c>
      <c r="S78" s="981">
        <v>6.798</v>
      </c>
    </row>
    <row r="79" spans="1:19" s="950" customFormat="1" ht="12.75">
      <c r="A79" s="970" t="s">
        <v>195</v>
      </c>
      <c r="B79" s="971" t="s">
        <v>196</v>
      </c>
      <c r="C79" s="972" t="s">
        <v>276</v>
      </c>
      <c r="D79" s="973">
        <f t="shared" si="10"/>
        <v>0</v>
      </c>
      <c r="E79" s="973">
        <f t="shared" si="11"/>
        <v>0.62972292191435764</v>
      </c>
      <c r="F79" s="973">
        <f t="shared" si="12"/>
        <v>0.6</v>
      </c>
      <c r="G79" s="973">
        <f t="shared" si="13"/>
        <v>0</v>
      </c>
      <c r="H79" s="973">
        <f t="shared" si="14"/>
        <v>0</v>
      </c>
      <c r="I79" s="973"/>
      <c r="J79" s="980">
        <v>0</v>
      </c>
      <c r="K79" s="981">
        <v>1.593</v>
      </c>
      <c r="L79" s="981">
        <v>1</v>
      </c>
      <c r="M79" s="981">
        <v>1.5880000000000001</v>
      </c>
      <c r="N79" s="981">
        <v>0.93599999999999994</v>
      </c>
      <c r="O79" s="981">
        <v>1.56</v>
      </c>
      <c r="P79" s="981">
        <v>0</v>
      </c>
      <c r="Q79" s="981">
        <v>1.532</v>
      </c>
      <c r="R79" s="981">
        <v>0</v>
      </c>
      <c r="S79" s="981">
        <v>1.4830000000000001</v>
      </c>
    </row>
    <row r="80" spans="1:19" s="950" customFormat="1" ht="12.75">
      <c r="A80" s="970" t="s">
        <v>199</v>
      </c>
      <c r="B80" s="971" t="s">
        <v>285</v>
      </c>
      <c r="C80" s="972" t="s">
        <v>275</v>
      </c>
      <c r="D80" s="973">
        <f t="shared" si="10"/>
        <v>2.7</v>
      </c>
      <c r="E80" s="973">
        <f t="shared" si="11"/>
        <v>1.2812299807815504</v>
      </c>
      <c r="F80" s="973">
        <f t="shared" si="12"/>
        <v>0.6</v>
      </c>
      <c r="G80" s="973">
        <f t="shared" si="13"/>
        <v>2.2999999999999998</v>
      </c>
      <c r="H80" s="973">
        <f t="shared" si="14"/>
        <v>0</v>
      </c>
      <c r="I80" s="973"/>
      <c r="J80" s="980">
        <v>4.0850999999999997</v>
      </c>
      <c r="K80" s="981">
        <v>1.5129999999999999</v>
      </c>
      <c r="L80" s="981">
        <v>2</v>
      </c>
      <c r="M80" s="981">
        <v>1.5609999999999999</v>
      </c>
      <c r="N80" s="981">
        <v>0.92339999999999989</v>
      </c>
      <c r="O80" s="981">
        <v>1.5389999999999999</v>
      </c>
      <c r="P80" s="981">
        <v>3.6385999999999998</v>
      </c>
      <c r="Q80" s="981">
        <v>1.5820000000000001</v>
      </c>
      <c r="R80" s="981">
        <v>0</v>
      </c>
      <c r="S80" s="981">
        <v>1.5780000000000001</v>
      </c>
    </row>
    <row r="81" spans="1:19" s="950" customFormat="1" ht="12.75">
      <c r="A81" s="970" t="s">
        <v>203</v>
      </c>
      <c r="B81" s="971" t="s">
        <v>286</v>
      </c>
      <c r="C81" s="972" t="s">
        <v>273</v>
      </c>
      <c r="D81" s="973">
        <f t="shared" si="10"/>
        <v>2.1</v>
      </c>
      <c r="E81" s="973">
        <f t="shared" si="11"/>
        <v>1.6790123456790123</v>
      </c>
      <c r="F81" s="973">
        <f t="shared" si="12"/>
        <v>2.5</v>
      </c>
      <c r="G81" s="973">
        <f t="shared" si="13"/>
        <v>2.2000000000000002</v>
      </c>
      <c r="H81" s="973">
        <f t="shared" si="14"/>
        <v>3.5999999999999996</v>
      </c>
      <c r="I81" s="973"/>
      <c r="J81" s="980">
        <v>41.619900000000001</v>
      </c>
      <c r="K81" s="981">
        <v>19.818999999999999</v>
      </c>
      <c r="L81" s="981">
        <v>34</v>
      </c>
      <c r="M81" s="981">
        <v>20.25</v>
      </c>
      <c r="N81" s="981">
        <v>51.627499999999998</v>
      </c>
      <c r="O81" s="981">
        <v>20.651</v>
      </c>
      <c r="P81" s="981">
        <v>46.096600000000002</v>
      </c>
      <c r="Q81" s="981">
        <v>20.952999999999999</v>
      </c>
      <c r="R81" s="981">
        <v>75.387599999999992</v>
      </c>
      <c r="S81" s="981">
        <v>20.940999999999999</v>
      </c>
    </row>
    <row r="82" spans="1:19" s="950" customFormat="1" ht="12.75">
      <c r="A82" s="970" t="s">
        <v>205</v>
      </c>
      <c r="B82" s="971" t="s">
        <v>287</v>
      </c>
      <c r="C82" s="972" t="s">
        <v>273</v>
      </c>
      <c r="D82" s="973">
        <f t="shared" si="10"/>
        <v>0</v>
      </c>
      <c r="E82" s="973">
        <f t="shared" si="11"/>
        <v>0</v>
      </c>
      <c r="F82" s="973">
        <f t="shared" si="12"/>
        <v>2</v>
      </c>
      <c r="G82" s="973">
        <f t="shared" si="13"/>
        <v>2</v>
      </c>
      <c r="H82" s="973">
        <f t="shared" si="14"/>
        <v>2.2000000000000002</v>
      </c>
      <c r="I82" s="973"/>
      <c r="J82" s="980">
        <v>0</v>
      </c>
      <c r="K82" s="981">
        <v>4.4020000000000001</v>
      </c>
      <c r="L82" s="981">
        <v>0</v>
      </c>
      <c r="M82" s="981">
        <v>4.4489999999999998</v>
      </c>
      <c r="N82" s="981">
        <v>8.99</v>
      </c>
      <c r="O82" s="981">
        <v>4.4950000000000001</v>
      </c>
      <c r="P82" s="981">
        <v>8.9380000000000006</v>
      </c>
      <c r="Q82" s="981">
        <v>4.4690000000000003</v>
      </c>
      <c r="R82" s="981">
        <v>9.9550000000000018</v>
      </c>
      <c r="S82" s="981">
        <v>4.5250000000000004</v>
      </c>
    </row>
    <row r="83" spans="1:19" s="950" customFormat="1" ht="12.75">
      <c r="A83" s="970" t="s">
        <v>207</v>
      </c>
      <c r="B83" s="971" t="s">
        <v>288</v>
      </c>
      <c r="C83" s="972" t="s">
        <v>276</v>
      </c>
      <c r="D83" s="973">
        <f t="shared" si="10"/>
        <v>3.4</v>
      </c>
      <c r="E83" s="973">
        <f t="shared" si="11"/>
        <v>4.3628974420272533</v>
      </c>
      <c r="F83" s="973">
        <f t="shared" si="12"/>
        <v>7.6999999999999993</v>
      </c>
      <c r="G83" s="973">
        <f t="shared" si="13"/>
        <v>7</v>
      </c>
      <c r="H83" s="973">
        <f t="shared" si="14"/>
        <v>6.5</v>
      </c>
      <c r="I83" s="973"/>
      <c r="J83" s="980">
        <v>57.517800000000001</v>
      </c>
      <c r="K83" s="981">
        <v>16.917000000000002</v>
      </c>
      <c r="L83" s="981">
        <v>73</v>
      </c>
      <c r="M83" s="981">
        <v>16.731999999999999</v>
      </c>
      <c r="N83" s="981">
        <v>132.00879999999998</v>
      </c>
      <c r="O83" s="981">
        <v>17.143999999999998</v>
      </c>
      <c r="P83" s="981">
        <v>120.61</v>
      </c>
      <c r="Q83" s="981">
        <v>17.23</v>
      </c>
      <c r="R83" s="981">
        <v>113.1065</v>
      </c>
      <c r="S83" s="981">
        <v>17.401</v>
      </c>
    </row>
    <row r="84" spans="1:19" s="950" customFormat="1" ht="12.75">
      <c r="A84" s="970" t="s">
        <v>209</v>
      </c>
      <c r="B84" s="971" t="s">
        <v>210</v>
      </c>
      <c r="C84" s="972" t="s">
        <v>278</v>
      </c>
      <c r="D84" s="973">
        <f t="shared" si="10"/>
        <v>2.6999999999999997</v>
      </c>
      <c r="E84" s="973">
        <f t="shared" si="11"/>
        <v>2.1637816245006656</v>
      </c>
      <c r="F84" s="973">
        <f t="shared" si="12"/>
        <v>6.9</v>
      </c>
      <c r="G84" s="973">
        <f t="shared" si="13"/>
        <v>7.6</v>
      </c>
      <c r="H84" s="973">
        <f t="shared" si="14"/>
        <v>11.6</v>
      </c>
      <c r="I84" s="973"/>
      <c r="J84" s="980">
        <v>16.4754</v>
      </c>
      <c r="K84" s="981">
        <v>6.1020000000000003</v>
      </c>
      <c r="L84" s="981">
        <v>13</v>
      </c>
      <c r="M84" s="981">
        <v>6.008</v>
      </c>
      <c r="N84" s="981">
        <v>41.041200000000003</v>
      </c>
      <c r="O84" s="981">
        <v>5.9480000000000004</v>
      </c>
      <c r="P84" s="981">
        <v>44.756399999999999</v>
      </c>
      <c r="Q84" s="981">
        <v>5.8890000000000002</v>
      </c>
      <c r="R84" s="981">
        <v>68.637199999999993</v>
      </c>
      <c r="S84" s="981">
        <v>5.9169999999999998</v>
      </c>
    </row>
    <row r="85" spans="1:19" s="950" customFormat="1" ht="12.75">
      <c r="A85" s="970" t="s">
        <v>211</v>
      </c>
      <c r="B85" s="971" t="s">
        <v>212</v>
      </c>
      <c r="C85" s="972" t="s">
        <v>278</v>
      </c>
      <c r="D85" s="973">
        <f t="shared" si="10"/>
        <v>5.7</v>
      </c>
      <c r="E85" s="973">
        <f t="shared" si="11"/>
        <v>6.8072024593763718</v>
      </c>
      <c r="F85" s="973">
        <f t="shared" si="12"/>
        <v>8.4</v>
      </c>
      <c r="G85" s="973">
        <f t="shared" si="13"/>
        <v>15.7</v>
      </c>
      <c r="H85" s="973">
        <f t="shared" si="14"/>
        <v>13.8</v>
      </c>
      <c r="I85" s="973"/>
      <c r="J85" s="980">
        <v>26.020500000000002</v>
      </c>
      <c r="K85" s="981">
        <v>4.5650000000000004</v>
      </c>
      <c r="L85" s="981">
        <v>31</v>
      </c>
      <c r="M85" s="981">
        <v>4.5540000000000003</v>
      </c>
      <c r="N85" s="981">
        <v>37.791599999999995</v>
      </c>
      <c r="O85" s="981">
        <v>4.4989999999999997</v>
      </c>
      <c r="P85" s="981">
        <v>70.838399999999993</v>
      </c>
      <c r="Q85" s="981">
        <v>4.5119999999999996</v>
      </c>
      <c r="R85" s="981">
        <v>61.893000000000008</v>
      </c>
      <c r="S85" s="981">
        <v>4.4850000000000003</v>
      </c>
    </row>
    <row r="86" spans="1:19" s="950" customFormat="1" ht="12.75">
      <c r="A86" s="970" t="s">
        <v>213</v>
      </c>
      <c r="B86" s="971" t="s">
        <v>214</v>
      </c>
      <c r="C86" s="972" t="s">
        <v>276</v>
      </c>
      <c r="D86" s="973">
        <f t="shared" si="10"/>
        <v>2.4</v>
      </c>
      <c r="E86" s="973">
        <f t="shared" si="11"/>
        <v>3.6621382161842884</v>
      </c>
      <c r="F86" s="973">
        <f t="shared" si="12"/>
        <v>1.6</v>
      </c>
      <c r="G86" s="973">
        <f t="shared" si="13"/>
        <v>1.2</v>
      </c>
      <c r="H86" s="973">
        <f t="shared" si="14"/>
        <v>2</v>
      </c>
      <c r="I86" s="973"/>
      <c r="J86" s="980">
        <v>19.7088</v>
      </c>
      <c r="K86" s="981">
        <v>8.2119999999999997</v>
      </c>
      <c r="L86" s="981">
        <v>31</v>
      </c>
      <c r="M86" s="981">
        <v>8.4649999999999999</v>
      </c>
      <c r="N86" s="981">
        <v>13.945599999999999</v>
      </c>
      <c r="O86" s="981">
        <v>8.7159999999999993</v>
      </c>
      <c r="P86" s="981">
        <v>10.697999999999999</v>
      </c>
      <c r="Q86" s="981">
        <v>8.9149999999999991</v>
      </c>
      <c r="R86" s="981">
        <v>18.059999999999999</v>
      </c>
      <c r="S86" s="981">
        <v>9.0299999999999994</v>
      </c>
    </row>
    <row r="87" spans="1:19" s="950" customFormat="1" ht="12.75">
      <c r="A87" s="970" t="s">
        <v>215</v>
      </c>
      <c r="B87" s="971" t="s">
        <v>216</v>
      </c>
      <c r="C87" s="972" t="s">
        <v>278</v>
      </c>
      <c r="D87" s="973">
        <f t="shared" si="10"/>
        <v>11.8</v>
      </c>
      <c r="E87" s="973">
        <f t="shared" si="11"/>
        <v>13.113798630336587</v>
      </c>
      <c r="F87" s="973">
        <f t="shared" si="12"/>
        <v>10.6</v>
      </c>
      <c r="G87" s="973">
        <f t="shared" si="13"/>
        <v>11.2</v>
      </c>
      <c r="H87" s="973">
        <f t="shared" si="14"/>
        <v>13.3</v>
      </c>
      <c r="I87" s="973"/>
      <c r="J87" s="980">
        <v>81.726800000000011</v>
      </c>
      <c r="K87" s="981">
        <v>6.9260000000000002</v>
      </c>
      <c r="L87" s="981">
        <v>90</v>
      </c>
      <c r="M87" s="981">
        <v>6.8630000000000004</v>
      </c>
      <c r="N87" s="981">
        <v>72.101199999999992</v>
      </c>
      <c r="O87" s="981">
        <v>6.8019999999999996</v>
      </c>
      <c r="P87" s="981">
        <v>76.742400000000004</v>
      </c>
      <c r="Q87" s="981">
        <v>6.8520000000000003</v>
      </c>
      <c r="R87" s="981">
        <v>89.987800000000007</v>
      </c>
      <c r="S87" s="981">
        <v>6.766</v>
      </c>
    </row>
    <row r="88" spans="1:19" s="950" customFormat="1" ht="12.75">
      <c r="A88" s="970" t="s">
        <v>217</v>
      </c>
      <c r="B88" s="971" t="s">
        <v>218</v>
      </c>
      <c r="C88" s="972" t="s">
        <v>272</v>
      </c>
      <c r="D88" s="973">
        <f t="shared" si="10"/>
        <v>3.1</v>
      </c>
      <c r="E88" s="973">
        <f t="shared" si="11"/>
        <v>3.0911901081916535</v>
      </c>
      <c r="F88" s="973">
        <f t="shared" si="12"/>
        <v>0.8</v>
      </c>
      <c r="G88" s="973">
        <f t="shared" si="13"/>
        <v>1.8</v>
      </c>
      <c r="H88" s="973">
        <f t="shared" si="14"/>
        <v>1</v>
      </c>
      <c r="I88" s="973"/>
      <c r="J88" s="980">
        <v>11.931900000000001</v>
      </c>
      <c r="K88" s="981">
        <v>3.8490000000000002</v>
      </c>
      <c r="L88" s="981">
        <v>12</v>
      </c>
      <c r="M88" s="981">
        <v>3.8820000000000001</v>
      </c>
      <c r="N88" s="981">
        <v>3.0712000000000002</v>
      </c>
      <c r="O88" s="981">
        <v>3.839</v>
      </c>
      <c r="P88" s="981">
        <v>6.8975999999999997</v>
      </c>
      <c r="Q88" s="981">
        <v>3.8319999999999999</v>
      </c>
      <c r="R88" s="981">
        <v>3.77</v>
      </c>
      <c r="S88" s="981">
        <v>3.77</v>
      </c>
    </row>
    <row r="89" spans="1:19" s="950" customFormat="1" ht="12.75">
      <c r="A89" s="970" t="s">
        <v>219</v>
      </c>
      <c r="B89" s="971" t="s">
        <v>220</v>
      </c>
      <c r="C89" s="972" t="s">
        <v>276</v>
      </c>
      <c r="D89" s="973">
        <f t="shared" si="10"/>
        <v>1</v>
      </c>
      <c r="E89" s="973">
        <f t="shared" si="11"/>
        <v>1.2913937828613595</v>
      </c>
      <c r="F89" s="973">
        <f t="shared" si="12"/>
        <v>1.1000000000000001</v>
      </c>
      <c r="G89" s="973">
        <f t="shared" si="13"/>
        <v>2.2000000000000002</v>
      </c>
      <c r="H89" s="973">
        <f t="shared" si="14"/>
        <v>3.9</v>
      </c>
      <c r="I89" s="973"/>
      <c r="J89" s="980">
        <v>31.736999999999998</v>
      </c>
      <c r="K89" s="981">
        <v>31.736999999999998</v>
      </c>
      <c r="L89" s="981">
        <v>42</v>
      </c>
      <c r="M89" s="981">
        <v>32.523000000000003</v>
      </c>
      <c r="N89" s="981">
        <v>37.235000000000007</v>
      </c>
      <c r="O89" s="981">
        <v>33.85</v>
      </c>
      <c r="P89" s="981">
        <v>75.834000000000003</v>
      </c>
      <c r="Q89" s="981">
        <v>34.47</v>
      </c>
      <c r="R89" s="981">
        <v>133.97279999999998</v>
      </c>
      <c r="S89" s="981">
        <v>34.351999999999997</v>
      </c>
    </row>
    <row r="90" spans="1:19" s="950" customFormat="1" ht="12.75">
      <c r="A90" s="970" t="s">
        <v>221</v>
      </c>
      <c r="B90" s="971" t="s">
        <v>222</v>
      </c>
      <c r="C90" s="972" t="s">
        <v>276</v>
      </c>
      <c r="D90" s="973">
        <f t="shared" si="10"/>
        <v>2.5</v>
      </c>
      <c r="E90" s="973">
        <f t="shared" si="11"/>
        <v>2.4204897269912751</v>
      </c>
      <c r="F90" s="973">
        <f t="shared" si="12"/>
        <v>2.9</v>
      </c>
      <c r="G90" s="973">
        <f t="shared" si="13"/>
        <v>2.8</v>
      </c>
      <c r="H90" s="973">
        <f t="shared" si="14"/>
        <v>3.1</v>
      </c>
      <c r="I90" s="973"/>
      <c r="J90" s="980">
        <v>85.94</v>
      </c>
      <c r="K90" s="981">
        <v>34.375999999999998</v>
      </c>
      <c r="L90" s="981">
        <v>86</v>
      </c>
      <c r="M90" s="981">
        <v>35.53</v>
      </c>
      <c r="N90" s="981">
        <v>104.77409999999999</v>
      </c>
      <c r="O90" s="981">
        <v>36.128999999999998</v>
      </c>
      <c r="P90" s="981">
        <v>101.79399999999998</v>
      </c>
      <c r="Q90" s="981">
        <v>36.354999999999997</v>
      </c>
      <c r="R90" s="981">
        <v>113.8599</v>
      </c>
      <c r="S90" s="981">
        <v>36.728999999999999</v>
      </c>
    </row>
    <row r="91" spans="1:19" s="950" customFormat="1" ht="12.75">
      <c r="A91" s="970" t="s">
        <v>225</v>
      </c>
      <c r="B91" s="971" t="s">
        <v>226</v>
      </c>
      <c r="C91" s="972" t="s">
        <v>272</v>
      </c>
      <c r="D91" s="973">
        <f t="shared" si="10"/>
        <v>0.6</v>
      </c>
      <c r="E91" s="973">
        <f t="shared" si="11"/>
        <v>0</v>
      </c>
      <c r="F91" s="973">
        <f t="shared" si="12"/>
        <v>3.2</v>
      </c>
      <c r="G91" s="973">
        <f t="shared" si="13"/>
        <v>0.7</v>
      </c>
      <c r="H91" s="973">
        <f t="shared" si="14"/>
        <v>3.1</v>
      </c>
      <c r="I91" s="973"/>
      <c r="J91" s="980">
        <v>1.0098</v>
      </c>
      <c r="K91" s="981">
        <v>1.6830000000000001</v>
      </c>
      <c r="L91" s="981">
        <v>0</v>
      </c>
      <c r="M91" s="981">
        <v>1.607</v>
      </c>
      <c r="N91" s="981">
        <v>4.9088000000000003</v>
      </c>
      <c r="O91" s="981">
        <v>1.534</v>
      </c>
      <c r="P91" s="981">
        <v>1.0479000000000001</v>
      </c>
      <c r="Q91" s="981">
        <v>1.4970000000000001</v>
      </c>
      <c r="R91" s="981">
        <v>4.5384000000000002</v>
      </c>
      <c r="S91" s="981">
        <v>1.464</v>
      </c>
    </row>
    <row r="92" spans="1:19" s="950" customFormat="1" ht="12.75">
      <c r="A92" s="970" t="s">
        <v>227</v>
      </c>
      <c r="B92" s="971" t="s">
        <v>228</v>
      </c>
      <c r="C92" s="972" t="s">
        <v>272</v>
      </c>
      <c r="D92" s="973">
        <f t="shared" si="10"/>
        <v>8.3000000000000007</v>
      </c>
      <c r="E92" s="973">
        <f t="shared" si="11"/>
        <v>2.3353573096683791</v>
      </c>
      <c r="F92" s="973">
        <f t="shared" si="12"/>
        <v>8.6999999999999993</v>
      </c>
      <c r="G92" s="973">
        <f t="shared" si="13"/>
        <v>6</v>
      </c>
      <c r="H92" s="973">
        <f t="shared" si="14"/>
        <v>3</v>
      </c>
      <c r="I92" s="973"/>
      <c r="J92" s="980">
        <v>18.035900000000002</v>
      </c>
      <c r="K92" s="981">
        <v>2.173</v>
      </c>
      <c r="L92" s="981">
        <v>5</v>
      </c>
      <c r="M92" s="981">
        <v>2.141</v>
      </c>
      <c r="N92" s="981">
        <v>18.348299999999998</v>
      </c>
      <c r="O92" s="981">
        <v>2.109</v>
      </c>
      <c r="P92" s="981">
        <v>13.049999999999999</v>
      </c>
      <c r="Q92" s="981">
        <v>2.1749999999999998</v>
      </c>
      <c r="R92" s="981">
        <v>6.4499999999999993</v>
      </c>
      <c r="S92" s="981">
        <v>2.15</v>
      </c>
    </row>
    <row r="93" spans="1:19" s="950" customFormat="1" ht="12.75">
      <c r="A93" s="970" t="s">
        <v>229</v>
      </c>
      <c r="B93" s="971" t="s">
        <v>230</v>
      </c>
      <c r="C93" s="972" t="s">
        <v>278</v>
      </c>
      <c r="D93" s="973">
        <f t="shared" si="10"/>
        <v>9.1999999999999993</v>
      </c>
      <c r="E93" s="973">
        <f t="shared" si="11"/>
        <v>10.726795096322242</v>
      </c>
      <c r="F93" s="973">
        <f t="shared" si="12"/>
        <v>6.9</v>
      </c>
      <c r="G93" s="973">
        <f t="shared" si="13"/>
        <v>6.7</v>
      </c>
      <c r="H93" s="973">
        <f t="shared" si="14"/>
        <v>4.4000000000000004</v>
      </c>
      <c r="I93" s="973"/>
      <c r="J93" s="980">
        <v>84.087999999999994</v>
      </c>
      <c r="K93" s="981">
        <v>9.14</v>
      </c>
      <c r="L93" s="981">
        <v>98</v>
      </c>
      <c r="M93" s="981">
        <v>9.1359999999999992</v>
      </c>
      <c r="N93" s="981">
        <v>63.128099999999996</v>
      </c>
      <c r="O93" s="981">
        <v>9.1489999999999991</v>
      </c>
      <c r="P93" s="981">
        <v>62.196100000000001</v>
      </c>
      <c r="Q93" s="981">
        <v>9.2829999999999995</v>
      </c>
      <c r="R93" s="981">
        <v>40.735199999999999</v>
      </c>
      <c r="S93" s="981">
        <v>9.2579999999999991</v>
      </c>
    </row>
    <row r="94" spans="1:19" s="950" customFormat="1" ht="12.75">
      <c r="A94" s="970" t="s">
        <v>233</v>
      </c>
      <c r="B94" s="971" t="s">
        <v>234</v>
      </c>
      <c r="C94" s="972" t="s">
        <v>276</v>
      </c>
      <c r="D94" s="973">
        <f t="shared" si="10"/>
        <v>2.6</v>
      </c>
      <c r="E94" s="973">
        <f t="shared" si="11"/>
        <v>4.3673276676109536</v>
      </c>
      <c r="F94" s="973">
        <f t="shared" si="12"/>
        <v>3.3</v>
      </c>
      <c r="G94" s="973">
        <f t="shared" si="13"/>
        <v>2.7</v>
      </c>
      <c r="H94" s="973">
        <f t="shared" si="14"/>
        <v>3.4</v>
      </c>
      <c r="I94" s="973"/>
      <c r="J94" s="980">
        <v>21.943999999999999</v>
      </c>
      <c r="K94" s="981">
        <v>8.44</v>
      </c>
      <c r="L94" s="981">
        <v>37</v>
      </c>
      <c r="M94" s="981">
        <v>8.4719999999999995</v>
      </c>
      <c r="N94" s="981">
        <v>28.314</v>
      </c>
      <c r="O94" s="981">
        <v>8.58</v>
      </c>
      <c r="P94" s="981">
        <v>23.5656</v>
      </c>
      <c r="Q94" s="981">
        <v>8.7279999999999998</v>
      </c>
      <c r="R94" s="981">
        <v>29.729599999999998</v>
      </c>
      <c r="S94" s="981">
        <v>8.7439999999999998</v>
      </c>
    </row>
    <row r="95" spans="1:19" s="950" customFormat="1" ht="12.75">
      <c r="A95" s="970" t="s">
        <v>235</v>
      </c>
      <c r="B95" s="971" t="s">
        <v>236</v>
      </c>
      <c r="C95" s="972" t="s">
        <v>278</v>
      </c>
      <c r="D95" s="973">
        <f t="shared" si="10"/>
        <v>3.3</v>
      </c>
      <c r="E95" s="973">
        <f t="shared" si="11"/>
        <v>3.6478832677354327</v>
      </c>
      <c r="F95" s="973">
        <f t="shared" si="12"/>
        <v>3</v>
      </c>
      <c r="G95" s="973">
        <f t="shared" si="13"/>
        <v>4.5</v>
      </c>
      <c r="H95" s="973">
        <f t="shared" si="14"/>
        <v>6.4999999999999991</v>
      </c>
      <c r="I95" s="973"/>
      <c r="J95" s="980">
        <v>34.220999999999997</v>
      </c>
      <c r="K95" s="981">
        <v>10.37</v>
      </c>
      <c r="L95" s="981">
        <v>38</v>
      </c>
      <c r="M95" s="981">
        <v>10.417</v>
      </c>
      <c r="N95" s="981">
        <v>31.056000000000001</v>
      </c>
      <c r="O95" s="981">
        <v>10.352</v>
      </c>
      <c r="P95" s="981">
        <v>46.403999999999996</v>
      </c>
      <c r="Q95" s="981">
        <v>10.311999999999999</v>
      </c>
      <c r="R95" s="981">
        <v>68.269499999999994</v>
      </c>
      <c r="S95" s="981">
        <v>10.503</v>
      </c>
    </row>
    <row r="96" spans="1:19" s="950" customFormat="1" ht="12.75">
      <c r="A96" s="970" t="s">
        <v>237</v>
      </c>
      <c r="B96" s="971" t="s">
        <v>238</v>
      </c>
      <c r="C96" s="972" t="s">
        <v>275</v>
      </c>
      <c r="D96" s="973">
        <f t="shared" si="10"/>
        <v>4.2</v>
      </c>
      <c r="E96" s="973">
        <f t="shared" si="11"/>
        <v>3.0649205906937866</v>
      </c>
      <c r="F96" s="973">
        <f t="shared" si="12"/>
        <v>4.4000000000000004</v>
      </c>
      <c r="G96" s="973">
        <f t="shared" si="13"/>
        <v>1.4000000000000001</v>
      </c>
      <c r="H96" s="973">
        <f t="shared" si="14"/>
        <v>1.2999999999999998</v>
      </c>
      <c r="I96" s="973"/>
      <c r="J96" s="980">
        <v>15.5358</v>
      </c>
      <c r="K96" s="981">
        <v>3.6989999999999998</v>
      </c>
      <c r="L96" s="981">
        <v>11</v>
      </c>
      <c r="M96" s="981">
        <v>3.589</v>
      </c>
      <c r="N96" s="981">
        <v>15.584800000000001</v>
      </c>
      <c r="O96" s="981">
        <v>3.5419999999999998</v>
      </c>
      <c r="P96" s="981">
        <v>4.9798</v>
      </c>
      <c r="Q96" s="981">
        <v>3.5569999999999999</v>
      </c>
      <c r="R96" s="981">
        <v>4.6227999999999998</v>
      </c>
      <c r="S96" s="981">
        <v>3.556</v>
      </c>
    </row>
    <row r="97" spans="1:19" s="950" customFormat="1" ht="12.75">
      <c r="A97" s="970" t="s">
        <v>243</v>
      </c>
      <c r="B97" s="971" t="s">
        <v>244</v>
      </c>
      <c r="C97" s="972" t="s">
        <v>278</v>
      </c>
      <c r="D97" s="973">
        <f t="shared" si="10"/>
        <v>6.9</v>
      </c>
      <c r="E97" s="973">
        <f t="shared" si="11"/>
        <v>6.3573499888467548</v>
      </c>
      <c r="F97" s="973">
        <f t="shared" si="12"/>
        <v>9.8000000000000007</v>
      </c>
      <c r="G97" s="973">
        <f t="shared" si="13"/>
        <v>15.9</v>
      </c>
      <c r="H97" s="973">
        <f t="shared" si="14"/>
        <v>15.800000000000002</v>
      </c>
      <c r="I97" s="973"/>
      <c r="J97" s="980">
        <v>61.58250000000001</v>
      </c>
      <c r="K97" s="981">
        <v>8.9250000000000007</v>
      </c>
      <c r="L97" s="981">
        <v>57</v>
      </c>
      <c r="M97" s="981">
        <v>8.9659999999999993</v>
      </c>
      <c r="N97" s="981">
        <v>88.150999999999996</v>
      </c>
      <c r="O97" s="981">
        <v>8.9949999999999992</v>
      </c>
      <c r="P97" s="981">
        <v>142.75020000000001</v>
      </c>
      <c r="Q97" s="981">
        <v>8.9779999999999998</v>
      </c>
      <c r="R97" s="981">
        <v>141.04660000000001</v>
      </c>
      <c r="S97" s="981">
        <v>8.9269999999999996</v>
      </c>
    </row>
    <row r="98" spans="1:19" s="950" customFormat="1" ht="12.75">
      <c r="A98" s="970" t="s">
        <v>245</v>
      </c>
      <c r="B98" s="971" t="s">
        <v>246</v>
      </c>
      <c r="C98" s="972" t="s">
        <v>278</v>
      </c>
      <c r="D98" s="973">
        <f t="shared" si="10"/>
        <v>6.8</v>
      </c>
      <c r="E98" s="973">
        <f t="shared" si="11"/>
        <v>10.393593457147725</v>
      </c>
      <c r="F98" s="973">
        <f t="shared" si="12"/>
        <v>17.100000000000001</v>
      </c>
      <c r="G98" s="973">
        <f t="shared" si="13"/>
        <v>7.9</v>
      </c>
      <c r="H98" s="973">
        <f t="shared" si="14"/>
        <v>9.3000000000000007</v>
      </c>
      <c r="I98" s="973"/>
      <c r="J98" s="980">
        <v>40.296799999999998</v>
      </c>
      <c r="K98" s="981">
        <v>5.9260000000000002</v>
      </c>
      <c r="L98" s="981">
        <v>61</v>
      </c>
      <c r="M98" s="981">
        <v>5.8689999999999998</v>
      </c>
      <c r="N98" s="981">
        <v>101.93310000000001</v>
      </c>
      <c r="O98" s="981">
        <v>5.9610000000000003</v>
      </c>
      <c r="P98" s="981">
        <v>47.194600000000001</v>
      </c>
      <c r="Q98" s="981">
        <v>5.9740000000000002</v>
      </c>
      <c r="R98" s="981">
        <v>56.153400000000005</v>
      </c>
      <c r="S98" s="981">
        <v>6.0380000000000003</v>
      </c>
    </row>
    <row r="99" spans="1:19" s="950" customFormat="1" ht="12.75">
      <c r="A99" s="970" t="s">
        <v>247</v>
      </c>
      <c r="B99" s="971" t="s">
        <v>289</v>
      </c>
      <c r="C99" s="972" t="s">
        <v>272</v>
      </c>
      <c r="D99" s="973">
        <f t="shared" si="10"/>
        <v>2.7</v>
      </c>
      <c r="E99" s="973">
        <f t="shared" si="11"/>
        <v>2.4031240612796636</v>
      </c>
      <c r="F99" s="973">
        <f t="shared" si="12"/>
        <v>2.5</v>
      </c>
      <c r="G99" s="973">
        <f t="shared" si="13"/>
        <v>3.7</v>
      </c>
      <c r="H99" s="973">
        <f t="shared" si="14"/>
        <v>2.4</v>
      </c>
      <c r="I99" s="973"/>
      <c r="J99" s="980">
        <v>45.419400000000003</v>
      </c>
      <c r="K99" s="981">
        <v>16.821999999999999</v>
      </c>
      <c r="L99" s="981">
        <v>40</v>
      </c>
      <c r="M99" s="981">
        <v>16.645</v>
      </c>
      <c r="N99" s="981">
        <v>41.215000000000003</v>
      </c>
      <c r="O99" s="981">
        <v>16.486000000000001</v>
      </c>
      <c r="P99" s="981">
        <v>59.958499999999994</v>
      </c>
      <c r="Q99" s="981">
        <v>16.204999999999998</v>
      </c>
      <c r="R99" s="981">
        <v>38.2104</v>
      </c>
      <c r="S99" s="981">
        <v>15.920999999999999</v>
      </c>
    </row>
    <row r="100" spans="1:19" s="950" customFormat="1" ht="12.75">
      <c r="A100" s="970" t="s">
        <v>14</v>
      </c>
      <c r="B100" s="971" t="s">
        <v>15</v>
      </c>
      <c r="C100" s="972" t="s">
        <v>276</v>
      </c>
      <c r="D100" s="973">
        <f t="shared" si="10"/>
        <v>4</v>
      </c>
      <c r="E100" s="973">
        <f t="shared" si="11"/>
        <v>5.8282605880067351</v>
      </c>
      <c r="F100" s="973">
        <f t="shared" si="12"/>
        <v>3.7</v>
      </c>
      <c r="G100" s="973">
        <f t="shared" si="13"/>
        <v>1.9</v>
      </c>
      <c r="H100" s="973">
        <f t="shared" si="14"/>
        <v>2.7</v>
      </c>
      <c r="I100" s="973"/>
      <c r="J100" s="980">
        <v>91.132000000000005</v>
      </c>
      <c r="K100" s="981">
        <v>22.783000000000001</v>
      </c>
      <c r="L100" s="981">
        <v>135</v>
      </c>
      <c r="M100" s="981">
        <v>23.163</v>
      </c>
      <c r="N100" s="981">
        <v>87.209000000000003</v>
      </c>
      <c r="O100" s="981">
        <v>23.57</v>
      </c>
      <c r="P100" s="981">
        <v>45.377699999999997</v>
      </c>
      <c r="Q100" s="981">
        <v>23.882999999999999</v>
      </c>
      <c r="R100" s="981">
        <v>66.746700000000004</v>
      </c>
      <c r="S100" s="981">
        <v>24.721</v>
      </c>
    </row>
    <row r="101" spans="1:19" s="950" customFormat="1" ht="12.75">
      <c r="A101" s="970" t="s">
        <v>290</v>
      </c>
      <c r="B101" s="971" t="s">
        <v>291</v>
      </c>
      <c r="C101" s="972" t="s">
        <v>273</v>
      </c>
      <c r="D101" s="973">
        <f t="shared" ref="D101:D132" si="15">+J101/K101</f>
        <v>8.6</v>
      </c>
      <c r="E101" s="973">
        <f t="shared" ref="E101:E132" si="16">+L101/M101</f>
        <v>13.119533527696792</v>
      </c>
      <c r="F101" s="973">
        <f t="shared" ref="F101:F132" si="17">+N101/O101</f>
        <v>8.6</v>
      </c>
      <c r="G101" s="973">
        <f t="shared" ref="G101:G132" si="18">+P101/Q101</f>
        <v>2.9</v>
      </c>
      <c r="H101" s="973">
        <f t="shared" ref="H101:H132" si="19">+R101/S101</f>
        <v>2.2000000000000002</v>
      </c>
      <c r="I101" s="973"/>
      <c r="J101" s="980">
        <v>11.979799999999999</v>
      </c>
      <c r="K101" s="981">
        <v>1.393</v>
      </c>
      <c r="L101" s="981">
        <v>18</v>
      </c>
      <c r="M101" s="981">
        <v>1.3720000000000001</v>
      </c>
      <c r="N101" s="981">
        <v>11.343399999999999</v>
      </c>
      <c r="O101" s="981">
        <v>1.319</v>
      </c>
      <c r="P101" s="981">
        <v>3.7438999999999996</v>
      </c>
      <c r="Q101" s="981">
        <v>1.2909999999999999</v>
      </c>
      <c r="R101" s="981">
        <v>2.8468000000000004</v>
      </c>
      <c r="S101" s="981">
        <v>1.294</v>
      </c>
    </row>
    <row r="102" spans="1:19" s="950" customFormat="1" ht="12.75">
      <c r="A102" s="970" t="s">
        <v>35</v>
      </c>
      <c r="B102" s="971" t="s">
        <v>36</v>
      </c>
      <c r="C102" s="972" t="s">
        <v>278</v>
      </c>
      <c r="D102" s="973">
        <f t="shared" si="15"/>
        <v>14.4</v>
      </c>
      <c r="E102" s="973">
        <f t="shared" si="16"/>
        <v>9.9093997734994339</v>
      </c>
      <c r="F102" s="973">
        <f t="shared" si="17"/>
        <v>8.1</v>
      </c>
      <c r="G102" s="973">
        <f t="shared" si="18"/>
        <v>8.3000000000000007</v>
      </c>
      <c r="H102" s="973">
        <f t="shared" si="19"/>
        <v>3.3</v>
      </c>
      <c r="I102" s="973"/>
      <c r="J102" s="980">
        <v>50.543999999999997</v>
      </c>
      <c r="K102" s="981">
        <v>3.51</v>
      </c>
      <c r="L102" s="981">
        <v>35</v>
      </c>
      <c r="M102" s="981">
        <v>3.532</v>
      </c>
      <c r="N102" s="981">
        <v>28.196099999999998</v>
      </c>
      <c r="O102" s="981">
        <v>3.4809999999999999</v>
      </c>
      <c r="P102" s="981">
        <v>29.083200000000001</v>
      </c>
      <c r="Q102" s="981">
        <v>3.504</v>
      </c>
      <c r="R102" s="981">
        <v>11.516999999999999</v>
      </c>
      <c r="S102" s="981">
        <v>3.49</v>
      </c>
    </row>
    <row r="103" spans="1:19" s="950" customFormat="1" ht="12.75">
      <c r="A103" s="970" t="s">
        <v>292</v>
      </c>
      <c r="B103" s="971" t="s">
        <v>293</v>
      </c>
      <c r="C103" s="972" t="s">
        <v>273</v>
      </c>
      <c r="D103" s="973">
        <f t="shared" si="15"/>
        <v>1.4</v>
      </c>
      <c r="E103" s="973">
        <f t="shared" si="16"/>
        <v>0</v>
      </c>
      <c r="F103" s="973">
        <f t="shared" si="17"/>
        <v>4.3</v>
      </c>
      <c r="G103" s="973">
        <f t="shared" si="18"/>
        <v>0.7</v>
      </c>
      <c r="H103" s="973">
        <f t="shared" si="19"/>
        <v>0</v>
      </c>
      <c r="I103" s="973"/>
      <c r="J103" s="980">
        <v>1.9208000000000001</v>
      </c>
      <c r="K103" s="981">
        <v>1.3720000000000001</v>
      </c>
      <c r="L103" s="981">
        <v>0</v>
      </c>
      <c r="M103" s="981">
        <v>1.3360000000000001</v>
      </c>
      <c r="N103" s="981">
        <v>5.5770999999999997</v>
      </c>
      <c r="O103" s="981">
        <v>1.2969999999999999</v>
      </c>
      <c r="P103" s="981">
        <v>0.8798999999999999</v>
      </c>
      <c r="Q103" s="981">
        <v>1.2569999999999999</v>
      </c>
      <c r="R103" s="981">
        <v>0</v>
      </c>
      <c r="S103" s="981">
        <v>1.2050000000000001</v>
      </c>
    </row>
    <row r="104" spans="1:19" s="950" customFormat="1" ht="12.75">
      <c r="A104" s="970" t="s">
        <v>53</v>
      </c>
      <c r="B104" s="971" t="s">
        <v>54</v>
      </c>
      <c r="C104" s="972" t="s">
        <v>273</v>
      </c>
      <c r="D104" s="973">
        <f t="shared" si="15"/>
        <v>2.2000000000000002</v>
      </c>
      <c r="E104" s="973">
        <f t="shared" si="16"/>
        <v>5.1614806075800033</v>
      </c>
      <c r="F104" s="973">
        <f t="shared" si="17"/>
        <v>3.5</v>
      </c>
      <c r="G104" s="973">
        <f t="shared" si="18"/>
        <v>2.1</v>
      </c>
      <c r="H104" s="973">
        <f t="shared" si="19"/>
        <v>6.8</v>
      </c>
      <c r="I104" s="973"/>
      <c r="J104" s="980">
        <v>15.026000000000002</v>
      </c>
      <c r="K104" s="981">
        <v>6.83</v>
      </c>
      <c r="L104" s="981">
        <v>35</v>
      </c>
      <c r="M104" s="981">
        <v>6.7809999999999997</v>
      </c>
      <c r="N104" s="981">
        <v>23.6355</v>
      </c>
      <c r="O104" s="981">
        <v>6.7530000000000001</v>
      </c>
      <c r="P104" s="981">
        <v>14.175000000000001</v>
      </c>
      <c r="Q104" s="981">
        <v>6.75</v>
      </c>
      <c r="R104" s="981">
        <v>45.498799999999996</v>
      </c>
      <c r="S104" s="981">
        <v>6.6909999999999998</v>
      </c>
    </row>
    <row r="105" spans="1:19" s="950" customFormat="1" ht="12.75">
      <c r="A105" s="970" t="s">
        <v>55</v>
      </c>
      <c r="B105" s="971" t="s">
        <v>56</v>
      </c>
      <c r="C105" s="972" t="s">
        <v>272</v>
      </c>
      <c r="D105" s="973">
        <f t="shared" si="15"/>
        <v>4.8</v>
      </c>
      <c r="E105" s="973">
        <f t="shared" si="16"/>
        <v>3.5717280120734469</v>
      </c>
      <c r="F105" s="973">
        <f t="shared" si="17"/>
        <v>2.4</v>
      </c>
      <c r="G105" s="973">
        <f t="shared" si="18"/>
        <v>1.7</v>
      </c>
      <c r="H105" s="973">
        <f t="shared" si="19"/>
        <v>1.7</v>
      </c>
      <c r="I105" s="973"/>
      <c r="J105" s="980">
        <v>281.904</v>
      </c>
      <c r="K105" s="981">
        <v>58.73</v>
      </c>
      <c r="L105" s="981">
        <v>213</v>
      </c>
      <c r="M105" s="981">
        <v>59.634999999999998</v>
      </c>
      <c r="N105" s="981">
        <v>144.10559999999998</v>
      </c>
      <c r="O105" s="981">
        <v>60.043999999999997</v>
      </c>
      <c r="P105" s="981">
        <v>101.14489999999999</v>
      </c>
      <c r="Q105" s="981">
        <v>59.497</v>
      </c>
      <c r="R105" s="981">
        <v>99.392200000000003</v>
      </c>
      <c r="S105" s="981">
        <v>58.466000000000001</v>
      </c>
    </row>
    <row r="106" spans="1:19" s="950" customFormat="1" ht="12.75">
      <c r="A106" s="970" t="s">
        <v>294</v>
      </c>
      <c r="B106" s="971" t="s">
        <v>295</v>
      </c>
      <c r="C106" s="972" t="s">
        <v>275</v>
      </c>
      <c r="D106" s="973">
        <f t="shared" si="15"/>
        <v>0.5</v>
      </c>
      <c r="E106" s="973">
        <f t="shared" si="16"/>
        <v>0.74850299401197606</v>
      </c>
      <c r="F106" s="973">
        <f t="shared" si="17"/>
        <v>4</v>
      </c>
      <c r="G106" s="973">
        <f t="shared" si="18"/>
        <v>1.7</v>
      </c>
      <c r="H106" s="973">
        <f t="shared" si="19"/>
        <v>3</v>
      </c>
      <c r="I106" s="973"/>
      <c r="J106" s="980">
        <v>1.944</v>
      </c>
      <c r="K106" s="981">
        <v>3.8879999999999999</v>
      </c>
      <c r="L106" s="981">
        <v>3</v>
      </c>
      <c r="M106" s="981">
        <v>4.008</v>
      </c>
      <c r="N106" s="981">
        <v>16.143999999999998</v>
      </c>
      <c r="O106" s="981">
        <v>4.0359999999999996</v>
      </c>
      <c r="P106" s="981">
        <v>7.1212999999999997</v>
      </c>
      <c r="Q106" s="981">
        <v>4.1890000000000001</v>
      </c>
      <c r="R106" s="981">
        <v>12.297000000000001</v>
      </c>
      <c r="S106" s="981">
        <v>4.0990000000000002</v>
      </c>
    </row>
    <row r="107" spans="1:19" s="950" customFormat="1" ht="12.75">
      <c r="A107" s="970" t="s">
        <v>296</v>
      </c>
      <c r="B107" s="971" t="s">
        <v>349</v>
      </c>
      <c r="C107" s="972" t="s">
        <v>273</v>
      </c>
      <c r="D107" s="973">
        <f t="shared" si="15"/>
        <v>4.3</v>
      </c>
      <c r="E107" s="973">
        <f t="shared" si="16"/>
        <v>0.72358900144717808</v>
      </c>
      <c r="F107" s="973">
        <f t="shared" si="17"/>
        <v>6.9000000000000012</v>
      </c>
      <c r="G107" s="973">
        <f t="shared" si="18"/>
        <v>9.6</v>
      </c>
      <c r="H107" s="973">
        <f t="shared" si="19"/>
        <v>1.7000000000000002</v>
      </c>
      <c r="I107" s="973"/>
      <c r="J107" s="980">
        <v>5.9726999999999997</v>
      </c>
      <c r="K107" s="981">
        <v>1.389</v>
      </c>
      <c r="L107" s="981">
        <v>1</v>
      </c>
      <c r="M107" s="981">
        <v>1.3819999999999999</v>
      </c>
      <c r="N107" s="981">
        <v>9.0252000000000017</v>
      </c>
      <c r="O107" s="981">
        <v>1.3080000000000001</v>
      </c>
      <c r="P107" s="981">
        <v>12.2784</v>
      </c>
      <c r="Q107" s="981">
        <v>1.2789999999999999</v>
      </c>
      <c r="R107" s="981">
        <v>2.1436999999999999</v>
      </c>
      <c r="S107" s="981">
        <v>1.2609999999999999</v>
      </c>
    </row>
    <row r="108" spans="1:19" s="950" customFormat="1" ht="12.75">
      <c r="A108" s="970" t="s">
        <v>67</v>
      </c>
      <c r="B108" s="971" t="s">
        <v>68</v>
      </c>
      <c r="C108" s="972" t="s">
        <v>273</v>
      </c>
      <c r="D108" s="973">
        <f t="shared" si="15"/>
        <v>6.6</v>
      </c>
      <c r="E108" s="973">
        <f t="shared" si="16"/>
        <v>8.7914211187324884</v>
      </c>
      <c r="F108" s="973">
        <f t="shared" si="17"/>
        <v>7.4</v>
      </c>
      <c r="G108" s="973">
        <f t="shared" si="18"/>
        <v>3.8</v>
      </c>
      <c r="H108" s="973">
        <f t="shared" si="19"/>
        <v>3.2</v>
      </c>
      <c r="I108" s="973"/>
      <c r="J108" s="980">
        <v>69.959999999999994</v>
      </c>
      <c r="K108" s="981">
        <v>10.6</v>
      </c>
      <c r="L108" s="981">
        <v>91</v>
      </c>
      <c r="M108" s="981">
        <v>10.351000000000001</v>
      </c>
      <c r="N108" s="981">
        <v>75.006399999999999</v>
      </c>
      <c r="O108" s="981">
        <v>10.135999999999999</v>
      </c>
      <c r="P108" s="981">
        <v>37.646599999999999</v>
      </c>
      <c r="Q108" s="981">
        <v>9.907</v>
      </c>
      <c r="R108" s="981">
        <v>31.001600000000003</v>
      </c>
      <c r="S108" s="981">
        <v>9.6880000000000006</v>
      </c>
    </row>
    <row r="109" spans="1:19" s="950" customFormat="1" ht="12.75">
      <c r="A109" s="970" t="s">
        <v>297</v>
      </c>
      <c r="B109" s="971" t="s">
        <v>298</v>
      </c>
      <c r="C109" s="972" t="s">
        <v>272</v>
      </c>
      <c r="D109" s="973">
        <f t="shared" si="15"/>
        <v>0.70000000000000007</v>
      </c>
      <c r="E109" s="973">
        <f t="shared" si="16"/>
        <v>0</v>
      </c>
      <c r="F109" s="973">
        <f t="shared" si="17"/>
        <v>0</v>
      </c>
      <c r="G109" s="973">
        <f t="shared" si="18"/>
        <v>0</v>
      </c>
      <c r="H109" s="973">
        <f t="shared" si="19"/>
        <v>0</v>
      </c>
      <c r="I109" s="973"/>
      <c r="J109" s="980">
        <v>1.008</v>
      </c>
      <c r="K109" s="981">
        <v>1.44</v>
      </c>
      <c r="L109" s="981">
        <v>0</v>
      </c>
      <c r="M109" s="981">
        <v>1.41</v>
      </c>
      <c r="N109" s="981">
        <v>0</v>
      </c>
      <c r="O109" s="981">
        <v>1.3640000000000001</v>
      </c>
      <c r="P109" s="981">
        <v>0</v>
      </c>
      <c r="Q109" s="981">
        <v>1.3520000000000001</v>
      </c>
      <c r="R109" s="981">
        <v>0</v>
      </c>
      <c r="S109" s="981">
        <v>1.351</v>
      </c>
    </row>
    <row r="110" spans="1:19" s="950" customFormat="1" ht="12.75">
      <c r="A110" s="970" t="s">
        <v>299</v>
      </c>
      <c r="B110" s="971" t="s">
        <v>300</v>
      </c>
      <c r="C110" s="972" t="s">
        <v>276</v>
      </c>
      <c r="D110" s="973">
        <f t="shared" si="15"/>
        <v>0</v>
      </c>
      <c r="E110" s="973">
        <f t="shared" si="16"/>
        <v>0.44553352639786142</v>
      </c>
      <c r="F110" s="973">
        <f t="shared" si="17"/>
        <v>0</v>
      </c>
      <c r="G110" s="973">
        <f t="shared" si="18"/>
        <v>0</v>
      </c>
      <c r="H110" s="973">
        <f t="shared" si="19"/>
        <v>0</v>
      </c>
      <c r="I110" s="973"/>
      <c r="J110" s="980">
        <v>0</v>
      </c>
      <c r="K110" s="981">
        <v>4.51</v>
      </c>
      <c r="L110" s="981">
        <v>2</v>
      </c>
      <c r="M110" s="981">
        <v>4.4889999999999999</v>
      </c>
      <c r="N110" s="981">
        <v>0</v>
      </c>
      <c r="O110" s="981">
        <v>4.3940000000000001</v>
      </c>
      <c r="P110" s="981">
        <v>0</v>
      </c>
      <c r="Q110" s="981">
        <v>4.4930000000000003</v>
      </c>
      <c r="R110" s="981">
        <v>0</v>
      </c>
      <c r="S110" s="981">
        <v>4.6369999999999996</v>
      </c>
    </row>
    <row r="111" spans="1:19" s="950" customFormat="1" ht="15.75" customHeight="1">
      <c r="A111" s="970" t="s">
        <v>301</v>
      </c>
      <c r="B111" s="971" t="s">
        <v>302</v>
      </c>
      <c r="C111" s="972" t="s">
        <v>276</v>
      </c>
      <c r="D111" s="973">
        <f t="shared" si="15"/>
        <v>0.9</v>
      </c>
      <c r="E111" s="973">
        <f t="shared" si="16"/>
        <v>0.39777247414478922</v>
      </c>
      <c r="F111" s="973">
        <f t="shared" si="17"/>
        <v>1.2</v>
      </c>
      <c r="G111" s="973">
        <f t="shared" si="18"/>
        <v>0</v>
      </c>
      <c r="H111" s="973">
        <f t="shared" si="19"/>
        <v>0</v>
      </c>
      <c r="I111" s="973"/>
      <c r="J111" s="980">
        <v>2.2824</v>
      </c>
      <c r="K111" s="981">
        <v>2.536</v>
      </c>
      <c r="L111" s="981">
        <v>1</v>
      </c>
      <c r="M111" s="981">
        <v>2.5139999999999998</v>
      </c>
      <c r="N111" s="981">
        <v>3.0516000000000001</v>
      </c>
      <c r="O111" s="981">
        <v>2.5430000000000001</v>
      </c>
      <c r="P111" s="981">
        <v>0</v>
      </c>
      <c r="Q111" s="981">
        <v>2.5569999999999999</v>
      </c>
      <c r="R111" s="981">
        <v>0</v>
      </c>
      <c r="S111" s="981">
        <v>2.5470000000000002</v>
      </c>
    </row>
    <row r="112" spans="1:19" s="950" customFormat="1" ht="12.75">
      <c r="A112" s="970" t="s">
        <v>83</v>
      </c>
      <c r="B112" s="971" t="s">
        <v>84</v>
      </c>
      <c r="C112" s="972" t="s">
        <v>272</v>
      </c>
      <c r="D112" s="973">
        <f t="shared" si="15"/>
        <v>0.5</v>
      </c>
      <c r="E112" s="973">
        <f t="shared" si="16"/>
        <v>0.47147571900047147</v>
      </c>
      <c r="F112" s="973">
        <f t="shared" si="17"/>
        <v>1.3</v>
      </c>
      <c r="G112" s="973">
        <f t="shared" si="18"/>
        <v>3.1</v>
      </c>
      <c r="H112" s="973">
        <f t="shared" si="19"/>
        <v>1.3</v>
      </c>
      <c r="I112" s="973"/>
      <c r="J112" s="980">
        <v>1.018</v>
      </c>
      <c r="K112" s="981">
        <v>2.036</v>
      </c>
      <c r="L112" s="981">
        <v>1</v>
      </c>
      <c r="M112" s="981">
        <v>2.121</v>
      </c>
      <c r="N112" s="981">
        <v>2.7664000000000004</v>
      </c>
      <c r="O112" s="981">
        <v>2.1280000000000001</v>
      </c>
      <c r="P112" s="981">
        <v>6.8757999999999999</v>
      </c>
      <c r="Q112" s="981">
        <v>2.218</v>
      </c>
      <c r="R112" s="981">
        <v>2.9510000000000001</v>
      </c>
      <c r="S112" s="981">
        <v>2.27</v>
      </c>
    </row>
    <row r="113" spans="1:19" s="950" customFormat="1" ht="12.75">
      <c r="A113" s="970" t="s">
        <v>89</v>
      </c>
      <c r="B113" s="971" t="s">
        <v>90</v>
      </c>
      <c r="C113" s="972" t="s">
        <v>276</v>
      </c>
      <c r="D113" s="973">
        <f t="shared" si="15"/>
        <v>7.9</v>
      </c>
      <c r="E113" s="973">
        <f t="shared" si="16"/>
        <v>9.3091621754042144</v>
      </c>
      <c r="F113" s="973">
        <f t="shared" si="17"/>
        <v>7.4</v>
      </c>
      <c r="G113" s="973">
        <f t="shared" si="18"/>
        <v>2.6</v>
      </c>
      <c r="H113" s="973">
        <f t="shared" si="19"/>
        <v>10.3</v>
      </c>
      <c r="I113" s="973"/>
      <c r="J113" s="980">
        <v>30.944299999999998</v>
      </c>
      <c r="K113" s="981">
        <v>3.9169999999999998</v>
      </c>
      <c r="L113" s="981">
        <v>38</v>
      </c>
      <c r="M113" s="981">
        <v>4.0819999999999999</v>
      </c>
      <c r="N113" s="981">
        <v>30.872799999999998</v>
      </c>
      <c r="O113" s="981">
        <v>4.1719999999999997</v>
      </c>
      <c r="P113" s="981">
        <v>11.294400000000001</v>
      </c>
      <c r="Q113" s="981">
        <v>4.3440000000000003</v>
      </c>
      <c r="R113" s="981">
        <v>45.464199999999998</v>
      </c>
      <c r="S113" s="981">
        <v>4.4139999999999997</v>
      </c>
    </row>
    <row r="114" spans="1:19" s="950" customFormat="1" ht="12.75">
      <c r="A114" s="970" t="s">
        <v>91</v>
      </c>
      <c r="B114" s="971" t="s">
        <v>92</v>
      </c>
      <c r="C114" s="972" t="s">
        <v>278</v>
      </c>
      <c r="D114" s="973">
        <f t="shared" si="15"/>
        <v>9.6</v>
      </c>
      <c r="E114" s="973">
        <f t="shared" si="16"/>
        <v>8.2908163265306118</v>
      </c>
      <c r="F114" s="973">
        <f t="shared" si="17"/>
        <v>12.5</v>
      </c>
      <c r="G114" s="973">
        <f t="shared" si="18"/>
        <v>6.6</v>
      </c>
      <c r="H114" s="973">
        <f t="shared" si="19"/>
        <v>4.2</v>
      </c>
      <c r="I114" s="973"/>
      <c r="J114" s="980">
        <v>14.783999999999999</v>
      </c>
      <c r="K114" s="981">
        <v>1.54</v>
      </c>
      <c r="L114" s="981">
        <v>13</v>
      </c>
      <c r="M114" s="981">
        <v>1.5680000000000001</v>
      </c>
      <c r="N114" s="981">
        <v>19.712499999999999</v>
      </c>
      <c r="O114" s="981">
        <v>1.577</v>
      </c>
      <c r="P114" s="981">
        <v>10.4016</v>
      </c>
      <c r="Q114" s="981">
        <v>1.5760000000000001</v>
      </c>
      <c r="R114" s="981">
        <v>6.5898000000000003</v>
      </c>
      <c r="S114" s="981">
        <v>1.569</v>
      </c>
    </row>
    <row r="115" spans="1:19" s="950" customFormat="1" ht="12.75">
      <c r="A115" s="970" t="s">
        <v>107</v>
      </c>
      <c r="B115" s="971" t="s">
        <v>108</v>
      </c>
      <c r="C115" s="972" t="s">
        <v>272</v>
      </c>
      <c r="D115" s="973">
        <f t="shared" si="15"/>
        <v>4.3</v>
      </c>
      <c r="E115" s="973">
        <f t="shared" si="16"/>
        <v>5.2896136536325908</v>
      </c>
      <c r="F115" s="973">
        <f t="shared" si="17"/>
        <v>5.6</v>
      </c>
      <c r="G115" s="973">
        <f t="shared" si="18"/>
        <v>6.6</v>
      </c>
      <c r="H115" s="973">
        <f t="shared" si="19"/>
        <v>5.4</v>
      </c>
      <c r="I115" s="973"/>
      <c r="J115" s="980">
        <v>147.70500000000001</v>
      </c>
      <c r="K115" s="981">
        <v>34.35</v>
      </c>
      <c r="L115" s="981">
        <v>181</v>
      </c>
      <c r="M115" s="981">
        <v>34.218000000000004</v>
      </c>
      <c r="N115" s="981">
        <v>191.12239999999997</v>
      </c>
      <c r="O115" s="981">
        <v>34.128999999999998</v>
      </c>
      <c r="P115" s="981">
        <v>223.35059999999999</v>
      </c>
      <c r="Q115" s="981">
        <v>33.841000000000001</v>
      </c>
      <c r="R115" s="981">
        <v>181.02960000000002</v>
      </c>
      <c r="S115" s="981">
        <v>33.524000000000001</v>
      </c>
    </row>
    <row r="116" spans="1:19" s="950" customFormat="1" ht="12.75">
      <c r="A116" s="970" t="s">
        <v>303</v>
      </c>
      <c r="B116" s="971" t="s">
        <v>304</v>
      </c>
      <c r="C116" s="972" t="s">
        <v>276</v>
      </c>
      <c r="D116" s="973">
        <f t="shared" si="15"/>
        <v>6.9</v>
      </c>
      <c r="E116" s="973">
        <f t="shared" si="16"/>
        <v>7.7621558289396599</v>
      </c>
      <c r="F116" s="973">
        <f t="shared" si="17"/>
        <v>11.8</v>
      </c>
      <c r="G116" s="973">
        <f t="shared" si="18"/>
        <v>5.5999999999999988</v>
      </c>
      <c r="H116" s="973">
        <f t="shared" si="19"/>
        <v>7.2</v>
      </c>
      <c r="I116" s="973"/>
      <c r="J116" s="980">
        <v>45.691800000000001</v>
      </c>
      <c r="K116" s="981">
        <v>6.6219999999999999</v>
      </c>
      <c r="L116" s="981">
        <v>53</v>
      </c>
      <c r="M116" s="981">
        <v>6.8280000000000003</v>
      </c>
      <c r="N116" s="981">
        <v>80.322600000000008</v>
      </c>
      <c r="O116" s="981">
        <v>6.8070000000000004</v>
      </c>
      <c r="P116" s="981">
        <v>39.491199999999992</v>
      </c>
      <c r="Q116" s="981">
        <v>7.0519999999999996</v>
      </c>
      <c r="R116" s="981">
        <v>51.343200000000003</v>
      </c>
      <c r="S116" s="981">
        <v>7.1310000000000002</v>
      </c>
    </row>
    <row r="117" spans="1:19" s="950" customFormat="1" ht="12.75">
      <c r="A117" s="970" t="s">
        <v>117</v>
      </c>
      <c r="B117" s="971" t="s">
        <v>118</v>
      </c>
      <c r="C117" s="972" t="s">
        <v>275</v>
      </c>
      <c r="D117" s="973">
        <f t="shared" si="15"/>
        <v>4.2</v>
      </c>
      <c r="E117" s="973">
        <f t="shared" si="16"/>
        <v>5.2488994243142573</v>
      </c>
      <c r="F117" s="973">
        <f t="shared" si="17"/>
        <v>6.1</v>
      </c>
      <c r="G117" s="973">
        <f t="shared" si="18"/>
        <v>2.9</v>
      </c>
      <c r="H117" s="973">
        <f t="shared" si="19"/>
        <v>7.1</v>
      </c>
      <c r="I117" s="973"/>
      <c r="J117" s="980">
        <v>24.830400000000001</v>
      </c>
      <c r="K117" s="981">
        <v>5.9119999999999999</v>
      </c>
      <c r="L117" s="981">
        <v>31</v>
      </c>
      <c r="M117" s="981">
        <v>5.9059999999999997</v>
      </c>
      <c r="N117" s="981">
        <v>35.739899999999999</v>
      </c>
      <c r="O117" s="981">
        <v>5.859</v>
      </c>
      <c r="P117" s="981">
        <v>17.272400000000001</v>
      </c>
      <c r="Q117" s="981">
        <v>5.9560000000000004</v>
      </c>
      <c r="R117" s="981">
        <v>43.3384</v>
      </c>
      <c r="S117" s="981">
        <v>6.1040000000000001</v>
      </c>
    </row>
    <row r="118" spans="1:19" s="950" customFormat="1" ht="12.75">
      <c r="A118" s="970" t="s">
        <v>305</v>
      </c>
      <c r="B118" s="971" t="s">
        <v>306</v>
      </c>
      <c r="C118" s="972" t="s">
        <v>273</v>
      </c>
      <c r="D118" s="973">
        <f t="shared" si="15"/>
        <v>0</v>
      </c>
      <c r="E118" s="973">
        <f t="shared" si="16"/>
        <v>2.8490028490028494</v>
      </c>
      <c r="F118" s="973">
        <f t="shared" si="17"/>
        <v>2.4</v>
      </c>
      <c r="G118" s="973">
        <f t="shared" si="18"/>
        <v>0</v>
      </c>
      <c r="H118" s="973">
        <f t="shared" si="19"/>
        <v>3.5</v>
      </c>
      <c r="I118" s="973"/>
      <c r="J118" s="980">
        <v>0</v>
      </c>
      <c r="K118" s="981">
        <v>0.70399999999999996</v>
      </c>
      <c r="L118" s="981">
        <v>2</v>
      </c>
      <c r="M118" s="981">
        <v>0.70199999999999996</v>
      </c>
      <c r="N118" s="981">
        <v>1.6751999999999998</v>
      </c>
      <c r="O118" s="981">
        <v>0.69799999999999995</v>
      </c>
      <c r="P118" s="981">
        <v>0</v>
      </c>
      <c r="Q118" s="981">
        <v>0.66900000000000004</v>
      </c>
      <c r="R118" s="981">
        <v>2.3730000000000002</v>
      </c>
      <c r="S118" s="981">
        <v>0.67800000000000005</v>
      </c>
    </row>
    <row r="119" spans="1:19" s="950" customFormat="1" ht="12.75">
      <c r="A119" s="970" t="s">
        <v>139</v>
      </c>
      <c r="B119" s="971" t="s">
        <v>140</v>
      </c>
      <c r="C119" s="972" t="s">
        <v>273</v>
      </c>
      <c r="D119" s="973">
        <f t="shared" si="15"/>
        <v>8.4</v>
      </c>
      <c r="E119" s="973">
        <f t="shared" si="16"/>
        <v>8.0854750216575226</v>
      </c>
      <c r="F119" s="973">
        <f t="shared" si="17"/>
        <v>7.5</v>
      </c>
      <c r="G119" s="973">
        <f t="shared" si="18"/>
        <v>7.7</v>
      </c>
      <c r="H119" s="973">
        <f t="shared" si="19"/>
        <v>7.2</v>
      </c>
      <c r="I119" s="973"/>
      <c r="J119" s="980">
        <v>117.08760000000001</v>
      </c>
      <c r="K119" s="981">
        <v>13.939</v>
      </c>
      <c r="L119" s="981">
        <v>112</v>
      </c>
      <c r="M119" s="981">
        <v>13.852</v>
      </c>
      <c r="N119" s="981">
        <v>105.5325</v>
      </c>
      <c r="O119" s="981">
        <v>14.071</v>
      </c>
      <c r="P119" s="981">
        <v>110.1562</v>
      </c>
      <c r="Q119" s="981">
        <v>14.305999999999999</v>
      </c>
      <c r="R119" s="981">
        <v>105.12</v>
      </c>
      <c r="S119" s="981">
        <v>14.6</v>
      </c>
    </row>
    <row r="120" spans="1:19" s="950" customFormat="1" ht="12.75">
      <c r="A120" s="970" t="s">
        <v>143</v>
      </c>
      <c r="B120" s="971" t="s">
        <v>144</v>
      </c>
      <c r="C120" s="972" t="s">
        <v>276</v>
      </c>
      <c r="D120" s="973">
        <f t="shared" si="15"/>
        <v>1.4999999999999998</v>
      </c>
      <c r="E120" s="973">
        <f t="shared" si="16"/>
        <v>1.2095273539263121</v>
      </c>
      <c r="F120" s="973">
        <f t="shared" si="17"/>
        <v>1.5</v>
      </c>
      <c r="G120" s="973">
        <f t="shared" si="18"/>
        <v>1.7</v>
      </c>
      <c r="H120" s="973">
        <f t="shared" si="19"/>
        <v>0.80000000000000016</v>
      </c>
      <c r="I120" s="973"/>
      <c r="J120" s="980">
        <v>16.081499999999998</v>
      </c>
      <c r="K120" s="981">
        <v>10.721</v>
      </c>
      <c r="L120" s="981">
        <v>13</v>
      </c>
      <c r="M120" s="981">
        <v>10.747999999999999</v>
      </c>
      <c r="N120" s="981">
        <v>15.864000000000001</v>
      </c>
      <c r="O120" s="981">
        <v>10.576000000000001</v>
      </c>
      <c r="P120" s="981">
        <v>17.448799999999999</v>
      </c>
      <c r="Q120" s="981">
        <v>10.263999999999999</v>
      </c>
      <c r="R120" s="981">
        <v>8.1024000000000012</v>
      </c>
      <c r="S120" s="981">
        <v>10.128</v>
      </c>
    </row>
    <row r="121" spans="1:19" s="950" customFormat="1" ht="12.75">
      <c r="A121" s="970" t="s">
        <v>145</v>
      </c>
      <c r="B121" s="971" t="s">
        <v>146</v>
      </c>
      <c r="C121" s="972" t="s">
        <v>276</v>
      </c>
      <c r="D121" s="973">
        <f t="shared" si="15"/>
        <v>3.4</v>
      </c>
      <c r="E121" s="973">
        <f t="shared" si="16"/>
        <v>4.2040358744394615</v>
      </c>
      <c r="F121" s="973">
        <f t="shared" si="17"/>
        <v>1.3</v>
      </c>
      <c r="G121" s="973">
        <f t="shared" si="18"/>
        <v>1.2</v>
      </c>
      <c r="H121" s="973">
        <f t="shared" si="19"/>
        <v>1.4</v>
      </c>
      <c r="I121" s="973"/>
      <c r="J121" s="980">
        <v>11.7096</v>
      </c>
      <c r="K121" s="981">
        <v>3.444</v>
      </c>
      <c r="L121" s="981">
        <v>15</v>
      </c>
      <c r="M121" s="981">
        <v>3.5680000000000001</v>
      </c>
      <c r="N121" s="981">
        <v>4.7320000000000002</v>
      </c>
      <c r="O121" s="981">
        <v>3.64</v>
      </c>
      <c r="P121" s="981">
        <v>4.3883999999999999</v>
      </c>
      <c r="Q121" s="981">
        <v>3.657</v>
      </c>
      <c r="R121" s="981">
        <v>5.1057999999999995</v>
      </c>
      <c r="S121" s="981">
        <v>3.6469999999999998</v>
      </c>
    </row>
    <row r="122" spans="1:19" s="950" customFormat="1" ht="12.75">
      <c r="A122" s="970" t="s">
        <v>308</v>
      </c>
      <c r="B122" s="971" t="s">
        <v>309</v>
      </c>
      <c r="C122" s="972" t="s">
        <v>273</v>
      </c>
      <c r="D122" s="973">
        <f t="shared" si="15"/>
        <v>4.7</v>
      </c>
      <c r="E122" s="973">
        <f t="shared" si="16"/>
        <v>2.7565084226646248</v>
      </c>
      <c r="F122" s="973">
        <f t="shared" si="17"/>
        <v>5</v>
      </c>
      <c r="G122" s="973">
        <f t="shared" si="18"/>
        <v>2.7</v>
      </c>
      <c r="H122" s="973">
        <f t="shared" si="19"/>
        <v>2.4</v>
      </c>
      <c r="I122" s="973"/>
      <c r="J122" s="980">
        <v>16.1069</v>
      </c>
      <c r="K122" s="981">
        <v>3.427</v>
      </c>
      <c r="L122" s="981">
        <v>9</v>
      </c>
      <c r="M122" s="981">
        <v>3.2650000000000001</v>
      </c>
      <c r="N122" s="981">
        <v>16.37</v>
      </c>
      <c r="O122" s="981">
        <v>3.274</v>
      </c>
      <c r="P122" s="981">
        <v>8.6669999999999998</v>
      </c>
      <c r="Q122" s="981">
        <v>3.21</v>
      </c>
      <c r="R122" s="981">
        <v>7.4615999999999998</v>
      </c>
      <c r="S122" s="981">
        <v>3.109</v>
      </c>
    </row>
    <row r="123" spans="1:19" s="950" customFormat="1" ht="12.75">
      <c r="A123" s="970" t="s">
        <v>159</v>
      </c>
      <c r="B123" s="971" t="s">
        <v>160</v>
      </c>
      <c r="C123" s="972" t="s">
        <v>272</v>
      </c>
      <c r="D123" s="973">
        <f t="shared" si="15"/>
        <v>3.4</v>
      </c>
      <c r="E123" s="973">
        <f t="shared" si="16"/>
        <v>4.3419529139328441</v>
      </c>
      <c r="F123" s="973">
        <f t="shared" si="17"/>
        <v>4.0999999999999996</v>
      </c>
      <c r="G123" s="973">
        <f t="shared" si="18"/>
        <v>4</v>
      </c>
      <c r="H123" s="973">
        <f t="shared" si="19"/>
        <v>3.4</v>
      </c>
      <c r="I123" s="973"/>
      <c r="J123" s="980">
        <v>175.916</v>
      </c>
      <c r="K123" s="981">
        <v>51.74</v>
      </c>
      <c r="L123" s="981">
        <v>225</v>
      </c>
      <c r="M123" s="981">
        <v>51.82</v>
      </c>
      <c r="N123" s="981">
        <v>209.51819999999998</v>
      </c>
      <c r="O123" s="981">
        <v>51.101999999999997</v>
      </c>
      <c r="P123" s="981">
        <v>204.108</v>
      </c>
      <c r="Q123" s="981">
        <v>51.027000000000001</v>
      </c>
      <c r="R123" s="981">
        <v>172.15219999999999</v>
      </c>
      <c r="S123" s="981">
        <v>50.633000000000003</v>
      </c>
    </row>
    <row r="124" spans="1:19" s="950" customFormat="1" ht="12.75">
      <c r="A124" s="970" t="s">
        <v>161</v>
      </c>
      <c r="B124" s="971" t="s">
        <v>162</v>
      </c>
      <c r="C124" s="972" t="s">
        <v>272</v>
      </c>
      <c r="D124" s="973">
        <f t="shared" si="15"/>
        <v>7.3000000000000007</v>
      </c>
      <c r="E124" s="973">
        <f t="shared" si="16"/>
        <v>6.7837190742218674</v>
      </c>
      <c r="F124" s="973">
        <f t="shared" si="17"/>
        <v>7.8</v>
      </c>
      <c r="G124" s="973">
        <f t="shared" si="18"/>
        <v>8.6999999999999993</v>
      </c>
      <c r="H124" s="973">
        <f t="shared" si="19"/>
        <v>7.4</v>
      </c>
      <c r="I124" s="973"/>
      <c r="J124" s="980">
        <v>422.33420000000001</v>
      </c>
      <c r="K124" s="981">
        <v>57.853999999999999</v>
      </c>
      <c r="L124" s="981">
        <v>391</v>
      </c>
      <c r="M124" s="981">
        <v>57.637999999999998</v>
      </c>
      <c r="N124" s="981">
        <v>448.00079999999997</v>
      </c>
      <c r="O124" s="981">
        <v>57.436</v>
      </c>
      <c r="P124" s="981">
        <v>493.73369999999994</v>
      </c>
      <c r="Q124" s="981">
        <v>56.750999999999998</v>
      </c>
      <c r="R124" s="981">
        <v>417.13060000000002</v>
      </c>
      <c r="S124" s="981">
        <v>56.369</v>
      </c>
    </row>
    <row r="125" spans="1:19" s="950" customFormat="1" ht="12.75">
      <c r="A125" s="970" t="s">
        <v>167</v>
      </c>
      <c r="B125" s="971" t="s">
        <v>168</v>
      </c>
      <c r="C125" s="972" t="s">
        <v>278</v>
      </c>
      <c r="D125" s="973">
        <f t="shared" si="15"/>
        <v>2.4</v>
      </c>
      <c r="E125" s="973">
        <f t="shared" si="16"/>
        <v>5.1085568326947639</v>
      </c>
      <c r="F125" s="973">
        <f t="shared" si="17"/>
        <v>8.1</v>
      </c>
      <c r="G125" s="973">
        <f t="shared" si="18"/>
        <v>0</v>
      </c>
      <c r="H125" s="973">
        <f t="shared" si="19"/>
        <v>15.6</v>
      </c>
      <c r="I125" s="973"/>
      <c r="J125" s="980">
        <v>1.9679999999999997</v>
      </c>
      <c r="K125" s="981">
        <v>0.82</v>
      </c>
      <c r="L125" s="981">
        <v>4</v>
      </c>
      <c r="M125" s="981">
        <v>0.78300000000000003</v>
      </c>
      <c r="N125" s="981">
        <v>5.9696999999999996</v>
      </c>
      <c r="O125" s="981">
        <v>0.73699999999999999</v>
      </c>
      <c r="P125" s="981">
        <v>0</v>
      </c>
      <c r="Q125" s="981">
        <v>0.77</v>
      </c>
      <c r="R125" s="981">
        <v>12.48</v>
      </c>
      <c r="S125" s="981">
        <v>0.8</v>
      </c>
    </row>
    <row r="126" spans="1:19" s="950" customFormat="1" ht="12.75">
      <c r="A126" s="970" t="s">
        <v>177</v>
      </c>
      <c r="B126" s="971" t="s">
        <v>178</v>
      </c>
      <c r="C126" s="972" t="s">
        <v>275</v>
      </c>
      <c r="D126" s="973">
        <f t="shared" si="15"/>
        <v>4.5999999999999996</v>
      </c>
      <c r="E126" s="973">
        <f t="shared" si="16"/>
        <v>4.4318601501908166</v>
      </c>
      <c r="F126" s="973">
        <f t="shared" si="17"/>
        <v>4.3</v>
      </c>
      <c r="G126" s="973">
        <f t="shared" si="18"/>
        <v>4.0999999999999996</v>
      </c>
      <c r="H126" s="973">
        <f t="shared" si="19"/>
        <v>5.7</v>
      </c>
      <c r="I126" s="973"/>
      <c r="J126" s="980">
        <v>37.949999999999996</v>
      </c>
      <c r="K126" s="981">
        <v>8.25</v>
      </c>
      <c r="L126" s="981">
        <v>36</v>
      </c>
      <c r="M126" s="981">
        <v>8.1229999999999993</v>
      </c>
      <c r="N126" s="981">
        <v>34.520400000000002</v>
      </c>
      <c r="O126" s="981">
        <v>8.0280000000000005</v>
      </c>
      <c r="P126" s="981">
        <v>32.840999999999994</v>
      </c>
      <c r="Q126" s="981">
        <v>8.01</v>
      </c>
      <c r="R126" s="981">
        <v>45.947700000000005</v>
      </c>
      <c r="S126" s="981">
        <v>8.0609999999999999</v>
      </c>
    </row>
    <row r="127" spans="1:19" s="950" customFormat="1" ht="12.75">
      <c r="A127" s="970" t="s">
        <v>310</v>
      </c>
      <c r="B127" s="971" t="s">
        <v>311</v>
      </c>
      <c r="C127" s="972" t="s">
        <v>272</v>
      </c>
      <c r="D127" s="973">
        <f t="shared" si="15"/>
        <v>2.1</v>
      </c>
      <c r="E127" s="973">
        <f t="shared" si="16"/>
        <v>0.9865175928970733</v>
      </c>
      <c r="F127" s="973">
        <f t="shared" si="17"/>
        <v>0</v>
      </c>
      <c r="G127" s="973">
        <f t="shared" si="18"/>
        <v>0</v>
      </c>
      <c r="H127" s="973">
        <f t="shared" si="19"/>
        <v>0</v>
      </c>
      <c r="I127" s="973"/>
      <c r="J127" s="980">
        <v>6.5247000000000011</v>
      </c>
      <c r="K127" s="981">
        <v>3.1070000000000002</v>
      </c>
      <c r="L127" s="981">
        <v>3</v>
      </c>
      <c r="M127" s="981">
        <v>3.0409999999999999</v>
      </c>
      <c r="N127" s="981">
        <v>0</v>
      </c>
      <c r="O127" s="981">
        <v>3.012</v>
      </c>
      <c r="P127" s="981">
        <v>0</v>
      </c>
      <c r="Q127" s="981">
        <v>2.98</v>
      </c>
      <c r="R127" s="981">
        <v>0</v>
      </c>
      <c r="S127" s="981">
        <v>2.9239999999999999</v>
      </c>
    </row>
    <row r="128" spans="1:19" s="950" customFormat="1" ht="12.75">
      <c r="A128" s="970" t="s">
        <v>181</v>
      </c>
      <c r="B128" s="971" t="s">
        <v>182</v>
      </c>
      <c r="C128" s="972" t="s">
        <v>272</v>
      </c>
      <c r="D128" s="973">
        <f t="shared" si="15"/>
        <v>4.0999999999999996</v>
      </c>
      <c r="E128" s="973">
        <f t="shared" si="16"/>
        <v>3.5097515255454073</v>
      </c>
      <c r="F128" s="973">
        <f t="shared" si="17"/>
        <v>4</v>
      </c>
      <c r="G128" s="973">
        <f t="shared" si="18"/>
        <v>2.2000000000000002</v>
      </c>
      <c r="H128" s="973">
        <f t="shared" si="19"/>
        <v>1.8</v>
      </c>
      <c r="I128" s="973"/>
      <c r="J128" s="980">
        <v>103.34049999999998</v>
      </c>
      <c r="K128" s="981">
        <v>25.204999999999998</v>
      </c>
      <c r="L128" s="981">
        <v>88</v>
      </c>
      <c r="M128" s="981">
        <v>25.073</v>
      </c>
      <c r="N128" s="981">
        <v>100.812</v>
      </c>
      <c r="O128" s="981">
        <v>25.202999999999999</v>
      </c>
      <c r="P128" s="981">
        <v>55.847000000000008</v>
      </c>
      <c r="Q128" s="981">
        <v>25.385000000000002</v>
      </c>
      <c r="R128" s="981">
        <v>44.965800000000002</v>
      </c>
      <c r="S128" s="981">
        <v>24.981000000000002</v>
      </c>
    </row>
    <row r="129" spans="1:19" s="950" customFormat="1" ht="12.75">
      <c r="A129" s="970" t="s">
        <v>193</v>
      </c>
      <c r="B129" s="971" t="s">
        <v>194</v>
      </c>
      <c r="C129" s="972" t="s">
        <v>278</v>
      </c>
      <c r="D129" s="973">
        <f t="shared" si="15"/>
        <v>2.8</v>
      </c>
      <c r="E129" s="973">
        <f t="shared" si="16"/>
        <v>3.2171581769436997</v>
      </c>
      <c r="F129" s="973">
        <f t="shared" si="17"/>
        <v>3.3</v>
      </c>
      <c r="G129" s="973">
        <f t="shared" si="18"/>
        <v>2.9000000000000004</v>
      </c>
      <c r="H129" s="973">
        <f t="shared" si="19"/>
        <v>14.2</v>
      </c>
      <c r="I129" s="973"/>
      <c r="J129" s="980">
        <v>5.2555999999999994</v>
      </c>
      <c r="K129" s="981">
        <v>1.877</v>
      </c>
      <c r="L129" s="981">
        <v>6</v>
      </c>
      <c r="M129" s="981">
        <v>1.865</v>
      </c>
      <c r="N129" s="981">
        <v>6.1544999999999996</v>
      </c>
      <c r="O129" s="981">
        <v>1.865</v>
      </c>
      <c r="P129" s="981">
        <v>5.452</v>
      </c>
      <c r="Q129" s="981">
        <v>1.88</v>
      </c>
      <c r="R129" s="981">
        <v>27.434399999999997</v>
      </c>
      <c r="S129" s="981">
        <v>1.9319999999999999</v>
      </c>
    </row>
    <row r="130" spans="1:19" s="950" customFormat="1" ht="12.75">
      <c r="A130" s="970" t="s">
        <v>197</v>
      </c>
      <c r="B130" s="971" t="s">
        <v>198</v>
      </c>
      <c r="C130" s="972" t="s">
        <v>275</v>
      </c>
      <c r="D130" s="973">
        <f t="shared" si="15"/>
        <v>4</v>
      </c>
      <c r="E130" s="973">
        <f t="shared" si="16"/>
        <v>5.5187115111321647</v>
      </c>
      <c r="F130" s="973">
        <f t="shared" si="17"/>
        <v>6.9000000000000012</v>
      </c>
      <c r="G130" s="973">
        <f t="shared" si="18"/>
        <v>5.2</v>
      </c>
      <c r="H130" s="973">
        <f t="shared" si="19"/>
        <v>4.2</v>
      </c>
      <c r="I130" s="973"/>
      <c r="J130" s="980">
        <v>170.41200000000001</v>
      </c>
      <c r="K130" s="981">
        <v>42.603000000000002</v>
      </c>
      <c r="L130" s="981">
        <v>233</v>
      </c>
      <c r="M130" s="981">
        <v>42.22</v>
      </c>
      <c r="N130" s="981">
        <v>288.85470000000004</v>
      </c>
      <c r="O130" s="981">
        <v>41.863</v>
      </c>
      <c r="P130" s="981">
        <v>215.89360000000002</v>
      </c>
      <c r="Q130" s="981">
        <v>41.518000000000001</v>
      </c>
      <c r="R130" s="981">
        <v>173.48099999999999</v>
      </c>
      <c r="S130" s="981">
        <v>41.305</v>
      </c>
    </row>
    <row r="131" spans="1:19" s="950" customFormat="1" ht="12.75">
      <c r="A131" s="970" t="s">
        <v>201</v>
      </c>
      <c r="B131" s="971" t="s">
        <v>202</v>
      </c>
      <c r="C131" s="972" t="s">
        <v>273</v>
      </c>
      <c r="D131" s="973">
        <f t="shared" si="15"/>
        <v>11.2</v>
      </c>
      <c r="E131" s="973">
        <f t="shared" si="16"/>
        <v>12.559720238388415</v>
      </c>
      <c r="F131" s="973">
        <f t="shared" si="17"/>
        <v>14.5</v>
      </c>
      <c r="G131" s="973">
        <f t="shared" si="18"/>
        <v>12.9</v>
      </c>
      <c r="H131" s="973">
        <f t="shared" si="19"/>
        <v>10.3</v>
      </c>
      <c r="I131" s="973"/>
      <c r="J131" s="980">
        <v>230.77599999999998</v>
      </c>
      <c r="K131" s="981">
        <v>20.605</v>
      </c>
      <c r="L131" s="981">
        <v>255</v>
      </c>
      <c r="M131" s="981">
        <v>20.303000000000001</v>
      </c>
      <c r="N131" s="981">
        <v>290.37700000000001</v>
      </c>
      <c r="O131" s="981">
        <v>20.026</v>
      </c>
      <c r="P131" s="981">
        <v>255.54899999999998</v>
      </c>
      <c r="Q131" s="981">
        <v>19.809999999999999</v>
      </c>
      <c r="R131" s="981">
        <v>205.23779999999999</v>
      </c>
      <c r="S131" s="981">
        <v>19.925999999999998</v>
      </c>
    </row>
    <row r="132" spans="1:19" s="950" customFormat="1" ht="12.75">
      <c r="A132" s="970" t="s">
        <v>312</v>
      </c>
      <c r="B132" s="971" t="s">
        <v>313</v>
      </c>
      <c r="C132" s="972" t="s">
        <v>273</v>
      </c>
      <c r="D132" s="973">
        <f t="shared" si="15"/>
        <v>0.39999999999999997</v>
      </c>
      <c r="E132" s="973">
        <f t="shared" si="16"/>
        <v>0.20036064916850332</v>
      </c>
      <c r="F132" s="973">
        <f t="shared" si="17"/>
        <v>0</v>
      </c>
      <c r="G132" s="973">
        <f t="shared" si="18"/>
        <v>0.2</v>
      </c>
      <c r="H132" s="973">
        <f t="shared" si="19"/>
        <v>0.4</v>
      </c>
      <c r="I132" s="973"/>
      <c r="J132" s="980">
        <v>2.0463999999999998</v>
      </c>
      <c r="K132" s="981">
        <v>5.1159999999999997</v>
      </c>
      <c r="L132" s="981">
        <v>1</v>
      </c>
      <c r="M132" s="981">
        <v>4.9909999999999997</v>
      </c>
      <c r="N132" s="981">
        <v>0</v>
      </c>
      <c r="O132" s="981">
        <v>4.9980000000000002</v>
      </c>
      <c r="P132" s="981">
        <v>1.0156000000000001</v>
      </c>
      <c r="Q132" s="981">
        <v>5.0780000000000003</v>
      </c>
      <c r="R132" s="981">
        <v>2.0228000000000002</v>
      </c>
      <c r="S132" s="981">
        <v>5.0570000000000004</v>
      </c>
    </row>
    <row r="133" spans="1:19" s="950" customFormat="1" ht="12.75">
      <c r="A133" s="970" t="s">
        <v>314</v>
      </c>
      <c r="B133" s="971" t="s">
        <v>315</v>
      </c>
      <c r="C133" s="972" t="s">
        <v>273</v>
      </c>
      <c r="D133" s="973">
        <f t="shared" ref="D133:D138" si="20">+J133/K133</f>
        <v>8.9</v>
      </c>
      <c r="E133" s="973">
        <f t="shared" ref="E133:E138" si="21">+L133/M133</f>
        <v>9.9502487562189046</v>
      </c>
      <c r="F133" s="973">
        <f t="shared" ref="F133:F138" si="22">+N133/O133</f>
        <v>11.6</v>
      </c>
      <c r="G133" s="973">
        <f t="shared" ref="G133:G138" si="23">+P133/Q133</f>
        <v>4.4000000000000004</v>
      </c>
      <c r="H133" s="973">
        <f t="shared" ref="H133:H138" si="24">+R133/S133</f>
        <v>4.5999999999999996</v>
      </c>
      <c r="I133" s="973"/>
      <c r="J133" s="980">
        <v>41.4651</v>
      </c>
      <c r="K133" s="981">
        <v>4.6589999999999998</v>
      </c>
      <c r="L133" s="981">
        <v>46</v>
      </c>
      <c r="M133" s="981">
        <v>4.6230000000000002</v>
      </c>
      <c r="N133" s="981">
        <v>53.035199999999996</v>
      </c>
      <c r="O133" s="981">
        <v>4.5720000000000001</v>
      </c>
      <c r="P133" s="981">
        <v>20.015600000000003</v>
      </c>
      <c r="Q133" s="981">
        <v>4.5490000000000004</v>
      </c>
      <c r="R133" s="981">
        <v>21.224399999999999</v>
      </c>
      <c r="S133" s="981">
        <v>4.6139999999999999</v>
      </c>
    </row>
    <row r="134" spans="1:19" s="950" customFormat="1" ht="12.75">
      <c r="A134" s="970" t="s">
        <v>223</v>
      </c>
      <c r="B134" s="971" t="s">
        <v>224</v>
      </c>
      <c r="C134" s="972" t="s">
        <v>272</v>
      </c>
      <c r="D134" s="973">
        <f t="shared" si="20"/>
        <v>2.7</v>
      </c>
      <c r="E134" s="973">
        <f t="shared" si="21"/>
        <v>1.575555025065648</v>
      </c>
      <c r="F134" s="973">
        <f t="shared" si="22"/>
        <v>2.9</v>
      </c>
      <c r="G134" s="973">
        <f t="shared" si="23"/>
        <v>1.1000000000000001</v>
      </c>
      <c r="H134" s="973">
        <f t="shared" si="24"/>
        <v>2.2999999999999998</v>
      </c>
      <c r="I134" s="973"/>
      <c r="J134" s="980">
        <v>54.666900000000005</v>
      </c>
      <c r="K134" s="981">
        <v>20.247</v>
      </c>
      <c r="L134" s="981">
        <v>33</v>
      </c>
      <c r="M134" s="981">
        <v>20.945</v>
      </c>
      <c r="N134" s="981">
        <v>62.184699999999999</v>
      </c>
      <c r="O134" s="981">
        <v>21.443000000000001</v>
      </c>
      <c r="P134" s="981">
        <v>24.011900000000004</v>
      </c>
      <c r="Q134" s="981">
        <v>21.829000000000001</v>
      </c>
      <c r="R134" s="981">
        <v>50.091699999999996</v>
      </c>
      <c r="S134" s="981">
        <v>21.779</v>
      </c>
    </row>
    <row r="135" spans="1:19" s="950" customFormat="1" ht="12.75">
      <c r="A135" s="970" t="s">
        <v>231</v>
      </c>
      <c r="B135" s="971" t="s">
        <v>232</v>
      </c>
      <c r="C135" s="972" t="s">
        <v>272</v>
      </c>
      <c r="D135" s="973">
        <f t="shared" si="20"/>
        <v>9.6999999999999993</v>
      </c>
      <c r="E135" s="973">
        <f t="shared" si="21"/>
        <v>10.161273683848561</v>
      </c>
      <c r="F135" s="973">
        <f t="shared" si="22"/>
        <v>8.5</v>
      </c>
      <c r="G135" s="973">
        <f t="shared" si="23"/>
        <v>5.9</v>
      </c>
      <c r="H135" s="973">
        <f t="shared" si="24"/>
        <v>4.5</v>
      </c>
      <c r="I135" s="973"/>
      <c r="J135" s="980">
        <v>1133.0375999999999</v>
      </c>
      <c r="K135" s="981">
        <v>116.80800000000001</v>
      </c>
      <c r="L135" s="981">
        <v>1182</v>
      </c>
      <c r="M135" s="981">
        <v>116.324</v>
      </c>
      <c r="N135" s="981">
        <v>971.63499999999999</v>
      </c>
      <c r="O135" s="981">
        <v>114.31</v>
      </c>
      <c r="P135" s="981">
        <v>661.78530000000001</v>
      </c>
      <c r="Q135" s="981">
        <v>112.167</v>
      </c>
      <c r="R135" s="981">
        <v>492.8895</v>
      </c>
      <c r="S135" s="981">
        <v>109.53100000000001</v>
      </c>
    </row>
    <row r="136" spans="1:19" s="950" customFormat="1" ht="12.75">
      <c r="A136" s="970" t="s">
        <v>316</v>
      </c>
      <c r="B136" s="971" t="s">
        <v>317</v>
      </c>
      <c r="C136" s="972" t="s">
        <v>273</v>
      </c>
      <c r="D136" s="973">
        <f t="shared" si="20"/>
        <v>11.1</v>
      </c>
      <c r="E136" s="973">
        <f t="shared" si="21"/>
        <v>10.068465565847765</v>
      </c>
      <c r="F136" s="973">
        <f t="shared" si="22"/>
        <v>12.1</v>
      </c>
      <c r="G136" s="973">
        <f t="shared" si="23"/>
        <v>11.1</v>
      </c>
      <c r="H136" s="973">
        <f t="shared" si="24"/>
        <v>6.8999999999999995</v>
      </c>
      <c r="I136" s="973"/>
      <c r="J136" s="980">
        <v>54.634199999999993</v>
      </c>
      <c r="K136" s="981">
        <v>4.9219999999999997</v>
      </c>
      <c r="L136" s="981">
        <v>50</v>
      </c>
      <c r="M136" s="981">
        <v>4.9660000000000002</v>
      </c>
      <c r="N136" s="981">
        <v>60.814599999999999</v>
      </c>
      <c r="O136" s="981">
        <v>5.0259999999999998</v>
      </c>
      <c r="P136" s="981">
        <v>55.699799999999996</v>
      </c>
      <c r="Q136" s="981">
        <v>5.0179999999999998</v>
      </c>
      <c r="R136" s="981">
        <v>34.010100000000001</v>
      </c>
      <c r="S136" s="981">
        <v>4.9290000000000003</v>
      </c>
    </row>
    <row r="137" spans="1:19" s="950" customFormat="1" ht="12.75">
      <c r="A137" s="970" t="s">
        <v>239</v>
      </c>
      <c r="B137" s="971" t="s">
        <v>240</v>
      </c>
      <c r="C137" s="972" t="s">
        <v>272</v>
      </c>
      <c r="D137" s="973">
        <f t="shared" si="20"/>
        <v>15.9</v>
      </c>
      <c r="E137" s="973">
        <f t="shared" si="21"/>
        <v>6.7114093959731544</v>
      </c>
      <c r="F137" s="973">
        <f t="shared" si="22"/>
        <v>7.3</v>
      </c>
      <c r="G137" s="973">
        <f t="shared" si="23"/>
        <v>4.3</v>
      </c>
      <c r="H137" s="973">
        <f t="shared" si="24"/>
        <v>1.2</v>
      </c>
      <c r="I137" s="973"/>
      <c r="J137" s="980">
        <v>17.442299999999999</v>
      </c>
      <c r="K137" s="981">
        <v>1.097</v>
      </c>
      <c r="L137" s="981">
        <v>8</v>
      </c>
      <c r="M137" s="981">
        <v>1.1919999999999999</v>
      </c>
      <c r="N137" s="981">
        <v>9.9644999999999992</v>
      </c>
      <c r="O137" s="981">
        <v>1.365</v>
      </c>
      <c r="P137" s="981">
        <v>6.4371</v>
      </c>
      <c r="Q137" s="981">
        <v>1.4970000000000001</v>
      </c>
      <c r="R137" s="981">
        <v>1.9691999999999998</v>
      </c>
      <c r="S137" s="981">
        <v>1.641</v>
      </c>
    </row>
    <row r="138" spans="1:19" s="950" customFormat="1" ht="12.75">
      <c r="A138" s="974" t="s">
        <v>241</v>
      </c>
      <c r="B138" s="975" t="s">
        <v>242</v>
      </c>
      <c r="C138" s="976" t="s">
        <v>276</v>
      </c>
      <c r="D138" s="977">
        <f t="shared" si="20"/>
        <v>2.9</v>
      </c>
      <c r="E138" s="977">
        <f t="shared" si="21"/>
        <v>3.0903472095982547</v>
      </c>
      <c r="F138" s="977">
        <f t="shared" si="22"/>
        <v>3.8</v>
      </c>
      <c r="G138" s="977">
        <f t="shared" si="23"/>
        <v>2.4</v>
      </c>
      <c r="H138" s="977">
        <f t="shared" si="24"/>
        <v>1.4</v>
      </c>
      <c r="I138" s="973"/>
      <c r="J138" s="980">
        <v>15.4831</v>
      </c>
      <c r="K138" s="981">
        <v>5.3390000000000004</v>
      </c>
      <c r="L138" s="981">
        <v>17</v>
      </c>
      <c r="M138" s="981">
        <v>5.5010000000000003</v>
      </c>
      <c r="N138" s="981">
        <v>21.545999999999999</v>
      </c>
      <c r="O138" s="981">
        <v>5.67</v>
      </c>
      <c r="P138" s="981">
        <v>13.804799999999998</v>
      </c>
      <c r="Q138" s="981">
        <v>5.7519999999999998</v>
      </c>
      <c r="R138" s="981">
        <v>7.9954000000000001</v>
      </c>
      <c r="S138" s="981">
        <v>5.7110000000000003</v>
      </c>
    </row>
    <row r="139" spans="1:19">
      <c r="A139" s="23"/>
      <c r="B139" s="23"/>
      <c r="C139" s="23"/>
      <c r="D139" s="23"/>
      <c r="E139" s="23"/>
      <c r="F139" s="23"/>
      <c r="G139" s="23"/>
      <c r="H139" s="23"/>
      <c r="I139" s="23"/>
      <c r="J139" s="20">
        <f t="shared" ref="J139:S139" si="25">SUM(J5:J138)</f>
        <v>6810.1651000000002</v>
      </c>
      <c r="K139" s="20">
        <f t="shared" si="25"/>
        <v>1789.1859999999992</v>
      </c>
      <c r="L139" s="20">
        <f t="shared" si="25"/>
        <v>7011</v>
      </c>
      <c r="M139" s="20">
        <f t="shared" si="25"/>
        <v>1806.991</v>
      </c>
      <c r="N139" s="20">
        <f t="shared" si="25"/>
        <v>7149.0743999999995</v>
      </c>
      <c r="O139" s="20">
        <f t="shared" si="25"/>
        <v>1821.080999999999</v>
      </c>
      <c r="P139" s="20">
        <f t="shared" si="25"/>
        <v>6292.8837000000012</v>
      </c>
      <c r="Q139" s="20">
        <f t="shared" si="25"/>
        <v>1829.0989999999999</v>
      </c>
      <c r="R139" s="20">
        <f t="shared" si="25"/>
        <v>5970.7229999999972</v>
      </c>
      <c r="S139" s="20">
        <f t="shared" si="25"/>
        <v>1836.4019999999998</v>
      </c>
    </row>
    <row r="140" spans="1:19" ht="32.25" customHeight="1">
      <c r="A140" s="1399" t="s">
        <v>352</v>
      </c>
      <c r="B140" s="1399"/>
      <c r="C140" s="1399"/>
      <c r="D140" s="1399"/>
      <c r="E140" s="1399"/>
      <c r="F140" s="1399"/>
      <c r="G140" s="1399"/>
      <c r="H140" s="1399"/>
      <c r="I140" s="23"/>
      <c r="K140" s="20">
        <f>+J139/K139</f>
        <v>3.8062924145393509</v>
      </c>
      <c r="M140" s="20">
        <f>+L139/M139</f>
        <v>3.8799307799540785</v>
      </c>
      <c r="O140" s="20">
        <f>+N139/O139</f>
        <v>3.9257311454021009</v>
      </c>
      <c r="Q140" s="20">
        <f>+P139/Q139</f>
        <v>3.4404281561577594</v>
      </c>
      <c r="S140" s="20">
        <f>+R139/S139</f>
        <v>3.2513158883512423</v>
      </c>
    </row>
    <row r="141" spans="1:19" ht="26.25" customHeight="1">
      <c r="A141" s="1400" t="s">
        <v>250</v>
      </c>
      <c r="B141" s="1400"/>
      <c r="C141" s="1400"/>
      <c r="D141" s="1400"/>
      <c r="E141" s="1400"/>
      <c r="F141" s="1400"/>
      <c r="G141" s="1400"/>
      <c r="H141" s="1400"/>
      <c r="I141" s="23"/>
    </row>
    <row r="142" spans="1:19">
      <c r="A142" s="21" t="s">
        <v>251</v>
      </c>
      <c r="B142" s="17" t="s">
        <v>252</v>
      </c>
      <c r="C142" s="23"/>
      <c r="D142" s="23"/>
      <c r="E142" s="23"/>
      <c r="F142" s="23"/>
      <c r="G142" s="23"/>
      <c r="H142" s="23"/>
      <c r="I142" s="23"/>
    </row>
  </sheetData>
  <autoFilter ref="A3:C3"/>
  <mergeCells count="4">
    <mergeCell ref="A1:G1"/>
    <mergeCell ref="A2:H2"/>
    <mergeCell ref="A140:H140"/>
    <mergeCell ref="A141:H141"/>
  </mergeCells>
  <hyperlinks>
    <hyperlink ref="B142" r:id="rId1"/>
  </hyperlinks>
  <pageMargins left="0.7" right="0.7" top="0.75" bottom="0.75" header="0.3" footer="0.3"/>
  <pageSetup orientation="portrait" r:id="rId2"/>
  <headerFooter>
    <oddFooter>&amp;C&amp;"Courier New,Regular"&amp;P o f &amp;N</oddFooter>
  </headerFooter>
</worksheet>
</file>

<file path=xl/worksheets/sheet43.xml><?xml version="1.0" encoding="utf-8"?>
<worksheet xmlns="http://schemas.openxmlformats.org/spreadsheetml/2006/main" xmlns:r="http://schemas.openxmlformats.org/officeDocument/2006/relationships">
  <dimension ref="B2:F132"/>
  <sheetViews>
    <sheetView zoomScaleNormal="100" workbookViewId="0">
      <selection activeCell="H115" sqref="H115"/>
    </sheetView>
  </sheetViews>
  <sheetFormatPr defaultRowHeight="15.75"/>
  <cols>
    <col min="1" max="1" width="8.125" style="1" bestFit="1" customWidth="1"/>
    <col min="2" max="2" width="6.125" style="1" customWidth="1"/>
    <col min="3" max="3" width="11.25" style="1" customWidth="1"/>
    <col min="4" max="4" width="34.375" style="18" customWidth="1"/>
    <col min="5" max="5" width="9.25" style="18" customWidth="1"/>
    <col min="6" max="6" width="14.375" style="22" customWidth="1"/>
    <col min="7" max="16384" width="9" style="1"/>
  </cols>
  <sheetData>
    <row r="2" spans="2:6">
      <c r="B2" s="1">
        <v>1</v>
      </c>
      <c r="D2" s="18">
        <f>+B2+1</f>
        <v>2</v>
      </c>
      <c r="E2" s="18">
        <f>+D2+1</f>
        <v>3</v>
      </c>
      <c r="F2" s="22">
        <v>4</v>
      </c>
    </row>
    <row r="3" spans="2:6">
      <c r="B3" s="39"/>
      <c r="C3" s="39"/>
      <c r="D3" s="38"/>
      <c r="E3" s="43"/>
    </row>
    <row r="4" spans="2:6" ht="18.75">
      <c r="B4" s="2"/>
      <c r="C4" s="2"/>
      <c r="D4" s="3"/>
      <c r="E4" s="44"/>
    </row>
    <row r="5" spans="2:6">
      <c r="B5" s="4"/>
      <c r="C5" s="4"/>
      <c r="D5" s="5"/>
      <c r="E5" s="5"/>
    </row>
    <row r="6" spans="2:6">
      <c r="B6" s="6"/>
      <c r="C6" s="6"/>
      <c r="D6" s="7"/>
      <c r="E6" s="7"/>
    </row>
    <row r="7" spans="2:6">
      <c r="B7" s="8" t="s">
        <v>4</v>
      </c>
      <c r="C7" s="8"/>
      <c r="D7" s="9" t="s">
        <v>5</v>
      </c>
      <c r="E7" s="9"/>
      <c r="F7" s="110" t="s">
        <v>253</v>
      </c>
    </row>
    <row r="8" spans="2:6">
      <c r="B8" s="10" t="s">
        <v>8</v>
      </c>
      <c r="C8" s="11" t="s">
        <v>370</v>
      </c>
      <c r="D8" s="5" t="s">
        <v>9</v>
      </c>
      <c r="E8" s="5"/>
    </row>
    <row r="9" spans="2:6">
      <c r="B9" s="10" t="s">
        <v>10</v>
      </c>
      <c r="C9" s="34">
        <v>1</v>
      </c>
      <c r="D9" s="7" t="s">
        <v>11</v>
      </c>
      <c r="E9" s="45" t="s">
        <v>10</v>
      </c>
      <c r="F9" s="111" t="s">
        <v>272</v>
      </c>
    </row>
    <row r="10" spans="2:6">
      <c r="B10" s="11" t="s">
        <v>12</v>
      </c>
      <c r="C10" s="34">
        <v>3</v>
      </c>
      <c r="D10" s="7" t="s">
        <v>13</v>
      </c>
      <c r="E10" s="46" t="s">
        <v>12</v>
      </c>
      <c r="F10" s="111" t="s">
        <v>273</v>
      </c>
    </row>
    <row r="11" spans="2:6">
      <c r="B11" s="11" t="s">
        <v>14</v>
      </c>
      <c r="C11" s="34">
        <v>510</v>
      </c>
      <c r="D11" s="7" t="s">
        <v>15</v>
      </c>
      <c r="E11" s="46" t="s">
        <v>14</v>
      </c>
      <c r="F11" s="111" t="s">
        <v>276</v>
      </c>
    </row>
    <row r="12" spans="2:6">
      <c r="B12" s="11" t="s">
        <v>16</v>
      </c>
      <c r="C12" s="34">
        <v>5</v>
      </c>
      <c r="D12" s="7" t="s">
        <v>17</v>
      </c>
      <c r="E12" s="46" t="s">
        <v>16</v>
      </c>
      <c r="F12" s="111" t="s">
        <v>273</v>
      </c>
    </row>
    <row r="13" spans="2:6">
      <c r="B13" s="11" t="s">
        <v>18</v>
      </c>
      <c r="C13" s="34">
        <v>7</v>
      </c>
      <c r="D13" s="7" t="s">
        <v>19</v>
      </c>
      <c r="E13" s="46" t="s">
        <v>18</v>
      </c>
      <c r="F13" s="111" t="s">
        <v>275</v>
      </c>
    </row>
    <row r="14" spans="2:6">
      <c r="B14" s="11" t="s">
        <v>20</v>
      </c>
      <c r="C14" s="34">
        <v>9</v>
      </c>
      <c r="D14" s="7" t="s">
        <v>21</v>
      </c>
      <c r="E14" s="46" t="s">
        <v>20</v>
      </c>
      <c r="F14" s="111" t="s">
        <v>273</v>
      </c>
    </row>
    <row r="15" spans="2:6">
      <c r="B15" s="11" t="s">
        <v>22</v>
      </c>
      <c r="C15" s="34">
        <v>11</v>
      </c>
      <c r="D15" s="7" t="s">
        <v>23</v>
      </c>
      <c r="E15" s="46" t="s">
        <v>22</v>
      </c>
      <c r="F15" s="111" t="s">
        <v>273</v>
      </c>
    </row>
    <row r="16" spans="2:6">
      <c r="B16" s="11" t="s">
        <v>24</v>
      </c>
      <c r="C16" s="34">
        <v>13</v>
      </c>
      <c r="D16" s="7" t="s">
        <v>25</v>
      </c>
      <c r="E16" s="46" t="s">
        <v>24</v>
      </c>
      <c r="F16" s="111" t="s">
        <v>276</v>
      </c>
    </row>
    <row r="17" spans="2:6">
      <c r="B17" s="11" t="s">
        <v>26</v>
      </c>
      <c r="C17" s="34">
        <v>15</v>
      </c>
      <c r="D17" s="7" t="s">
        <v>1114</v>
      </c>
      <c r="E17" s="46" t="s">
        <v>26</v>
      </c>
      <c r="F17" s="111" t="s">
        <v>273</v>
      </c>
    </row>
    <row r="18" spans="2:6">
      <c r="B18" s="11" t="s">
        <v>27</v>
      </c>
      <c r="C18" s="34">
        <v>17</v>
      </c>
      <c r="D18" s="7" t="s">
        <v>28</v>
      </c>
      <c r="E18" s="46" t="s">
        <v>27</v>
      </c>
      <c r="F18" s="111" t="s">
        <v>273</v>
      </c>
    </row>
    <row r="19" spans="2:6">
      <c r="B19" s="11" t="s">
        <v>29</v>
      </c>
      <c r="C19" s="34">
        <v>19</v>
      </c>
      <c r="D19" s="7" t="s">
        <v>355</v>
      </c>
      <c r="E19" s="46" t="s">
        <v>29</v>
      </c>
      <c r="F19" s="111" t="s">
        <v>278</v>
      </c>
    </row>
    <row r="20" spans="2:6">
      <c r="B20" s="11" t="s">
        <v>31</v>
      </c>
      <c r="C20" s="34">
        <v>21</v>
      </c>
      <c r="D20" s="7" t="s">
        <v>32</v>
      </c>
      <c r="E20" s="46" t="s">
        <v>31</v>
      </c>
      <c r="F20" s="111" t="s">
        <v>273</v>
      </c>
    </row>
    <row r="21" spans="2:6">
      <c r="B21" s="11" t="s">
        <v>33</v>
      </c>
      <c r="C21" s="34">
        <v>23</v>
      </c>
      <c r="D21" s="7" t="s">
        <v>34</v>
      </c>
      <c r="E21" s="46" t="s">
        <v>33</v>
      </c>
      <c r="F21" s="111" t="s">
        <v>278</v>
      </c>
    </row>
    <row r="22" spans="2:6">
      <c r="B22" s="11" t="s">
        <v>35</v>
      </c>
      <c r="C22" s="34">
        <v>520</v>
      </c>
      <c r="D22" s="7" t="s">
        <v>36</v>
      </c>
      <c r="E22" s="46" t="s">
        <v>35</v>
      </c>
      <c r="F22" s="111" t="s">
        <v>272</v>
      </c>
    </row>
    <row r="23" spans="2:6">
      <c r="B23" s="11" t="s">
        <v>37</v>
      </c>
      <c r="C23" s="34">
        <v>25</v>
      </c>
      <c r="D23" s="7" t="s">
        <v>38</v>
      </c>
      <c r="E23" s="46" t="s">
        <v>37</v>
      </c>
      <c r="F23" s="111" t="s">
        <v>278</v>
      </c>
    </row>
    <row r="24" spans="2:6">
      <c r="B24" s="11" t="s">
        <v>39</v>
      </c>
      <c r="C24" s="34">
        <v>27</v>
      </c>
      <c r="D24" s="7" t="s">
        <v>40</v>
      </c>
      <c r="E24" s="46" t="s">
        <v>39</v>
      </c>
      <c r="F24" s="111" t="s">
        <v>275</v>
      </c>
    </row>
    <row r="25" spans="2:6">
      <c r="B25" s="11" t="s">
        <v>41</v>
      </c>
      <c r="C25" s="34">
        <v>29</v>
      </c>
      <c r="D25" s="7" t="s">
        <v>42</v>
      </c>
      <c r="E25" s="46" t="s">
        <v>41</v>
      </c>
      <c r="F25" s="111" t="s">
        <v>273</v>
      </c>
    </row>
    <row r="26" spans="2:6">
      <c r="B26" s="11" t="s">
        <v>43</v>
      </c>
      <c r="C26" s="34">
        <v>31</v>
      </c>
      <c r="D26" s="7" t="s">
        <v>44</v>
      </c>
      <c r="E26" s="46" t="s">
        <v>43</v>
      </c>
      <c r="F26" s="111" t="s">
        <v>275</v>
      </c>
    </row>
    <row r="27" spans="2:6">
      <c r="B27" s="11" t="s">
        <v>45</v>
      </c>
      <c r="C27" s="34">
        <v>33</v>
      </c>
      <c r="D27" s="7" t="s">
        <v>46</v>
      </c>
      <c r="E27" s="46" t="s">
        <v>45</v>
      </c>
      <c r="F27" s="111" t="s">
        <v>278</v>
      </c>
    </row>
    <row r="28" spans="2:6">
      <c r="B28" s="11" t="s">
        <v>47</v>
      </c>
      <c r="C28" s="34">
        <v>35</v>
      </c>
      <c r="D28" s="7" t="s">
        <v>48</v>
      </c>
      <c r="E28" s="46" t="s">
        <v>47</v>
      </c>
      <c r="F28" s="111" t="s">
        <v>275</v>
      </c>
    </row>
    <row r="29" spans="2:6">
      <c r="B29" s="11" t="s">
        <v>49</v>
      </c>
      <c r="C29" s="34">
        <v>36</v>
      </c>
      <c r="D29" s="7" t="s">
        <v>279</v>
      </c>
      <c r="E29" s="46" t="s">
        <v>49</v>
      </c>
      <c r="F29" s="111" t="s">
        <v>273</v>
      </c>
    </row>
    <row r="30" spans="2:6">
      <c r="B30" s="11" t="s">
        <v>51</v>
      </c>
      <c r="C30" s="34">
        <v>37</v>
      </c>
      <c r="D30" s="7" t="s">
        <v>52</v>
      </c>
      <c r="E30" s="46" t="s">
        <v>51</v>
      </c>
      <c r="F30" s="111" t="s">
        <v>273</v>
      </c>
    </row>
    <row r="31" spans="2:6">
      <c r="B31" s="11" t="s">
        <v>53</v>
      </c>
      <c r="C31" s="34">
        <v>540</v>
      </c>
      <c r="D31" s="7" t="s">
        <v>54</v>
      </c>
      <c r="E31" s="46" t="s">
        <v>53</v>
      </c>
      <c r="F31" s="111" t="s">
        <v>272</v>
      </c>
    </row>
    <row r="32" spans="2:6">
      <c r="B32" s="11" t="s">
        <v>55</v>
      </c>
      <c r="C32" s="34">
        <v>550</v>
      </c>
      <c r="D32" s="7" t="s">
        <v>56</v>
      </c>
      <c r="E32" s="46" t="s">
        <v>55</v>
      </c>
      <c r="F32" s="111" t="s">
        <v>275</v>
      </c>
    </row>
    <row r="33" spans="2:6">
      <c r="B33" s="11" t="s">
        <v>57</v>
      </c>
      <c r="C33" s="34">
        <v>41</v>
      </c>
      <c r="D33" s="7" t="s">
        <v>58</v>
      </c>
      <c r="E33" s="46" t="s">
        <v>57</v>
      </c>
      <c r="F33" s="111" t="s">
        <v>276</v>
      </c>
    </row>
    <row r="34" spans="2:6">
      <c r="B34" s="11" t="s">
        <v>59</v>
      </c>
      <c r="C34" s="34">
        <v>43</v>
      </c>
      <c r="D34" s="7" t="s">
        <v>60</v>
      </c>
      <c r="E34" s="46" t="s">
        <v>59</v>
      </c>
      <c r="F34" s="111" t="s">
        <v>273</v>
      </c>
    </row>
    <row r="35" spans="2:6">
      <c r="B35" s="11" t="s">
        <v>61</v>
      </c>
      <c r="C35" s="34">
        <v>45</v>
      </c>
      <c r="D35" s="7" t="s">
        <v>62</v>
      </c>
      <c r="E35" s="46" t="s">
        <v>61</v>
      </c>
      <c r="F35" s="111" t="s">
        <v>276</v>
      </c>
    </row>
    <row r="36" spans="2:6">
      <c r="B36" s="11" t="s">
        <v>63</v>
      </c>
      <c r="C36" s="34">
        <v>47</v>
      </c>
      <c r="D36" s="7" t="s">
        <v>64</v>
      </c>
      <c r="E36" s="46" t="s">
        <v>63</v>
      </c>
      <c r="F36" s="111" t="s">
        <v>275</v>
      </c>
    </row>
    <row r="37" spans="2:6">
      <c r="B37" s="11" t="s">
        <v>65</v>
      </c>
      <c r="C37" s="34">
        <v>49</v>
      </c>
      <c r="D37" s="7" t="s">
        <v>66</v>
      </c>
      <c r="E37" s="46" t="s">
        <v>65</v>
      </c>
      <c r="F37" s="111" t="s">
        <v>273</v>
      </c>
    </row>
    <row r="38" spans="2:6">
      <c r="B38" s="11" t="s">
        <v>67</v>
      </c>
      <c r="C38" s="34">
        <v>590</v>
      </c>
      <c r="D38" s="7" t="s">
        <v>68</v>
      </c>
      <c r="E38" s="46" t="s">
        <v>67</v>
      </c>
      <c r="F38" s="111" t="s">
        <v>278</v>
      </c>
    </row>
    <row r="39" spans="2:6">
      <c r="B39" s="11" t="s">
        <v>69</v>
      </c>
      <c r="C39" s="34">
        <v>51</v>
      </c>
      <c r="D39" s="7" t="s">
        <v>70</v>
      </c>
      <c r="E39" s="46" t="s">
        <v>69</v>
      </c>
      <c r="F39" s="111" t="s">
        <v>272</v>
      </c>
    </row>
    <row r="40" spans="2:6">
      <c r="B40" s="11" t="s">
        <v>71</v>
      </c>
      <c r="C40" s="34">
        <v>53</v>
      </c>
      <c r="D40" s="7" t="s">
        <v>72</v>
      </c>
      <c r="E40" s="46" t="s">
        <v>71</v>
      </c>
      <c r="F40" s="111" t="s">
        <v>275</v>
      </c>
    </row>
    <row r="41" spans="2:6">
      <c r="B41" s="11" t="s">
        <v>73</v>
      </c>
      <c r="C41" s="34">
        <v>57</v>
      </c>
      <c r="D41" s="7" t="s">
        <v>74</v>
      </c>
      <c r="E41" s="46" t="s">
        <v>73</v>
      </c>
      <c r="F41" s="111" t="s">
        <v>276</v>
      </c>
    </row>
    <row r="42" spans="2:6" ht="27">
      <c r="B42" s="11" t="s">
        <v>75</v>
      </c>
      <c r="C42" s="34">
        <v>59</v>
      </c>
      <c r="D42" s="7" t="s">
        <v>969</v>
      </c>
      <c r="E42" s="46" t="s">
        <v>75</v>
      </c>
      <c r="F42" s="111" t="s">
        <v>276</v>
      </c>
    </row>
    <row r="43" spans="2:6">
      <c r="B43" s="11" t="s">
        <v>77</v>
      </c>
      <c r="C43" s="34">
        <v>61</v>
      </c>
      <c r="D43" s="7" t="s">
        <v>78</v>
      </c>
      <c r="E43" s="46" t="s">
        <v>77</v>
      </c>
      <c r="F43" s="111" t="s">
        <v>278</v>
      </c>
    </row>
    <row r="44" spans="2:6">
      <c r="B44" s="11" t="s">
        <v>79</v>
      </c>
      <c r="C44" s="34">
        <v>63</v>
      </c>
      <c r="D44" s="7" t="s">
        <v>80</v>
      </c>
      <c r="E44" s="46" t="s">
        <v>79</v>
      </c>
      <c r="F44" s="111" t="s">
        <v>275</v>
      </c>
    </row>
    <row r="45" spans="2:6">
      <c r="B45" s="11" t="s">
        <v>81</v>
      </c>
      <c r="C45" s="34">
        <v>65</v>
      </c>
      <c r="D45" s="7" t="s">
        <v>82</v>
      </c>
      <c r="E45" s="46" t="s">
        <v>81</v>
      </c>
      <c r="F45" s="111" t="s">
        <v>272</v>
      </c>
    </row>
    <row r="46" spans="2:6">
      <c r="B46" s="11" t="s">
        <v>83</v>
      </c>
      <c r="C46" s="34">
        <v>620</v>
      </c>
      <c r="D46" s="7" t="s">
        <v>84</v>
      </c>
      <c r="E46" s="46" t="s">
        <v>83</v>
      </c>
      <c r="F46" s="111" t="s">
        <v>273</v>
      </c>
    </row>
    <row r="47" spans="2:6">
      <c r="B47" s="11" t="s">
        <v>85</v>
      </c>
      <c r="C47" s="34">
        <v>67</v>
      </c>
      <c r="D47" s="7" t="s">
        <v>86</v>
      </c>
      <c r="E47" s="46" t="s">
        <v>85</v>
      </c>
      <c r="F47" s="111" t="s">
        <v>276</v>
      </c>
    </row>
    <row r="48" spans="2:6">
      <c r="B48" s="11" t="s">
        <v>87</v>
      </c>
      <c r="C48" s="34">
        <v>69</v>
      </c>
      <c r="D48" s="7" t="s">
        <v>88</v>
      </c>
      <c r="E48" s="46" t="s">
        <v>87</v>
      </c>
      <c r="F48" s="111" t="s">
        <v>276</v>
      </c>
    </row>
    <row r="49" spans="2:6">
      <c r="B49" s="11" t="s">
        <v>89</v>
      </c>
      <c r="C49" s="34">
        <v>630</v>
      </c>
      <c r="D49" s="7" t="s">
        <v>90</v>
      </c>
      <c r="E49" s="46" t="s">
        <v>89</v>
      </c>
      <c r="F49" s="111" t="s">
        <v>278</v>
      </c>
    </row>
    <row r="50" spans="2:6">
      <c r="B50" s="11" t="s">
        <v>91</v>
      </c>
      <c r="C50" s="34">
        <v>640</v>
      </c>
      <c r="D50" s="7" t="s">
        <v>92</v>
      </c>
      <c r="E50" s="46" t="s">
        <v>91</v>
      </c>
      <c r="F50" s="111" t="s">
        <v>278</v>
      </c>
    </row>
    <row r="51" spans="2:6">
      <c r="B51" s="11" t="s">
        <v>93</v>
      </c>
      <c r="C51" s="34">
        <v>71</v>
      </c>
      <c r="D51" s="7" t="s">
        <v>94</v>
      </c>
      <c r="E51" s="46" t="s">
        <v>93</v>
      </c>
      <c r="F51" s="111" t="s">
        <v>272</v>
      </c>
    </row>
    <row r="52" spans="2:6">
      <c r="B52" s="11" t="s">
        <v>95</v>
      </c>
      <c r="C52" s="34">
        <v>73</v>
      </c>
      <c r="D52" s="7" t="s">
        <v>96</v>
      </c>
      <c r="E52" s="46" t="s">
        <v>95</v>
      </c>
      <c r="F52" s="111" t="s">
        <v>275</v>
      </c>
    </row>
    <row r="53" spans="2:6">
      <c r="B53" s="11" t="s">
        <v>97</v>
      </c>
      <c r="C53" s="34">
        <v>75</v>
      </c>
      <c r="D53" s="7" t="s">
        <v>98</v>
      </c>
      <c r="E53" s="46" t="s">
        <v>97</v>
      </c>
      <c r="F53" s="111" t="s">
        <v>278</v>
      </c>
    </row>
    <row r="54" spans="2:6">
      <c r="B54" s="11" t="s">
        <v>99</v>
      </c>
      <c r="C54" s="34">
        <v>77</v>
      </c>
      <c r="D54" s="7" t="s">
        <v>100</v>
      </c>
      <c r="E54" s="46" t="s">
        <v>99</v>
      </c>
      <c r="F54" s="111" t="s">
        <v>276</v>
      </c>
    </row>
    <row r="55" spans="2:6">
      <c r="B55" s="11" t="s">
        <v>101</v>
      </c>
      <c r="C55" s="34">
        <v>79</v>
      </c>
      <c r="D55" s="7" t="s">
        <v>102</v>
      </c>
      <c r="E55" s="46" t="s">
        <v>101</v>
      </c>
      <c r="F55" s="111" t="s">
        <v>272</v>
      </c>
    </row>
    <row r="56" spans="2:6">
      <c r="B56" s="11" t="s">
        <v>103</v>
      </c>
      <c r="C56" s="34">
        <v>81</v>
      </c>
      <c r="D56" s="7" t="s">
        <v>104</v>
      </c>
      <c r="E56" s="46" t="s">
        <v>103</v>
      </c>
      <c r="F56" s="111" t="s">
        <v>273</v>
      </c>
    </row>
    <row r="57" spans="2:6">
      <c r="B57" s="11" t="s">
        <v>105</v>
      </c>
      <c r="C57" s="34">
        <v>83</v>
      </c>
      <c r="D57" s="7" t="s">
        <v>106</v>
      </c>
      <c r="E57" s="46" t="s">
        <v>105</v>
      </c>
      <c r="F57" s="111" t="s">
        <v>272</v>
      </c>
    </row>
    <row r="58" spans="2:6">
      <c r="B58" s="11" t="s">
        <v>107</v>
      </c>
      <c r="C58" s="34">
        <v>650</v>
      </c>
      <c r="D58" s="7" t="s">
        <v>108</v>
      </c>
      <c r="E58" s="46" t="s">
        <v>107</v>
      </c>
      <c r="F58" s="111" t="s">
        <v>275</v>
      </c>
    </row>
    <row r="59" spans="2:6">
      <c r="B59" s="11" t="s">
        <v>109</v>
      </c>
      <c r="C59" s="34">
        <v>85</v>
      </c>
      <c r="D59" s="7" t="s">
        <v>110</v>
      </c>
      <c r="E59" s="46" t="s">
        <v>109</v>
      </c>
      <c r="F59" s="111" t="s">
        <v>276</v>
      </c>
    </row>
    <row r="60" spans="2:6">
      <c r="B60" s="11" t="s">
        <v>111</v>
      </c>
      <c r="C60" s="34">
        <v>87</v>
      </c>
      <c r="D60" s="7" t="s">
        <v>112</v>
      </c>
      <c r="E60" s="46" t="s">
        <v>111</v>
      </c>
      <c r="F60" s="111" t="s">
        <v>275</v>
      </c>
    </row>
    <row r="61" spans="2:6">
      <c r="B61" s="11" t="s">
        <v>113</v>
      </c>
      <c r="C61" s="34">
        <v>89</v>
      </c>
      <c r="D61" s="7" t="s">
        <v>114</v>
      </c>
      <c r="E61" s="46" t="s">
        <v>113</v>
      </c>
      <c r="F61" s="111" t="s">
        <v>273</v>
      </c>
    </row>
    <row r="62" spans="2:6">
      <c r="B62" s="11" t="s">
        <v>115</v>
      </c>
      <c r="C62" s="34">
        <v>91</v>
      </c>
      <c r="D62" s="7" t="s">
        <v>116</v>
      </c>
      <c r="E62" s="46" t="s">
        <v>115</v>
      </c>
      <c r="F62" s="111" t="s">
        <v>273</v>
      </c>
    </row>
    <row r="63" spans="2:6">
      <c r="B63" s="11" t="s">
        <v>117</v>
      </c>
      <c r="C63" s="34">
        <v>670</v>
      </c>
      <c r="D63" s="7" t="s">
        <v>118</v>
      </c>
      <c r="E63" s="46" t="s">
        <v>117</v>
      </c>
      <c r="F63" s="111" t="s">
        <v>275</v>
      </c>
    </row>
    <row r="64" spans="2:6">
      <c r="B64" s="11" t="s">
        <v>119</v>
      </c>
      <c r="C64" s="34">
        <v>93</v>
      </c>
      <c r="D64" s="7" t="s">
        <v>120</v>
      </c>
      <c r="E64" s="46" t="s">
        <v>119</v>
      </c>
      <c r="F64" s="111" t="s">
        <v>272</v>
      </c>
    </row>
    <row r="65" spans="2:6">
      <c r="B65" s="11" t="s">
        <v>121</v>
      </c>
      <c r="C65" s="34">
        <v>95</v>
      </c>
      <c r="D65" s="7" t="s">
        <v>122</v>
      </c>
      <c r="E65" s="46" t="s">
        <v>121</v>
      </c>
      <c r="F65" s="111" t="s">
        <v>272</v>
      </c>
    </row>
    <row r="66" spans="2:6">
      <c r="B66" s="11" t="s">
        <v>123</v>
      </c>
      <c r="C66" s="34">
        <v>97</v>
      </c>
      <c r="D66" s="7" t="s">
        <v>124</v>
      </c>
      <c r="E66" s="46" t="s">
        <v>123</v>
      </c>
      <c r="F66" s="111" t="s">
        <v>275</v>
      </c>
    </row>
    <row r="67" spans="2:6">
      <c r="B67" s="11" t="s">
        <v>125</v>
      </c>
      <c r="C67" s="34">
        <v>99</v>
      </c>
      <c r="D67" s="7" t="s">
        <v>126</v>
      </c>
      <c r="E67" s="46" t="s">
        <v>125</v>
      </c>
      <c r="F67" s="111" t="s">
        <v>276</v>
      </c>
    </row>
    <row r="68" spans="2:6">
      <c r="B68" s="11" t="s">
        <v>127</v>
      </c>
      <c r="C68" s="34">
        <v>101</v>
      </c>
      <c r="D68" s="7" t="s">
        <v>128</v>
      </c>
      <c r="E68" s="46" t="s">
        <v>127</v>
      </c>
      <c r="F68" s="111" t="s">
        <v>275</v>
      </c>
    </row>
    <row r="69" spans="2:6">
      <c r="B69" s="11" t="s">
        <v>129</v>
      </c>
      <c r="C69" s="34">
        <v>103</v>
      </c>
      <c r="D69" s="7" t="s">
        <v>130</v>
      </c>
      <c r="E69" s="46" t="s">
        <v>129</v>
      </c>
      <c r="F69" s="111" t="s">
        <v>275</v>
      </c>
    </row>
    <row r="70" spans="2:6">
      <c r="B70" s="11" t="s">
        <v>131</v>
      </c>
      <c r="C70" s="34">
        <v>105</v>
      </c>
      <c r="D70" s="7" t="s">
        <v>132</v>
      </c>
      <c r="E70" s="46" t="s">
        <v>131</v>
      </c>
      <c r="F70" s="111" t="s">
        <v>278</v>
      </c>
    </row>
    <row r="71" spans="2:6">
      <c r="B71" s="11" t="s">
        <v>133</v>
      </c>
      <c r="C71" s="34">
        <v>107</v>
      </c>
      <c r="D71" s="7" t="s">
        <v>134</v>
      </c>
      <c r="E71" s="46" t="s">
        <v>133</v>
      </c>
      <c r="F71" s="111" t="s">
        <v>276</v>
      </c>
    </row>
    <row r="72" spans="2:6">
      <c r="B72" s="11" t="s">
        <v>135</v>
      </c>
      <c r="C72" s="34">
        <v>109</v>
      </c>
      <c r="D72" s="7" t="s">
        <v>136</v>
      </c>
      <c r="E72" s="46" t="s">
        <v>135</v>
      </c>
      <c r="F72" s="111" t="s">
        <v>276</v>
      </c>
    </row>
    <row r="73" spans="2:6">
      <c r="B73" s="11" t="s">
        <v>137</v>
      </c>
      <c r="C73" s="34">
        <v>111</v>
      </c>
      <c r="D73" s="7" t="s">
        <v>138</v>
      </c>
      <c r="E73" s="46" t="s">
        <v>137</v>
      </c>
      <c r="F73" s="111" t="s">
        <v>275</v>
      </c>
    </row>
    <row r="74" spans="2:6">
      <c r="B74" s="11" t="s">
        <v>139</v>
      </c>
      <c r="C74" s="34">
        <v>680</v>
      </c>
      <c r="D74" s="7" t="s">
        <v>140</v>
      </c>
      <c r="E74" s="46" t="s">
        <v>139</v>
      </c>
      <c r="F74" s="111" t="s">
        <v>273</v>
      </c>
    </row>
    <row r="75" spans="2:6">
      <c r="B75" s="11" t="s">
        <v>141</v>
      </c>
      <c r="C75" s="34">
        <v>113</v>
      </c>
      <c r="D75" s="7" t="s">
        <v>142</v>
      </c>
      <c r="E75" s="46" t="s">
        <v>141</v>
      </c>
      <c r="F75" s="111" t="s">
        <v>276</v>
      </c>
    </row>
    <row r="76" spans="2:6">
      <c r="B76" s="11" t="s">
        <v>143</v>
      </c>
      <c r="C76" s="34">
        <v>683</v>
      </c>
      <c r="D76" s="7" t="s">
        <v>144</v>
      </c>
      <c r="E76" s="46" t="s">
        <v>143</v>
      </c>
      <c r="F76" s="111" t="s">
        <v>276</v>
      </c>
    </row>
    <row r="77" spans="2:6">
      <c r="B77" s="11" t="s">
        <v>145</v>
      </c>
      <c r="C77" s="34">
        <v>685</v>
      </c>
      <c r="D77" s="7" t="s">
        <v>146</v>
      </c>
      <c r="E77" s="46" t="s">
        <v>145</v>
      </c>
      <c r="F77" s="111" t="s">
        <v>276</v>
      </c>
    </row>
    <row r="78" spans="2:6">
      <c r="B78" s="11" t="s">
        <v>147</v>
      </c>
      <c r="C78" s="34">
        <v>115</v>
      </c>
      <c r="D78" s="7" t="s">
        <v>148</v>
      </c>
      <c r="E78" s="46" t="s">
        <v>147</v>
      </c>
      <c r="F78" s="111" t="s">
        <v>272</v>
      </c>
    </row>
    <row r="79" spans="2:6">
      <c r="B79" s="11" t="s">
        <v>149</v>
      </c>
      <c r="C79" s="34">
        <v>117</v>
      </c>
      <c r="D79" s="7" t="s">
        <v>150</v>
      </c>
      <c r="E79" s="46" t="s">
        <v>149</v>
      </c>
      <c r="F79" s="111" t="s">
        <v>273</v>
      </c>
    </row>
    <row r="80" spans="2:6">
      <c r="B80" s="11" t="s">
        <v>151</v>
      </c>
      <c r="C80" s="34">
        <v>119</v>
      </c>
      <c r="D80" s="7" t="s">
        <v>152</v>
      </c>
      <c r="E80" s="46" t="s">
        <v>151</v>
      </c>
      <c r="F80" s="111" t="s">
        <v>275</v>
      </c>
    </row>
    <row r="81" spans="2:6">
      <c r="B81" s="11" t="s">
        <v>153</v>
      </c>
      <c r="C81" s="34">
        <v>121</v>
      </c>
      <c r="D81" s="7" t="s">
        <v>154</v>
      </c>
      <c r="E81" s="46" t="s">
        <v>153</v>
      </c>
      <c r="F81" s="111" t="s">
        <v>278</v>
      </c>
    </row>
    <row r="82" spans="2:6">
      <c r="B82" s="11" t="s">
        <v>155</v>
      </c>
      <c r="C82" s="34">
        <v>125</v>
      </c>
      <c r="D82" s="7" t="s">
        <v>156</v>
      </c>
      <c r="E82" s="46" t="s">
        <v>155</v>
      </c>
      <c r="F82" s="111" t="s">
        <v>273</v>
      </c>
    </row>
    <row r="83" spans="2:6">
      <c r="B83" s="11" t="s">
        <v>157</v>
      </c>
      <c r="C83" s="34">
        <v>127</v>
      </c>
      <c r="D83" s="7" t="s">
        <v>158</v>
      </c>
      <c r="E83" s="46" t="s">
        <v>157</v>
      </c>
      <c r="F83" s="111" t="s">
        <v>275</v>
      </c>
    </row>
    <row r="84" spans="2:6">
      <c r="B84" s="19" t="s">
        <v>159</v>
      </c>
      <c r="C84" s="35">
        <v>700</v>
      </c>
      <c r="D84" s="7" t="s">
        <v>160</v>
      </c>
      <c r="E84" s="35" t="s">
        <v>159</v>
      </c>
      <c r="F84" s="111" t="s">
        <v>272</v>
      </c>
    </row>
    <row r="85" spans="2:6">
      <c r="B85" s="11" t="s">
        <v>161</v>
      </c>
      <c r="C85" s="34">
        <v>710</v>
      </c>
      <c r="D85" s="7" t="s">
        <v>162</v>
      </c>
      <c r="E85" s="46" t="s">
        <v>161</v>
      </c>
      <c r="F85" s="111" t="s">
        <v>272</v>
      </c>
    </row>
    <row r="86" spans="2:6">
      <c r="B86" s="11" t="s">
        <v>163</v>
      </c>
      <c r="C86" s="34">
        <v>131</v>
      </c>
      <c r="D86" s="7" t="s">
        <v>164</v>
      </c>
      <c r="E86" s="46" t="s">
        <v>163</v>
      </c>
      <c r="F86" s="111" t="s">
        <v>272</v>
      </c>
    </row>
    <row r="87" spans="2:6">
      <c r="B87" s="11" t="s">
        <v>165</v>
      </c>
      <c r="C87" s="34">
        <v>133</v>
      </c>
      <c r="D87" s="7" t="s">
        <v>166</v>
      </c>
      <c r="E87" s="46" t="s">
        <v>165</v>
      </c>
      <c r="F87" s="111" t="s">
        <v>275</v>
      </c>
    </row>
    <row r="88" spans="2:6">
      <c r="B88" s="11" t="s">
        <v>167</v>
      </c>
      <c r="C88" s="34">
        <v>720</v>
      </c>
      <c r="D88" s="7" t="s">
        <v>168</v>
      </c>
      <c r="E88" s="46" t="s">
        <v>167</v>
      </c>
      <c r="F88" s="111" t="s">
        <v>278</v>
      </c>
    </row>
    <row r="89" spans="2:6">
      <c r="B89" s="11" t="s">
        <v>169</v>
      </c>
      <c r="C89" s="34">
        <v>135</v>
      </c>
      <c r="D89" s="7" t="s">
        <v>170</v>
      </c>
      <c r="E89" s="46" t="s">
        <v>169</v>
      </c>
      <c r="F89" s="111" t="s">
        <v>275</v>
      </c>
    </row>
    <row r="90" spans="2:6">
      <c r="B90" s="11" t="s">
        <v>171</v>
      </c>
      <c r="C90" s="34">
        <v>137</v>
      </c>
      <c r="D90" s="7" t="s">
        <v>172</v>
      </c>
      <c r="E90" s="46" t="s">
        <v>171</v>
      </c>
      <c r="F90" s="111" t="s">
        <v>276</v>
      </c>
    </row>
    <row r="91" spans="2:6">
      <c r="B91" s="11" t="s">
        <v>173</v>
      </c>
      <c r="C91" s="34">
        <v>139</v>
      </c>
      <c r="D91" s="7" t="s">
        <v>174</v>
      </c>
      <c r="E91" s="46" t="s">
        <v>173</v>
      </c>
      <c r="F91" s="111" t="s">
        <v>276</v>
      </c>
    </row>
    <row r="92" spans="2:6">
      <c r="B92" s="11" t="s">
        <v>175</v>
      </c>
      <c r="C92" s="34">
        <v>141</v>
      </c>
      <c r="D92" s="7" t="s">
        <v>176</v>
      </c>
      <c r="E92" s="46" t="s">
        <v>175</v>
      </c>
      <c r="F92" s="111" t="s">
        <v>278</v>
      </c>
    </row>
    <row r="93" spans="2:6">
      <c r="B93" s="11" t="s">
        <v>177</v>
      </c>
      <c r="C93" s="34">
        <v>730</v>
      </c>
      <c r="D93" s="7" t="s">
        <v>178</v>
      </c>
      <c r="E93" s="46" t="s">
        <v>177</v>
      </c>
      <c r="F93" s="111" t="s">
        <v>275</v>
      </c>
    </row>
    <row r="94" spans="2:6">
      <c r="B94" s="11" t="s">
        <v>179</v>
      </c>
      <c r="C94" s="34">
        <v>143</v>
      </c>
      <c r="D94" s="7" t="s">
        <v>180</v>
      </c>
      <c r="E94" s="46" t="s">
        <v>179</v>
      </c>
      <c r="F94" s="111" t="s">
        <v>273</v>
      </c>
    </row>
    <row r="95" spans="2:6">
      <c r="B95" s="11" t="s">
        <v>181</v>
      </c>
      <c r="C95" s="34">
        <v>740</v>
      </c>
      <c r="D95" s="7" t="s">
        <v>182</v>
      </c>
      <c r="E95" s="46" t="s">
        <v>181</v>
      </c>
      <c r="F95" s="111" t="s">
        <v>272</v>
      </c>
    </row>
    <row r="96" spans="2:6">
      <c r="B96" s="11" t="s">
        <v>183</v>
      </c>
      <c r="C96" s="34">
        <v>145</v>
      </c>
      <c r="D96" s="7" t="s">
        <v>184</v>
      </c>
      <c r="E96" s="46" t="s">
        <v>183</v>
      </c>
      <c r="F96" s="111" t="s">
        <v>275</v>
      </c>
    </row>
    <row r="97" spans="2:6">
      <c r="B97" s="11" t="s">
        <v>185</v>
      </c>
      <c r="C97" s="34">
        <v>147</v>
      </c>
      <c r="D97" s="7" t="s">
        <v>186</v>
      </c>
      <c r="E97" s="46" t="s">
        <v>185</v>
      </c>
      <c r="F97" s="111" t="s">
        <v>275</v>
      </c>
    </row>
    <row r="98" spans="2:6">
      <c r="B98" s="11" t="s">
        <v>187</v>
      </c>
      <c r="C98" s="34">
        <v>149</v>
      </c>
      <c r="D98" s="7" t="s">
        <v>188</v>
      </c>
      <c r="E98" s="46" t="s">
        <v>187</v>
      </c>
      <c r="F98" s="111" t="s">
        <v>272</v>
      </c>
    </row>
    <row r="99" spans="2:6">
      <c r="B99" s="11" t="s">
        <v>189</v>
      </c>
      <c r="C99" s="34">
        <v>153</v>
      </c>
      <c r="D99" s="7" t="s">
        <v>190</v>
      </c>
      <c r="E99" s="46" t="s">
        <v>189</v>
      </c>
      <c r="F99" s="111" t="s">
        <v>276</v>
      </c>
    </row>
    <row r="100" spans="2:6">
      <c r="B100" s="11" t="s">
        <v>191</v>
      </c>
      <c r="C100" s="34">
        <v>155</v>
      </c>
      <c r="D100" s="7" t="s">
        <v>192</v>
      </c>
      <c r="E100" s="46" t="s">
        <v>191</v>
      </c>
      <c r="F100" s="111" t="s">
        <v>278</v>
      </c>
    </row>
    <row r="101" spans="2:6">
      <c r="B101" s="11" t="s">
        <v>193</v>
      </c>
      <c r="C101" s="34">
        <v>750</v>
      </c>
      <c r="D101" s="7" t="s">
        <v>194</v>
      </c>
      <c r="E101" s="46" t="s">
        <v>193</v>
      </c>
      <c r="F101" s="111" t="s">
        <v>278</v>
      </c>
    </row>
    <row r="102" spans="2:6">
      <c r="B102" s="11" t="s">
        <v>195</v>
      </c>
      <c r="C102" s="34">
        <v>157</v>
      </c>
      <c r="D102" s="7" t="s">
        <v>196</v>
      </c>
      <c r="E102" s="46" t="s">
        <v>195</v>
      </c>
      <c r="F102" s="111" t="s">
        <v>276</v>
      </c>
    </row>
    <row r="103" spans="2:6">
      <c r="B103" s="11" t="s">
        <v>197</v>
      </c>
      <c r="C103" s="34">
        <v>760</v>
      </c>
      <c r="D103" s="7" t="s">
        <v>198</v>
      </c>
      <c r="E103" s="46" t="s">
        <v>197</v>
      </c>
      <c r="F103" s="111" t="s">
        <v>275</v>
      </c>
    </row>
    <row r="104" spans="2:6">
      <c r="B104" s="11" t="s">
        <v>199</v>
      </c>
      <c r="C104" s="34">
        <v>159</v>
      </c>
      <c r="D104" s="7" t="s">
        <v>285</v>
      </c>
      <c r="E104" s="46" t="s">
        <v>199</v>
      </c>
      <c r="F104" s="111" t="s">
        <v>275</v>
      </c>
    </row>
    <row r="105" spans="2:6">
      <c r="B105" s="11" t="s">
        <v>201</v>
      </c>
      <c r="C105" s="34">
        <v>770</v>
      </c>
      <c r="D105" s="7" t="s">
        <v>202</v>
      </c>
      <c r="E105" s="46" t="s">
        <v>201</v>
      </c>
      <c r="F105" s="111" t="s">
        <v>273</v>
      </c>
    </row>
    <row r="106" spans="2:6">
      <c r="B106" s="11" t="s">
        <v>203</v>
      </c>
      <c r="C106" s="34">
        <v>161</v>
      </c>
      <c r="D106" s="7" t="s">
        <v>204</v>
      </c>
      <c r="E106" s="46" t="s">
        <v>203</v>
      </c>
      <c r="F106" s="111" t="s">
        <v>273</v>
      </c>
    </row>
    <row r="107" spans="2:6" ht="27">
      <c r="B107" s="11" t="s">
        <v>205</v>
      </c>
      <c r="C107" s="34">
        <v>163</v>
      </c>
      <c r="D107" s="7" t="s">
        <v>206</v>
      </c>
      <c r="E107" s="46" t="s">
        <v>205</v>
      </c>
      <c r="F107" s="111" t="s">
        <v>273</v>
      </c>
    </row>
    <row r="108" spans="2:6">
      <c r="B108" s="11" t="s">
        <v>207</v>
      </c>
      <c r="C108" s="34">
        <v>165</v>
      </c>
      <c r="D108" s="7" t="s">
        <v>208</v>
      </c>
      <c r="E108" s="46" t="s">
        <v>207</v>
      </c>
      <c r="F108" s="111" t="s">
        <v>278</v>
      </c>
    </row>
    <row r="109" spans="2:6">
      <c r="B109" s="11" t="s">
        <v>209</v>
      </c>
      <c r="C109" s="34">
        <v>167</v>
      </c>
      <c r="D109" s="7" t="s">
        <v>210</v>
      </c>
      <c r="E109" s="46" t="s">
        <v>209</v>
      </c>
      <c r="F109" s="111" t="s">
        <v>278</v>
      </c>
    </row>
    <row r="110" spans="2:6">
      <c r="B110" s="11" t="s">
        <v>211</v>
      </c>
      <c r="C110" s="34">
        <v>169</v>
      </c>
      <c r="D110" s="7" t="s">
        <v>212</v>
      </c>
      <c r="E110" s="46" t="s">
        <v>211</v>
      </c>
      <c r="F110" s="111" t="s">
        <v>276</v>
      </c>
    </row>
    <row r="111" spans="2:6">
      <c r="B111" s="11" t="s">
        <v>213</v>
      </c>
      <c r="C111" s="34">
        <v>171</v>
      </c>
      <c r="D111" s="7" t="s">
        <v>214</v>
      </c>
      <c r="E111" s="46" t="s">
        <v>213</v>
      </c>
      <c r="F111" s="111" t="s">
        <v>273</v>
      </c>
    </row>
    <row r="112" spans="2:6">
      <c r="B112" s="11" t="s">
        <v>215</v>
      </c>
      <c r="C112" s="34">
        <v>173</v>
      </c>
      <c r="D112" s="7" t="s">
        <v>216</v>
      </c>
      <c r="E112" s="46" t="s">
        <v>215</v>
      </c>
      <c r="F112" s="111" t="s">
        <v>278</v>
      </c>
    </row>
    <row r="113" spans="2:6">
      <c r="B113" s="11" t="s">
        <v>217</v>
      </c>
      <c r="C113" s="34">
        <v>175</v>
      </c>
      <c r="D113" s="7" t="s">
        <v>218</v>
      </c>
      <c r="E113" s="46" t="s">
        <v>217</v>
      </c>
      <c r="F113" s="111" t="s">
        <v>272</v>
      </c>
    </row>
    <row r="114" spans="2:6">
      <c r="B114" s="11" t="s">
        <v>219</v>
      </c>
      <c r="C114" s="34">
        <v>177</v>
      </c>
      <c r="D114" s="7" t="s">
        <v>220</v>
      </c>
      <c r="E114" s="46" t="s">
        <v>219</v>
      </c>
      <c r="F114" s="111" t="s">
        <v>276</v>
      </c>
    </row>
    <row r="115" spans="2:6">
      <c r="B115" s="11" t="s">
        <v>221</v>
      </c>
      <c r="C115" s="34">
        <v>179</v>
      </c>
      <c r="D115" s="7" t="s">
        <v>222</v>
      </c>
      <c r="E115" s="46" t="s">
        <v>221</v>
      </c>
      <c r="F115" s="111" t="s">
        <v>276</v>
      </c>
    </row>
    <row r="116" spans="2:6">
      <c r="B116" s="11" t="s">
        <v>223</v>
      </c>
      <c r="C116" s="34">
        <v>800</v>
      </c>
      <c r="D116" s="7" t="s">
        <v>224</v>
      </c>
      <c r="E116" s="46" t="s">
        <v>223</v>
      </c>
      <c r="F116" s="111" t="s">
        <v>272</v>
      </c>
    </row>
    <row r="117" spans="2:6">
      <c r="B117" s="11" t="s">
        <v>225</v>
      </c>
      <c r="C117" s="34">
        <v>181</v>
      </c>
      <c r="D117" s="7" t="s">
        <v>226</v>
      </c>
      <c r="E117" s="46" t="s">
        <v>225</v>
      </c>
      <c r="F117" s="111" t="s">
        <v>272</v>
      </c>
    </row>
    <row r="118" spans="2:6">
      <c r="B118" s="11" t="s">
        <v>227</v>
      </c>
      <c r="C118" s="34">
        <v>183</v>
      </c>
      <c r="D118" s="7" t="s">
        <v>228</v>
      </c>
      <c r="E118" s="46" t="s">
        <v>227</v>
      </c>
      <c r="F118" s="111" t="s">
        <v>272</v>
      </c>
    </row>
    <row r="119" spans="2:6">
      <c r="B119" s="11" t="s">
        <v>229</v>
      </c>
      <c r="C119" s="34">
        <v>185</v>
      </c>
      <c r="D119" s="7" t="s">
        <v>230</v>
      </c>
      <c r="E119" s="46" t="s">
        <v>229</v>
      </c>
      <c r="F119" s="111" t="s">
        <v>278</v>
      </c>
    </row>
    <row r="120" spans="2:6">
      <c r="B120" s="11" t="s">
        <v>231</v>
      </c>
      <c r="C120" s="34">
        <v>810</v>
      </c>
      <c r="D120" s="7" t="s">
        <v>232</v>
      </c>
      <c r="E120" s="46" t="s">
        <v>231</v>
      </c>
      <c r="F120" s="111" t="s">
        <v>272</v>
      </c>
    </row>
    <row r="121" spans="2:6">
      <c r="B121" s="11" t="s">
        <v>233</v>
      </c>
      <c r="C121" s="34">
        <v>187</v>
      </c>
      <c r="D121" s="7" t="s">
        <v>234</v>
      </c>
      <c r="E121" s="46" t="s">
        <v>233</v>
      </c>
      <c r="F121" s="111" t="s">
        <v>276</v>
      </c>
    </row>
    <row r="122" spans="2:6">
      <c r="B122" s="11" t="s">
        <v>235</v>
      </c>
      <c r="C122" s="34">
        <v>191</v>
      </c>
      <c r="D122" s="7" t="s">
        <v>236</v>
      </c>
      <c r="E122" s="46" t="s">
        <v>235</v>
      </c>
      <c r="F122" s="111" t="s">
        <v>278</v>
      </c>
    </row>
    <row r="123" spans="2:6">
      <c r="B123" s="11" t="s">
        <v>237</v>
      </c>
      <c r="C123" s="34">
        <v>193</v>
      </c>
      <c r="D123" s="7" t="s">
        <v>238</v>
      </c>
      <c r="E123" s="46" t="s">
        <v>237</v>
      </c>
      <c r="F123" s="111" t="s">
        <v>275</v>
      </c>
    </row>
    <row r="124" spans="2:6">
      <c r="B124" s="11" t="s">
        <v>239</v>
      </c>
      <c r="C124" s="34">
        <v>830</v>
      </c>
      <c r="D124" s="7" t="s">
        <v>240</v>
      </c>
      <c r="E124" s="46" t="s">
        <v>239</v>
      </c>
      <c r="F124" s="111" t="s">
        <v>272</v>
      </c>
    </row>
    <row r="125" spans="2:6">
      <c r="B125" s="11" t="s">
        <v>241</v>
      </c>
      <c r="C125" s="34">
        <v>840</v>
      </c>
      <c r="D125" s="7" t="s">
        <v>242</v>
      </c>
      <c r="E125" s="46" t="s">
        <v>241</v>
      </c>
      <c r="F125" s="111" t="s">
        <v>276</v>
      </c>
    </row>
    <row r="126" spans="2:6">
      <c r="B126" s="11" t="s">
        <v>243</v>
      </c>
      <c r="C126" s="34">
        <v>195</v>
      </c>
      <c r="D126" s="7" t="s">
        <v>244</v>
      </c>
      <c r="E126" s="46" t="s">
        <v>243</v>
      </c>
      <c r="F126" s="111" t="s">
        <v>278</v>
      </c>
    </row>
    <row r="127" spans="2:6">
      <c r="B127" s="11" t="s">
        <v>245</v>
      </c>
      <c r="C127" s="34">
        <v>197</v>
      </c>
      <c r="D127" s="7" t="s">
        <v>246</v>
      </c>
      <c r="E127" s="46" t="s">
        <v>245</v>
      </c>
      <c r="F127" s="111" t="s">
        <v>278</v>
      </c>
    </row>
    <row r="128" spans="2:6">
      <c r="B128" s="12" t="s">
        <v>247</v>
      </c>
      <c r="C128" s="36">
        <v>199</v>
      </c>
      <c r="D128" s="13" t="s">
        <v>389</v>
      </c>
      <c r="E128" s="47" t="s">
        <v>247</v>
      </c>
      <c r="F128" s="111" t="s">
        <v>272</v>
      </c>
    </row>
    <row r="129" spans="2:5">
      <c r="B129" s="1401" t="s">
        <v>249</v>
      </c>
      <c r="C129" s="1401"/>
      <c r="D129" s="1401"/>
      <c r="E129" s="1401"/>
    </row>
    <row r="130" spans="2:5">
      <c r="B130" s="14"/>
      <c r="C130" s="14"/>
      <c r="D130" s="15"/>
      <c r="E130" s="15"/>
    </row>
    <row r="131" spans="2:5">
      <c r="B131" s="1402" t="s">
        <v>250</v>
      </c>
      <c r="C131" s="1402"/>
      <c r="D131" s="1402"/>
      <c r="E131" s="1402"/>
    </row>
    <row r="132" spans="2:5">
      <c r="B132" s="16" t="s">
        <v>251</v>
      </c>
      <c r="C132" s="16"/>
      <c r="D132" s="17" t="s">
        <v>252</v>
      </c>
      <c r="E132" s="48"/>
    </row>
  </sheetData>
  <mergeCells count="2">
    <mergeCell ref="B129:E129"/>
    <mergeCell ref="B131:E131"/>
  </mergeCells>
  <hyperlinks>
    <hyperlink ref="D132" r:id="rId1"/>
  </hyperlinks>
  <pageMargins left="1" right="1" top="1" bottom="1" header="0.3" footer="0.3"/>
  <pageSetup orientation="portrait" r:id="rId2"/>
  <headerFooter>
    <oddHeader>&amp;C&amp;"Courier New,Bold"&amp;12Percent of Population Receiving SNAP, Dec. 2010, by Race and Adults or Children</oddHeader>
    <oddFooter>&amp;C&amp;"Courier New,Regular"&amp;10&amp;P of &amp;N</oddFooter>
  </headerFooter>
</worksheet>
</file>

<file path=xl/worksheets/sheet44.xml><?xml version="1.0" encoding="utf-8"?>
<worksheet xmlns="http://schemas.openxmlformats.org/spreadsheetml/2006/main" xmlns:r="http://schemas.openxmlformats.org/officeDocument/2006/relationships">
  <dimension ref="A1:D2"/>
  <sheetViews>
    <sheetView workbookViewId="0">
      <selection activeCell="I23" sqref="I23"/>
    </sheetView>
  </sheetViews>
  <sheetFormatPr defaultRowHeight="15.75"/>
  <sheetData>
    <row r="1" spans="1:4">
      <c r="A1" t="s">
        <v>831</v>
      </c>
      <c r="D1" t="s">
        <v>832</v>
      </c>
    </row>
    <row r="2" spans="1:4">
      <c r="D2" t="s">
        <v>833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F133"/>
  <sheetViews>
    <sheetView workbookViewId="0">
      <pane ySplit="3" topLeftCell="A4" activePane="bottomLeft" state="frozen"/>
      <selection pane="bottomLeft" activeCell="H8" sqref="H8"/>
    </sheetView>
  </sheetViews>
  <sheetFormatPr defaultRowHeight="12.75"/>
  <cols>
    <col min="1" max="1" width="4.625" style="702" customWidth="1"/>
    <col min="2" max="2" width="35.125" style="695" customWidth="1"/>
    <col min="3" max="3" width="16" style="695" customWidth="1"/>
    <col min="4" max="4" width="12.25" style="654" customWidth="1"/>
    <col min="5" max="5" width="22.375" style="654" customWidth="1"/>
    <col min="6" max="6" width="18.25" style="654" customWidth="1"/>
    <col min="7" max="16384" width="9" style="654"/>
  </cols>
  <sheetData>
    <row r="1" spans="1:6" ht="15.75">
      <c r="A1" s="108" t="s">
        <v>1011</v>
      </c>
      <c r="B1" s="654"/>
      <c r="C1" s="654"/>
    </row>
    <row r="2" spans="1:6">
      <c r="A2" s="704"/>
      <c r="B2" s="704"/>
      <c r="C2" s="704"/>
    </row>
    <row r="3" spans="1:6">
      <c r="A3" s="704" t="s">
        <v>4</v>
      </c>
      <c r="B3" s="697" t="s">
        <v>879</v>
      </c>
      <c r="C3" s="697" t="s">
        <v>253</v>
      </c>
      <c r="D3" s="109" t="s">
        <v>954</v>
      </c>
      <c r="E3" s="109" t="s">
        <v>1012</v>
      </c>
    </row>
    <row r="4" spans="1:6" ht="15.75">
      <c r="A4" s="700" t="s">
        <v>10</v>
      </c>
      <c r="B4" s="695" t="s">
        <v>11</v>
      </c>
      <c r="C4" s="695" t="s">
        <v>272</v>
      </c>
      <c r="D4" s="654" t="s">
        <v>968</v>
      </c>
      <c r="F4" s="1131"/>
    </row>
    <row r="5" spans="1:6" ht="15.75">
      <c r="A5" s="700" t="s">
        <v>12</v>
      </c>
      <c r="B5" s="695" t="s">
        <v>13</v>
      </c>
      <c r="C5" s="695" t="s">
        <v>273</v>
      </c>
      <c r="D5" s="654" t="s">
        <v>955</v>
      </c>
      <c r="E5" s="654" t="s">
        <v>986</v>
      </c>
      <c r="F5" s="1131"/>
    </row>
    <row r="6" spans="1:6" ht="15.75">
      <c r="A6" s="700" t="s">
        <v>16</v>
      </c>
      <c r="B6" s="695" t="s">
        <v>364</v>
      </c>
      <c r="C6" s="695" t="s">
        <v>273</v>
      </c>
      <c r="D6" s="654" t="s">
        <v>968</v>
      </c>
      <c r="F6" s="1131"/>
    </row>
    <row r="7" spans="1:6" ht="15.75">
      <c r="A7" s="700" t="s">
        <v>18</v>
      </c>
      <c r="B7" s="695" t="s">
        <v>19</v>
      </c>
      <c r="C7" s="695" t="s">
        <v>275</v>
      </c>
      <c r="D7" s="654" t="s">
        <v>968</v>
      </c>
      <c r="F7" s="1131"/>
    </row>
    <row r="8" spans="1:6" ht="15.75">
      <c r="A8" s="700" t="s">
        <v>20</v>
      </c>
      <c r="B8" s="695" t="s">
        <v>21</v>
      </c>
      <c r="C8" s="695" t="s">
        <v>273</v>
      </c>
      <c r="D8" s="654" t="s">
        <v>968</v>
      </c>
      <c r="F8" s="1131"/>
    </row>
    <row r="9" spans="1:6" ht="15.75">
      <c r="A9" s="700" t="s">
        <v>22</v>
      </c>
      <c r="B9" s="695" t="s">
        <v>23</v>
      </c>
      <c r="C9" s="695" t="s">
        <v>273</v>
      </c>
      <c r="D9" s="654" t="s">
        <v>968</v>
      </c>
      <c r="F9" s="1131"/>
    </row>
    <row r="10" spans="1:6" ht="15.75">
      <c r="A10" s="700" t="s">
        <v>24</v>
      </c>
      <c r="B10" s="695" t="s">
        <v>25</v>
      </c>
      <c r="C10" s="695" t="s">
        <v>276</v>
      </c>
      <c r="D10" s="654" t="s">
        <v>955</v>
      </c>
      <c r="E10" s="654" t="s">
        <v>986</v>
      </c>
      <c r="F10" s="1131"/>
    </row>
    <row r="11" spans="1:6" ht="15.75">
      <c r="A11" s="700" t="s">
        <v>26</v>
      </c>
      <c r="B11" s="654" t="s">
        <v>1114</v>
      </c>
      <c r="C11" s="695" t="s">
        <v>273</v>
      </c>
      <c r="D11" s="654" t="s">
        <v>968</v>
      </c>
      <c r="F11" s="1131"/>
    </row>
    <row r="12" spans="1:6" ht="15.75">
      <c r="A12" s="700" t="s">
        <v>27</v>
      </c>
      <c r="B12" s="695" t="s">
        <v>28</v>
      </c>
      <c r="C12" s="695" t="s">
        <v>273</v>
      </c>
      <c r="D12" s="654" t="s">
        <v>968</v>
      </c>
      <c r="F12" s="1131"/>
    </row>
    <row r="13" spans="1:6" ht="15.75">
      <c r="A13" s="700" t="s">
        <v>29</v>
      </c>
      <c r="B13" s="695" t="s">
        <v>886</v>
      </c>
      <c r="C13" s="695" t="s">
        <v>273</v>
      </c>
      <c r="D13" s="654" t="s">
        <v>968</v>
      </c>
      <c r="F13" s="1131"/>
    </row>
    <row r="14" spans="1:6" ht="15.75">
      <c r="A14" s="700" t="s">
        <v>31</v>
      </c>
      <c r="B14" s="695" t="s">
        <v>32</v>
      </c>
      <c r="C14" s="695" t="s">
        <v>278</v>
      </c>
      <c r="D14" s="654" t="s">
        <v>968</v>
      </c>
      <c r="F14" s="1131"/>
    </row>
    <row r="15" spans="1:6" ht="15.75">
      <c r="A15" s="700" t="s">
        <v>33</v>
      </c>
      <c r="B15" s="695" t="s">
        <v>34</v>
      </c>
      <c r="C15" s="695" t="s">
        <v>273</v>
      </c>
      <c r="D15" s="654" t="s">
        <v>968</v>
      </c>
      <c r="F15" s="1131"/>
    </row>
    <row r="16" spans="1:6" ht="15.75">
      <c r="A16" s="700" t="s">
        <v>37</v>
      </c>
      <c r="B16" s="695" t="s">
        <v>38</v>
      </c>
      <c r="C16" s="695" t="s">
        <v>272</v>
      </c>
      <c r="D16" s="654" t="s">
        <v>968</v>
      </c>
      <c r="F16" s="1131"/>
    </row>
    <row r="17" spans="1:6" ht="15.75">
      <c r="A17" s="700" t="s">
        <v>39</v>
      </c>
      <c r="B17" s="695" t="s">
        <v>40</v>
      </c>
      <c r="C17" s="695" t="s">
        <v>278</v>
      </c>
      <c r="D17" s="654" t="s">
        <v>968</v>
      </c>
      <c r="F17" s="1131"/>
    </row>
    <row r="18" spans="1:6" ht="15.75">
      <c r="A18" s="700" t="s">
        <v>41</v>
      </c>
      <c r="B18" s="695" t="s">
        <v>42</v>
      </c>
      <c r="C18" s="695" t="s">
        <v>275</v>
      </c>
      <c r="D18" s="654" t="s">
        <v>968</v>
      </c>
      <c r="F18" s="1131"/>
    </row>
    <row r="19" spans="1:6" ht="15.75">
      <c r="A19" s="700" t="s">
        <v>43</v>
      </c>
      <c r="B19" s="695" t="s">
        <v>44</v>
      </c>
      <c r="C19" s="695" t="s">
        <v>273</v>
      </c>
      <c r="D19" s="654" t="s">
        <v>968</v>
      </c>
      <c r="F19" s="1131"/>
    </row>
    <row r="20" spans="1:6" ht="15.75">
      <c r="A20" s="700" t="s">
        <v>45</v>
      </c>
      <c r="B20" s="695" t="s">
        <v>46</v>
      </c>
      <c r="C20" s="695" t="s">
        <v>275</v>
      </c>
      <c r="D20" s="654" t="s">
        <v>968</v>
      </c>
      <c r="F20" s="1131"/>
    </row>
    <row r="21" spans="1:6" ht="15.75">
      <c r="A21" s="700" t="s">
        <v>47</v>
      </c>
      <c r="B21" s="695" t="s">
        <v>48</v>
      </c>
      <c r="C21" s="695" t="s">
        <v>278</v>
      </c>
      <c r="D21" s="654" t="s">
        <v>968</v>
      </c>
      <c r="F21" s="1131"/>
    </row>
    <row r="22" spans="1:6" ht="15.75">
      <c r="A22" s="700" t="s">
        <v>49</v>
      </c>
      <c r="B22" s="695" t="s">
        <v>279</v>
      </c>
      <c r="C22" s="695" t="s">
        <v>275</v>
      </c>
      <c r="D22" s="654" t="s">
        <v>968</v>
      </c>
      <c r="F22" s="1131"/>
    </row>
    <row r="23" spans="1:6" ht="15.75">
      <c r="A23" s="700" t="s">
        <v>51</v>
      </c>
      <c r="B23" s="695" t="s">
        <v>52</v>
      </c>
      <c r="C23" s="695" t="s">
        <v>273</v>
      </c>
      <c r="D23" s="654" t="s">
        <v>968</v>
      </c>
      <c r="F23" s="1131"/>
    </row>
    <row r="24" spans="1:6" ht="15.75">
      <c r="A24" s="700" t="s">
        <v>57</v>
      </c>
      <c r="B24" s="695" t="s">
        <v>362</v>
      </c>
      <c r="C24" s="695" t="s">
        <v>275</v>
      </c>
      <c r="D24" s="654" t="s">
        <v>968</v>
      </c>
      <c r="F24" s="1131"/>
    </row>
    <row r="25" spans="1:6" ht="15.75">
      <c r="A25" s="700" t="s">
        <v>59</v>
      </c>
      <c r="B25" s="695" t="s">
        <v>60</v>
      </c>
      <c r="C25" s="695" t="s">
        <v>276</v>
      </c>
      <c r="D25" s="654" t="s">
        <v>968</v>
      </c>
      <c r="F25" s="1131"/>
    </row>
    <row r="26" spans="1:6" ht="15.75">
      <c r="A26" s="700" t="s">
        <v>61</v>
      </c>
      <c r="B26" s="695" t="s">
        <v>62</v>
      </c>
      <c r="C26" s="695" t="s">
        <v>273</v>
      </c>
      <c r="D26" s="654" t="s">
        <v>968</v>
      </c>
      <c r="F26" s="1131"/>
    </row>
    <row r="27" spans="1:6" ht="15.75">
      <c r="A27" s="700" t="s">
        <v>63</v>
      </c>
      <c r="B27" s="695" t="s">
        <v>64</v>
      </c>
      <c r="C27" s="695" t="s">
        <v>276</v>
      </c>
      <c r="D27" s="654" t="s">
        <v>968</v>
      </c>
      <c r="F27" s="1131"/>
    </row>
    <row r="28" spans="1:6" ht="15.75">
      <c r="A28" s="700" t="s">
        <v>65</v>
      </c>
      <c r="B28" s="695" t="s">
        <v>66</v>
      </c>
      <c r="C28" s="695" t="s">
        <v>275</v>
      </c>
      <c r="D28" s="654" t="s">
        <v>968</v>
      </c>
      <c r="F28" s="1131"/>
    </row>
    <row r="29" spans="1:6" ht="15.75">
      <c r="A29" s="700" t="s">
        <v>69</v>
      </c>
      <c r="B29" s="695" t="s">
        <v>70</v>
      </c>
      <c r="C29" s="695" t="s">
        <v>278</v>
      </c>
      <c r="D29" s="654" t="s">
        <v>968</v>
      </c>
      <c r="F29" s="1131"/>
    </row>
    <row r="30" spans="1:6" ht="15.75">
      <c r="A30" s="700" t="s">
        <v>71</v>
      </c>
      <c r="B30" s="695" t="s">
        <v>72</v>
      </c>
      <c r="C30" s="695" t="s">
        <v>272</v>
      </c>
      <c r="D30" s="654" t="s">
        <v>968</v>
      </c>
      <c r="F30" s="1131"/>
    </row>
    <row r="31" spans="1:6" ht="15.75">
      <c r="A31" s="700" t="s">
        <v>73</v>
      </c>
      <c r="B31" s="695" t="s">
        <v>74</v>
      </c>
      <c r="C31" s="695" t="s">
        <v>275</v>
      </c>
      <c r="D31" s="654" t="s">
        <v>968</v>
      </c>
      <c r="F31" s="1131"/>
    </row>
    <row r="32" spans="1:6" ht="15.75">
      <c r="A32" s="700" t="s">
        <v>75</v>
      </c>
      <c r="B32" s="695" t="s">
        <v>956</v>
      </c>
      <c r="C32" s="695" t="s">
        <v>276</v>
      </c>
      <c r="D32" s="654" t="s">
        <v>955</v>
      </c>
      <c r="E32" s="654" t="s">
        <v>987</v>
      </c>
      <c r="F32" s="1131"/>
    </row>
    <row r="33" spans="1:6" ht="15.75">
      <c r="A33" s="700" t="s">
        <v>77</v>
      </c>
      <c r="B33" s="695" t="s">
        <v>78</v>
      </c>
      <c r="C33" s="695" t="s">
        <v>276</v>
      </c>
      <c r="D33" s="654" t="s">
        <v>968</v>
      </c>
      <c r="F33" s="1131"/>
    </row>
    <row r="34" spans="1:6" ht="15.75">
      <c r="A34" s="700" t="s">
        <v>79</v>
      </c>
      <c r="B34" s="695" t="s">
        <v>80</v>
      </c>
      <c r="C34" s="695" t="s">
        <v>278</v>
      </c>
      <c r="D34" s="654" t="s">
        <v>968</v>
      </c>
      <c r="F34" s="1131"/>
    </row>
    <row r="35" spans="1:6" ht="15.75">
      <c r="A35" s="700" t="s">
        <v>81</v>
      </c>
      <c r="B35" s="695" t="s">
        <v>82</v>
      </c>
      <c r="C35" s="695" t="s">
        <v>275</v>
      </c>
      <c r="D35" s="654" t="s">
        <v>968</v>
      </c>
      <c r="F35" s="1131"/>
    </row>
    <row r="36" spans="1:6" ht="15.75">
      <c r="A36" s="700" t="s">
        <v>85</v>
      </c>
      <c r="B36" s="695" t="s">
        <v>86</v>
      </c>
      <c r="C36" s="695" t="s">
        <v>273</v>
      </c>
      <c r="D36" s="654" t="s">
        <v>968</v>
      </c>
      <c r="F36" s="1131"/>
    </row>
    <row r="37" spans="1:6" ht="15.75">
      <c r="A37" s="700" t="s">
        <v>87</v>
      </c>
      <c r="B37" s="695" t="s">
        <v>88</v>
      </c>
      <c r="C37" s="695" t="s">
        <v>276</v>
      </c>
      <c r="D37" s="654" t="s">
        <v>968</v>
      </c>
      <c r="F37" s="1131"/>
    </row>
    <row r="38" spans="1:6" ht="15.75">
      <c r="A38" s="700" t="s">
        <v>93</v>
      </c>
      <c r="B38" s="695" t="s">
        <v>94</v>
      </c>
      <c r="C38" s="695" t="s">
        <v>278</v>
      </c>
      <c r="D38" s="654" t="s">
        <v>968</v>
      </c>
      <c r="F38" s="1131"/>
    </row>
    <row r="39" spans="1:6" ht="15.75">
      <c r="A39" s="700" t="s">
        <v>95</v>
      </c>
      <c r="B39" s="695" t="s">
        <v>96</v>
      </c>
      <c r="C39" s="695" t="s">
        <v>272</v>
      </c>
      <c r="D39" s="654" t="s">
        <v>968</v>
      </c>
      <c r="F39" s="1131"/>
    </row>
    <row r="40" spans="1:6" ht="15.75">
      <c r="A40" s="700" t="s">
        <v>97</v>
      </c>
      <c r="B40" s="695" t="s">
        <v>98</v>
      </c>
      <c r="C40" s="695" t="s">
        <v>275</v>
      </c>
      <c r="D40" s="654" t="s">
        <v>968</v>
      </c>
      <c r="F40" s="1131"/>
    </row>
    <row r="41" spans="1:6" ht="15.75">
      <c r="A41" s="700" t="s">
        <v>99</v>
      </c>
      <c r="B41" s="695" t="s">
        <v>100</v>
      </c>
      <c r="C41" s="695" t="s">
        <v>278</v>
      </c>
      <c r="D41" s="654" t="s">
        <v>968</v>
      </c>
      <c r="F41" s="1131"/>
    </row>
    <row r="42" spans="1:6" ht="15.75">
      <c r="A42" s="700" t="s">
        <v>101</v>
      </c>
      <c r="B42" s="695" t="s">
        <v>102</v>
      </c>
      <c r="C42" s="695" t="s">
        <v>276</v>
      </c>
      <c r="D42" s="654" t="s">
        <v>968</v>
      </c>
      <c r="F42" s="1131"/>
    </row>
    <row r="43" spans="1:6" ht="15.75">
      <c r="A43" s="700" t="s">
        <v>103</v>
      </c>
      <c r="B43" s="695" t="s">
        <v>329</v>
      </c>
      <c r="C43" s="695" t="s">
        <v>272</v>
      </c>
      <c r="D43" s="654" t="s">
        <v>968</v>
      </c>
      <c r="F43" s="1131"/>
    </row>
    <row r="44" spans="1:6" ht="15.75">
      <c r="A44" s="700" t="s">
        <v>105</v>
      </c>
      <c r="B44" s="695" t="s">
        <v>106</v>
      </c>
      <c r="C44" s="695" t="s">
        <v>273</v>
      </c>
      <c r="D44" s="654" t="s">
        <v>968</v>
      </c>
      <c r="F44" s="1131"/>
    </row>
    <row r="45" spans="1:6" ht="15.75">
      <c r="A45" s="700" t="s">
        <v>109</v>
      </c>
      <c r="B45" s="695" t="s">
        <v>110</v>
      </c>
      <c r="C45" s="695" t="s">
        <v>275</v>
      </c>
      <c r="D45" s="654" t="s">
        <v>955</v>
      </c>
      <c r="E45" s="654" t="s">
        <v>987</v>
      </c>
      <c r="F45" s="1131"/>
    </row>
    <row r="46" spans="1:6" ht="15.75">
      <c r="A46" s="700" t="s">
        <v>111</v>
      </c>
      <c r="B46" s="695" t="s">
        <v>112</v>
      </c>
      <c r="C46" s="695" t="s">
        <v>275</v>
      </c>
      <c r="D46" s="654" t="s">
        <v>955</v>
      </c>
      <c r="E46" s="654" t="s">
        <v>987</v>
      </c>
      <c r="F46" s="1131"/>
    </row>
    <row r="47" spans="1:6" ht="15.75">
      <c r="A47" s="700" t="s">
        <v>113</v>
      </c>
      <c r="B47" s="695" t="s">
        <v>367</v>
      </c>
      <c r="C47" s="695" t="s">
        <v>273</v>
      </c>
      <c r="D47" s="654" t="s">
        <v>968</v>
      </c>
      <c r="F47" s="1131"/>
    </row>
    <row r="48" spans="1:6" ht="15.75">
      <c r="A48" s="700" t="s">
        <v>115</v>
      </c>
      <c r="B48" s="695" t="s">
        <v>116</v>
      </c>
      <c r="C48" s="695" t="s">
        <v>273</v>
      </c>
      <c r="D48" s="654" t="s">
        <v>968</v>
      </c>
      <c r="F48" s="1131"/>
    </row>
    <row r="49" spans="1:6" ht="15.75">
      <c r="A49" s="700" t="s">
        <v>119</v>
      </c>
      <c r="B49" s="695" t="s">
        <v>283</v>
      </c>
      <c r="C49" s="695" t="s">
        <v>272</v>
      </c>
      <c r="D49" s="654" t="s">
        <v>968</v>
      </c>
      <c r="F49" s="1131"/>
    </row>
    <row r="50" spans="1:6" ht="15.75">
      <c r="A50" s="700" t="s">
        <v>121</v>
      </c>
      <c r="B50" s="695" t="s">
        <v>122</v>
      </c>
      <c r="C50" s="695" t="s">
        <v>272</v>
      </c>
      <c r="D50" s="654" t="s">
        <v>955</v>
      </c>
      <c r="E50" s="654" t="s">
        <v>986</v>
      </c>
      <c r="F50" s="1131"/>
    </row>
    <row r="51" spans="1:6" ht="15.75">
      <c r="A51" s="700" t="s">
        <v>123</v>
      </c>
      <c r="B51" s="695" t="s">
        <v>351</v>
      </c>
      <c r="C51" s="695" t="s">
        <v>275</v>
      </c>
      <c r="D51" s="654" t="s">
        <v>968</v>
      </c>
      <c r="F51" s="1131"/>
    </row>
    <row r="52" spans="1:6" ht="15.75">
      <c r="A52" s="700" t="s">
        <v>125</v>
      </c>
      <c r="B52" s="695" t="s">
        <v>126</v>
      </c>
      <c r="C52" s="695" t="s">
        <v>276</v>
      </c>
      <c r="D52" s="654" t="s">
        <v>968</v>
      </c>
      <c r="F52" s="1131"/>
    </row>
    <row r="53" spans="1:6" ht="15.75">
      <c r="A53" s="700" t="s">
        <v>127</v>
      </c>
      <c r="B53" s="695" t="s">
        <v>128</v>
      </c>
      <c r="C53" s="695" t="s">
        <v>275</v>
      </c>
      <c r="D53" s="654" t="s">
        <v>968</v>
      </c>
      <c r="F53" s="1131"/>
    </row>
    <row r="54" spans="1:6" ht="15.75">
      <c r="A54" s="700" t="s">
        <v>129</v>
      </c>
      <c r="B54" s="695" t="s">
        <v>130</v>
      </c>
      <c r="C54" s="695" t="s">
        <v>275</v>
      </c>
      <c r="D54" s="654" t="s">
        <v>968</v>
      </c>
      <c r="F54" s="1131"/>
    </row>
    <row r="55" spans="1:6" ht="15.75">
      <c r="A55" s="700" t="s">
        <v>131</v>
      </c>
      <c r="B55" s="695" t="s">
        <v>132</v>
      </c>
      <c r="C55" s="695" t="s">
        <v>278</v>
      </c>
      <c r="D55" s="654" t="s">
        <v>968</v>
      </c>
      <c r="F55" s="1131"/>
    </row>
    <row r="56" spans="1:6" ht="15.75">
      <c r="A56" s="700" t="s">
        <v>133</v>
      </c>
      <c r="B56" s="695" t="s">
        <v>134</v>
      </c>
      <c r="C56" s="695" t="s">
        <v>276</v>
      </c>
      <c r="D56" s="654" t="s">
        <v>955</v>
      </c>
      <c r="E56" s="654" t="s">
        <v>987</v>
      </c>
      <c r="F56" s="1131"/>
    </row>
    <row r="57" spans="1:6" ht="15.75">
      <c r="A57" s="700" t="s">
        <v>135</v>
      </c>
      <c r="B57" s="695" t="s">
        <v>136</v>
      </c>
      <c r="C57" s="695" t="s">
        <v>276</v>
      </c>
      <c r="D57" s="654" t="s">
        <v>955</v>
      </c>
      <c r="E57" s="654" t="s">
        <v>987</v>
      </c>
      <c r="F57" s="1131"/>
    </row>
    <row r="58" spans="1:6" ht="15.75">
      <c r="A58" s="700" t="s">
        <v>137</v>
      </c>
      <c r="B58" s="695" t="s">
        <v>138</v>
      </c>
      <c r="C58" s="695" t="s">
        <v>275</v>
      </c>
      <c r="D58" s="654" t="s">
        <v>955</v>
      </c>
      <c r="E58" s="654" t="s">
        <v>987</v>
      </c>
      <c r="F58" s="1131"/>
    </row>
    <row r="59" spans="1:6" ht="15.75">
      <c r="A59" s="700" t="s">
        <v>141</v>
      </c>
      <c r="B59" s="695" t="s">
        <v>142</v>
      </c>
      <c r="C59" s="695" t="s">
        <v>276</v>
      </c>
      <c r="D59" s="654" t="s">
        <v>968</v>
      </c>
      <c r="F59" s="1131"/>
    </row>
    <row r="60" spans="1:6" ht="15.75">
      <c r="A60" s="700" t="s">
        <v>147</v>
      </c>
      <c r="B60" s="695" t="s">
        <v>148</v>
      </c>
      <c r="C60" s="695" t="s">
        <v>272</v>
      </c>
      <c r="D60" s="654" t="s">
        <v>968</v>
      </c>
      <c r="F60" s="1131"/>
    </row>
    <row r="61" spans="1:6" ht="15.75">
      <c r="A61" s="700" t="s">
        <v>149</v>
      </c>
      <c r="B61" s="695" t="s">
        <v>150</v>
      </c>
      <c r="C61" s="695" t="s">
        <v>273</v>
      </c>
      <c r="D61" s="654" t="s">
        <v>968</v>
      </c>
      <c r="F61" s="1131"/>
    </row>
    <row r="62" spans="1:6" ht="15.75">
      <c r="A62" s="700" t="s">
        <v>151</v>
      </c>
      <c r="B62" s="695" t="s">
        <v>152</v>
      </c>
      <c r="C62" s="695" t="s">
        <v>275</v>
      </c>
      <c r="D62" s="654" t="s">
        <v>955</v>
      </c>
      <c r="E62" s="654" t="s">
        <v>987</v>
      </c>
      <c r="F62" s="1131"/>
    </row>
    <row r="63" spans="1:6" ht="15.75">
      <c r="A63" s="700" t="s">
        <v>153</v>
      </c>
      <c r="B63" s="695" t="s">
        <v>154</v>
      </c>
      <c r="C63" s="695" t="s">
        <v>278</v>
      </c>
      <c r="D63" s="654" t="s">
        <v>968</v>
      </c>
      <c r="F63" s="1131"/>
    </row>
    <row r="64" spans="1:6" ht="15.75">
      <c r="A64" s="700" t="s">
        <v>155</v>
      </c>
      <c r="B64" s="695" t="s">
        <v>156</v>
      </c>
      <c r="C64" s="695" t="s">
        <v>273</v>
      </c>
      <c r="D64" s="654" t="s">
        <v>968</v>
      </c>
      <c r="F64" s="1131"/>
    </row>
    <row r="65" spans="1:6" ht="15.75">
      <c r="A65" s="700" t="s">
        <v>157</v>
      </c>
      <c r="B65" s="695" t="s">
        <v>158</v>
      </c>
      <c r="C65" s="695" t="s">
        <v>275</v>
      </c>
      <c r="D65" s="654" t="s">
        <v>955</v>
      </c>
      <c r="E65" s="654" t="s">
        <v>987</v>
      </c>
      <c r="F65" s="1131"/>
    </row>
    <row r="66" spans="1:6" ht="15.75">
      <c r="A66" s="700" t="s">
        <v>163</v>
      </c>
      <c r="B66" s="695" t="s">
        <v>164</v>
      </c>
      <c r="C66" s="695" t="s">
        <v>272</v>
      </c>
      <c r="D66" s="654" t="s">
        <v>968</v>
      </c>
      <c r="F66" s="1131"/>
    </row>
    <row r="67" spans="1:6" ht="15.75">
      <c r="A67" s="700" t="s">
        <v>165</v>
      </c>
      <c r="B67" s="695" t="s">
        <v>166</v>
      </c>
      <c r="C67" s="695" t="s">
        <v>275</v>
      </c>
      <c r="D67" s="654" t="s">
        <v>968</v>
      </c>
      <c r="F67" s="1131"/>
    </row>
    <row r="68" spans="1:6" ht="15.75">
      <c r="A68" s="700" t="s">
        <v>169</v>
      </c>
      <c r="B68" s="695" t="s">
        <v>170</v>
      </c>
      <c r="C68" s="695" t="s">
        <v>275</v>
      </c>
      <c r="D68" s="654" t="s">
        <v>968</v>
      </c>
      <c r="F68" s="1131"/>
    </row>
    <row r="69" spans="1:6" ht="15.75">
      <c r="A69" s="700" t="s">
        <v>171</v>
      </c>
      <c r="B69" s="695" t="s">
        <v>172</v>
      </c>
      <c r="C69" s="695" t="s">
        <v>276</v>
      </c>
      <c r="D69" s="654" t="s">
        <v>968</v>
      </c>
      <c r="F69" s="1131"/>
    </row>
    <row r="70" spans="1:6" ht="15.75">
      <c r="A70" s="700" t="s">
        <v>173</v>
      </c>
      <c r="B70" s="695" t="s">
        <v>174</v>
      </c>
      <c r="C70" s="695" t="s">
        <v>276</v>
      </c>
      <c r="D70" s="654" t="s">
        <v>968</v>
      </c>
      <c r="F70" s="1131"/>
    </row>
    <row r="71" spans="1:6" ht="15.75">
      <c r="A71" s="700" t="s">
        <v>175</v>
      </c>
      <c r="B71" s="695" t="s">
        <v>176</v>
      </c>
      <c r="C71" s="695" t="s">
        <v>278</v>
      </c>
      <c r="D71" s="654" t="s">
        <v>968</v>
      </c>
      <c r="F71" s="1131"/>
    </row>
    <row r="72" spans="1:6" ht="15.75">
      <c r="A72" s="700" t="s">
        <v>179</v>
      </c>
      <c r="B72" s="695" t="s">
        <v>180</v>
      </c>
      <c r="C72" s="695" t="s">
        <v>273</v>
      </c>
      <c r="D72" s="654" t="s">
        <v>968</v>
      </c>
      <c r="F72" s="1131"/>
    </row>
    <row r="73" spans="1:6" ht="15.75">
      <c r="A73" s="700" t="s">
        <v>183</v>
      </c>
      <c r="B73" s="695" t="s">
        <v>184</v>
      </c>
      <c r="C73" s="695" t="s">
        <v>275</v>
      </c>
      <c r="D73" s="654" t="s">
        <v>968</v>
      </c>
      <c r="F73" s="1131"/>
    </row>
    <row r="74" spans="1:6" ht="15.75">
      <c r="A74" s="700" t="s">
        <v>185</v>
      </c>
      <c r="B74" s="695" t="s">
        <v>186</v>
      </c>
      <c r="C74" s="695" t="s">
        <v>275</v>
      </c>
      <c r="D74" s="654" t="s">
        <v>968</v>
      </c>
      <c r="F74" s="1131"/>
    </row>
    <row r="75" spans="1:6" ht="15.75">
      <c r="A75" s="700" t="s">
        <v>187</v>
      </c>
      <c r="B75" s="695" t="s">
        <v>188</v>
      </c>
      <c r="C75" s="695" t="s">
        <v>272</v>
      </c>
      <c r="D75" s="654" t="s">
        <v>955</v>
      </c>
      <c r="E75" s="654" t="s">
        <v>987</v>
      </c>
      <c r="F75" s="1131"/>
    </row>
    <row r="76" spans="1:6" ht="15.75">
      <c r="A76" s="700" t="s">
        <v>189</v>
      </c>
      <c r="B76" s="695" t="s">
        <v>190</v>
      </c>
      <c r="C76" s="695" t="s">
        <v>276</v>
      </c>
      <c r="D76" s="654" t="s">
        <v>968</v>
      </c>
      <c r="F76" s="1131"/>
    </row>
    <row r="77" spans="1:6" ht="15.75">
      <c r="A77" s="700" t="s">
        <v>191</v>
      </c>
      <c r="B77" s="695" t="s">
        <v>192</v>
      </c>
      <c r="C77" s="695" t="s">
        <v>278</v>
      </c>
      <c r="D77" s="654" t="s">
        <v>968</v>
      </c>
      <c r="F77" s="1131"/>
    </row>
    <row r="78" spans="1:6" ht="15.75">
      <c r="A78" s="700" t="s">
        <v>195</v>
      </c>
      <c r="B78" s="695" t="s">
        <v>196</v>
      </c>
      <c r="C78" s="695" t="s">
        <v>276</v>
      </c>
      <c r="D78" s="654" t="s">
        <v>968</v>
      </c>
      <c r="F78" s="1131"/>
    </row>
    <row r="79" spans="1:6" ht="15.75">
      <c r="A79" s="700" t="s">
        <v>199</v>
      </c>
      <c r="B79" s="695" t="s">
        <v>285</v>
      </c>
      <c r="C79" s="695" t="s">
        <v>275</v>
      </c>
      <c r="D79" s="654" t="s">
        <v>968</v>
      </c>
      <c r="F79" s="1131"/>
    </row>
    <row r="80" spans="1:6" ht="15.75">
      <c r="A80" s="700" t="s">
        <v>203</v>
      </c>
      <c r="B80" s="695" t="s">
        <v>887</v>
      </c>
      <c r="C80" s="695" t="s">
        <v>273</v>
      </c>
      <c r="D80" s="654" t="s">
        <v>955</v>
      </c>
      <c r="E80" s="654" t="s">
        <v>986</v>
      </c>
      <c r="F80" s="1131"/>
    </row>
    <row r="81" spans="1:6" ht="15.75">
      <c r="A81" s="700" t="s">
        <v>205</v>
      </c>
      <c r="B81" s="695" t="s">
        <v>359</v>
      </c>
      <c r="C81" s="695" t="s">
        <v>273</v>
      </c>
      <c r="D81" s="654" t="s">
        <v>968</v>
      </c>
      <c r="F81" s="1131"/>
    </row>
    <row r="82" spans="1:6" ht="15.75">
      <c r="A82" s="700" t="s">
        <v>207</v>
      </c>
      <c r="B82" s="695" t="s">
        <v>360</v>
      </c>
      <c r="C82" s="695" t="s">
        <v>276</v>
      </c>
      <c r="D82" s="654" t="s">
        <v>955</v>
      </c>
      <c r="E82" s="654" t="s">
        <v>1124</v>
      </c>
      <c r="F82" s="1131"/>
    </row>
    <row r="83" spans="1:6" ht="15.75">
      <c r="A83" s="700" t="s">
        <v>209</v>
      </c>
      <c r="B83" s="695" t="s">
        <v>210</v>
      </c>
      <c r="C83" s="695" t="s">
        <v>278</v>
      </c>
      <c r="D83" s="654" t="s">
        <v>968</v>
      </c>
      <c r="F83" s="1131"/>
    </row>
    <row r="84" spans="1:6" ht="15.75">
      <c r="A84" s="700" t="s">
        <v>211</v>
      </c>
      <c r="B84" s="695" t="s">
        <v>212</v>
      </c>
      <c r="C84" s="695" t="s">
        <v>278</v>
      </c>
      <c r="D84" s="654" t="s">
        <v>968</v>
      </c>
      <c r="F84" s="1131"/>
    </row>
    <row r="85" spans="1:6" ht="15.75">
      <c r="A85" s="700" t="s">
        <v>213</v>
      </c>
      <c r="B85" s="695" t="s">
        <v>743</v>
      </c>
      <c r="C85" s="695" t="s">
        <v>276</v>
      </c>
      <c r="D85" s="654" t="s">
        <v>968</v>
      </c>
      <c r="F85" s="1131"/>
    </row>
    <row r="86" spans="1:6" ht="15.75">
      <c r="A86" s="700" t="s">
        <v>215</v>
      </c>
      <c r="B86" s="695" t="s">
        <v>216</v>
      </c>
      <c r="C86" s="695" t="s">
        <v>278</v>
      </c>
      <c r="D86" s="654" t="s">
        <v>968</v>
      </c>
      <c r="F86" s="1131"/>
    </row>
    <row r="87" spans="1:6" ht="15.75">
      <c r="A87" s="700" t="s">
        <v>217</v>
      </c>
      <c r="B87" s="695" t="s">
        <v>218</v>
      </c>
      <c r="C87" s="695" t="s">
        <v>272</v>
      </c>
      <c r="D87" s="654" t="s">
        <v>968</v>
      </c>
      <c r="F87" s="1131"/>
    </row>
    <row r="88" spans="1:6" ht="15.75">
      <c r="A88" s="700" t="s">
        <v>219</v>
      </c>
      <c r="B88" s="695" t="s">
        <v>220</v>
      </c>
      <c r="C88" s="695" t="s">
        <v>276</v>
      </c>
      <c r="D88" s="654" t="s">
        <v>955</v>
      </c>
      <c r="E88" s="654" t="s">
        <v>987</v>
      </c>
      <c r="F88" s="1131"/>
    </row>
    <row r="89" spans="1:6" ht="15.75">
      <c r="A89" s="700" t="s">
        <v>221</v>
      </c>
      <c r="B89" s="695" t="s">
        <v>222</v>
      </c>
      <c r="C89" s="695" t="s">
        <v>276</v>
      </c>
      <c r="D89" s="654" t="s">
        <v>968</v>
      </c>
      <c r="F89" s="1131"/>
    </row>
    <row r="90" spans="1:6" ht="15.75">
      <c r="A90" s="700" t="s">
        <v>225</v>
      </c>
      <c r="B90" s="695" t="s">
        <v>226</v>
      </c>
      <c r="C90" s="695" t="s">
        <v>272</v>
      </c>
      <c r="D90" s="654" t="s">
        <v>968</v>
      </c>
      <c r="F90" s="1131"/>
    </row>
    <row r="91" spans="1:6" ht="15.75">
      <c r="A91" s="700" t="s">
        <v>227</v>
      </c>
      <c r="B91" s="695" t="s">
        <v>228</v>
      </c>
      <c r="C91" s="695" t="s">
        <v>272</v>
      </c>
      <c r="D91" s="654" t="s">
        <v>968</v>
      </c>
      <c r="F91" s="1131"/>
    </row>
    <row r="92" spans="1:6" ht="15.75">
      <c r="A92" s="700" t="s">
        <v>229</v>
      </c>
      <c r="B92" s="695" t="s">
        <v>230</v>
      </c>
      <c r="C92" s="695" t="s">
        <v>278</v>
      </c>
      <c r="D92" s="654" t="s">
        <v>968</v>
      </c>
      <c r="F92" s="1131"/>
    </row>
    <row r="93" spans="1:6" ht="15.75">
      <c r="A93" s="700" t="s">
        <v>233</v>
      </c>
      <c r="B93" s="695" t="s">
        <v>234</v>
      </c>
      <c r="C93" s="695" t="s">
        <v>276</v>
      </c>
      <c r="D93" s="654" t="s">
        <v>955</v>
      </c>
      <c r="E93" s="654" t="s">
        <v>987</v>
      </c>
      <c r="F93" s="1131"/>
    </row>
    <row r="94" spans="1:6" ht="15.75">
      <c r="A94" s="700" t="s">
        <v>235</v>
      </c>
      <c r="B94" s="695" t="s">
        <v>236</v>
      </c>
      <c r="C94" s="695" t="s">
        <v>278</v>
      </c>
      <c r="D94" s="654" t="s">
        <v>968</v>
      </c>
      <c r="F94" s="1131"/>
    </row>
    <row r="95" spans="1:6" ht="15.75">
      <c r="A95" s="700" t="s">
        <v>237</v>
      </c>
      <c r="B95" s="695" t="s">
        <v>238</v>
      </c>
      <c r="C95" s="695" t="s">
        <v>275</v>
      </c>
      <c r="D95" s="654" t="s">
        <v>968</v>
      </c>
      <c r="F95" s="1131"/>
    </row>
    <row r="96" spans="1:6" ht="15.75">
      <c r="A96" s="700" t="s">
        <v>243</v>
      </c>
      <c r="B96" s="695" t="s">
        <v>244</v>
      </c>
      <c r="C96" s="695" t="s">
        <v>278</v>
      </c>
      <c r="D96" s="654" t="s">
        <v>968</v>
      </c>
      <c r="F96" s="1131"/>
    </row>
    <row r="97" spans="1:6" ht="15.75">
      <c r="A97" s="700" t="s">
        <v>245</v>
      </c>
      <c r="B97" s="695" t="s">
        <v>246</v>
      </c>
      <c r="C97" s="695" t="s">
        <v>278</v>
      </c>
      <c r="D97" s="654" t="s">
        <v>968</v>
      </c>
      <c r="F97" s="1131"/>
    </row>
    <row r="98" spans="1:6" ht="15.75">
      <c r="A98" s="700" t="s">
        <v>247</v>
      </c>
      <c r="B98" s="695" t="s">
        <v>248</v>
      </c>
      <c r="C98" s="695" t="s">
        <v>272</v>
      </c>
      <c r="D98" s="654" t="s">
        <v>968</v>
      </c>
      <c r="F98" s="1131"/>
    </row>
    <row r="99" spans="1:6" ht="15.75">
      <c r="A99" s="700" t="s">
        <v>14</v>
      </c>
      <c r="B99" s="695" t="s">
        <v>15</v>
      </c>
      <c r="C99" s="695" t="s">
        <v>276</v>
      </c>
      <c r="D99" s="654" t="s">
        <v>955</v>
      </c>
      <c r="E99" s="654" t="s">
        <v>988</v>
      </c>
      <c r="F99" s="1131"/>
    </row>
    <row r="100" spans="1:6" ht="15.75">
      <c r="A100" s="700" t="s">
        <v>35</v>
      </c>
      <c r="B100" s="695" t="s">
        <v>36</v>
      </c>
      <c r="C100" s="695" t="s">
        <v>278</v>
      </c>
      <c r="D100" s="654" t="s">
        <v>968</v>
      </c>
      <c r="F100" s="1131"/>
    </row>
    <row r="101" spans="1:6" ht="15.75">
      <c r="A101" s="700" t="s">
        <v>53</v>
      </c>
      <c r="B101" s="695" t="s">
        <v>54</v>
      </c>
      <c r="C101" s="695" t="s">
        <v>273</v>
      </c>
      <c r="D101" s="654" t="s">
        <v>955</v>
      </c>
      <c r="E101" s="654" t="s">
        <v>986</v>
      </c>
      <c r="F101" s="1131"/>
    </row>
    <row r="102" spans="1:6" ht="15.75">
      <c r="A102" s="700" t="s">
        <v>55</v>
      </c>
      <c r="B102" s="695" t="s">
        <v>56</v>
      </c>
      <c r="C102" s="695" t="s">
        <v>272</v>
      </c>
      <c r="D102" s="654" t="s">
        <v>955</v>
      </c>
      <c r="E102" s="654" t="s">
        <v>988</v>
      </c>
      <c r="F102" s="1131"/>
    </row>
    <row r="103" spans="1:6" ht="15.75">
      <c r="A103" s="700" t="s">
        <v>67</v>
      </c>
      <c r="B103" s="695" t="s">
        <v>68</v>
      </c>
      <c r="C103" s="695" t="s">
        <v>273</v>
      </c>
      <c r="D103" s="654" t="s">
        <v>955</v>
      </c>
      <c r="E103" s="654" t="s">
        <v>986</v>
      </c>
      <c r="F103" s="1131"/>
    </row>
    <row r="104" spans="1:6" ht="15.75">
      <c r="A104" s="700" t="s">
        <v>83</v>
      </c>
      <c r="B104" s="695" t="s">
        <v>84</v>
      </c>
      <c r="C104" s="695" t="s">
        <v>272</v>
      </c>
      <c r="D104" s="654" t="s">
        <v>955</v>
      </c>
      <c r="E104" s="654" t="s">
        <v>988</v>
      </c>
      <c r="F104" s="1131"/>
    </row>
    <row r="105" spans="1:6" ht="15.75">
      <c r="A105" s="700" t="s">
        <v>89</v>
      </c>
      <c r="B105" s="695" t="s">
        <v>90</v>
      </c>
      <c r="C105" s="695" t="s">
        <v>276</v>
      </c>
      <c r="D105" s="654" t="s">
        <v>968</v>
      </c>
      <c r="F105" s="1131"/>
    </row>
    <row r="106" spans="1:6" ht="15.75">
      <c r="A106" s="700" t="s">
        <v>91</v>
      </c>
      <c r="B106" s="695" t="s">
        <v>92</v>
      </c>
      <c r="C106" s="695" t="s">
        <v>278</v>
      </c>
      <c r="D106" s="654" t="s">
        <v>955</v>
      </c>
      <c r="E106" s="654" t="s">
        <v>988</v>
      </c>
      <c r="F106" s="1131"/>
    </row>
    <row r="107" spans="1:6" ht="15.75">
      <c r="A107" s="700" t="s">
        <v>107</v>
      </c>
      <c r="B107" s="695" t="s">
        <v>108</v>
      </c>
      <c r="C107" s="695" t="s">
        <v>272</v>
      </c>
      <c r="D107" s="654" t="s">
        <v>955</v>
      </c>
      <c r="E107" s="654" t="s">
        <v>986</v>
      </c>
      <c r="F107" s="1131"/>
    </row>
    <row r="108" spans="1:6" ht="15.75">
      <c r="A108" s="700" t="s">
        <v>117</v>
      </c>
      <c r="B108" s="695" t="s">
        <v>118</v>
      </c>
      <c r="C108" s="695" t="s">
        <v>275</v>
      </c>
      <c r="D108" s="654" t="s">
        <v>955</v>
      </c>
      <c r="E108" s="654" t="s">
        <v>988</v>
      </c>
      <c r="F108" s="1131"/>
    </row>
    <row r="109" spans="1:6" ht="15.75">
      <c r="A109" s="700" t="s">
        <v>139</v>
      </c>
      <c r="B109" s="695" t="s">
        <v>140</v>
      </c>
      <c r="C109" s="695" t="s">
        <v>273</v>
      </c>
      <c r="D109" s="654" t="s">
        <v>955</v>
      </c>
      <c r="E109" s="654" t="s">
        <v>986</v>
      </c>
      <c r="F109" s="1131"/>
    </row>
    <row r="110" spans="1:6" ht="15.75">
      <c r="A110" s="700" t="s">
        <v>143</v>
      </c>
      <c r="B110" s="695" t="s">
        <v>144</v>
      </c>
      <c r="C110" s="695" t="s">
        <v>276</v>
      </c>
      <c r="D110" s="654" t="s">
        <v>955</v>
      </c>
      <c r="E110" s="654" t="s">
        <v>988</v>
      </c>
      <c r="F110" s="1131"/>
    </row>
    <row r="111" spans="1:6" ht="15.75">
      <c r="A111" s="700" t="s">
        <v>145</v>
      </c>
      <c r="B111" s="695" t="s">
        <v>146</v>
      </c>
      <c r="C111" s="695" t="s">
        <v>276</v>
      </c>
      <c r="D111" s="654" t="s">
        <v>955</v>
      </c>
      <c r="E111" s="654" t="s">
        <v>988</v>
      </c>
      <c r="F111" s="1131"/>
    </row>
    <row r="112" spans="1:6" ht="15.75">
      <c r="A112" s="700" t="s">
        <v>159</v>
      </c>
      <c r="B112" s="695" t="s">
        <v>160</v>
      </c>
      <c r="C112" s="695" t="s">
        <v>272</v>
      </c>
      <c r="D112" s="654" t="s">
        <v>955</v>
      </c>
      <c r="E112" s="654" t="s">
        <v>986</v>
      </c>
      <c r="F112" s="1131"/>
    </row>
    <row r="113" spans="1:6" ht="15.75">
      <c r="A113" s="700" t="s">
        <v>161</v>
      </c>
      <c r="B113" s="695" t="s">
        <v>162</v>
      </c>
      <c r="C113" s="695" t="s">
        <v>272</v>
      </c>
      <c r="D113" s="654" t="s">
        <v>955</v>
      </c>
      <c r="E113" s="654" t="s">
        <v>986</v>
      </c>
      <c r="F113" s="1131"/>
    </row>
    <row r="114" spans="1:6" ht="15.75">
      <c r="A114" s="700" t="s">
        <v>167</v>
      </c>
      <c r="B114" s="695" t="s">
        <v>168</v>
      </c>
      <c r="C114" s="695" t="s">
        <v>278</v>
      </c>
      <c r="D114" s="654" t="s">
        <v>955</v>
      </c>
      <c r="E114" s="654" t="s">
        <v>988</v>
      </c>
      <c r="F114" s="1131"/>
    </row>
    <row r="115" spans="1:6" ht="15.75">
      <c r="A115" s="700" t="s">
        <v>177</v>
      </c>
      <c r="B115" s="695" t="s">
        <v>178</v>
      </c>
      <c r="C115" s="695" t="s">
        <v>275</v>
      </c>
      <c r="D115" s="654" t="s">
        <v>955</v>
      </c>
      <c r="E115" s="654" t="s">
        <v>988</v>
      </c>
      <c r="F115" s="1131"/>
    </row>
    <row r="116" spans="1:6" ht="15.75">
      <c r="A116" s="700" t="s">
        <v>181</v>
      </c>
      <c r="B116" s="695" t="s">
        <v>182</v>
      </c>
      <c r="C116" s="695" t="s">
        <v>272</v>
      </c>
      <c r="D116" s="654" t="s">
        <v>955</v>
      </c>
      <c r="E116" s="654" t="s">
        <v>986</v>
      </c>
      <c r="F116" s="1131"/>
    </row>
    <row r="117" spans="1:6" ht="15.75">
      <c r="A117" s="700" t="s">
        <v>193</v>
      </c>
      <c r="B117" s="695" t="s">
        <v>194</v>
      </c>
      <c r="C117" s="695" t="s">
        <v>278</v>
      </c>
      <c r="D117" s="654" t="s">
        <v>968</v>
      </c>
      <c r="F117" s="1131"/>
    </row>
    <row r="118" spans="1:6" ht="15.75">
      <c r="A118" s="700" t="s">
        <v>197</v>
      </c>
      <c r="B118" s="695" t="s">
        <v>198</v>
      </c>
      <c r="C118" s="695" t="s">
        <v>275</v>
      </c>
      <c r="D118" s="654" t="s">
        <v>955</v>
      </c>
      <c r="E118" s="654" t="s">
        <v>986</v>
      </c>
      <c r="F118" s="1131"/>
    </row>
    <row r="119" spans="1:6" ht="15.75">
      <c r="A119" s="700" t="s">
        <v>201</v>
      </c>
      <c r="B119" s="695" t="s">
        <v>202</v>
      </c>
      <c r="C119" s="695" t="s">
        <v>273</v>
      </c>
      <c r="D119" s="654" t="s">
        <v>955</v>
      </c>
      <c r="E119" s="654" t="s">
        <v>986</v>
      </c>
      <c r="F119" s="1131"/>
    </row>
    <row r="120" spans="1:6" ht="15.75">
      <c r="A120" s="700" t="s">
        <v>223</v>
      </c>
      <c r="B120" s="695" t="s">
        <v>224</v>
      </c>
      <c r="C120" s="695" t="s">
        <v>272</v>
      </c>
      <c r="D120" s="654" t="s">
        <v>955</v>
      </c>
      <c r="E120" s="654" t="s">
        <v>986</v>
      </c>
      <c r="F120" s="1131"/>
    </row>
    <row r="121" spans="1:6" ht="15.75">
      <c r="A121" s="700" t="s">
        <v>231</v>
      </c>
      <c r="B121" s="695" t="s">
        <v>232</v>
      </c>
      <c r="C121" s="695" t="s">
        <v>272</v>
      </c>
      <c r="D121" s="654" t="s">
        <v>955</v>
      </c>
      <c r="E121" s="654" t="s">
        <v>986</v>
      </c>
      <c r="F121" s="1131"/>
    </row>
    <row r="122" spans="1:6" ht="15.75">
      <c r="A122" s="700" t="s">
        <v>239</v>
      </c>
      <c r="B122" s="695" t="s">
        <v>240</v>
      </c>
      <c r="C122" s="695" t="s">
        <v>272</v>
      </c>
      <c r="D122" s="654" t="s">
        <v>955</v>
      </c>
      <c r="E122" s="654" t="s">
        <v>986</v>
      </c>
      <c r="F122" s="1131"/>
    </row>
    <row r="123" spans="1:6" ht="15.75">
      <c r="A123" s="700" t="s">
        <v>241</v>
      </c>
      <c r="B123" s="695" t="s">
        <v>242</v>
      </c>
      <c r="C123" s="695" t="s">
        <v>276</v>
      </c>
      <c r="D123" s="654" t="s">
        <v>955</v>
      </c>
      <c r="E123" s="654" t="s">
        <v>988</v>
      </c>
      <c r="F123" s="1131"/>
    </row>
    <row r="125" spans="1:6">
      <c r="C125" s="692" t="s">
        <v>1014</v>
      </c>
      <c r="D125" s="654">
        <f>COUNTIF(D4:D123,"Administrative")</f>
        <v>82</v>
      </c>
    </row>
    <row r="126" spans="1:6">
      <c r="C126" s="692" t="s">
        <v>957</v>
      </c>
      <c r="D126" s="654">
        <f>COUNTIF(D3:D123,"Advisory")</f>
        <v>38</v>
      </c>
    </row>
    <row r="127" spans="1:6">
      <c r="C127" s="692"/>
    </row>
    <row r="128" spans="1:6">
      <c r="A128" s="705" t="s">
        <v>1013</v>
      </c>
      <c r="C128" s="699"/>
    </row>
    <row r="130" spans="1:2">
      <c r="A130" s="705" t="s">
        <v>1015</v>
      </c>
    </row>
    <row r="132" spans="1:2" s="519" customFormat="1">
      <c r="A132" s="519" t="s">
        <v>250</v>
      </c>
    </row>
    <row r="133" spans="1:2" s="519" customFormat="1">
      <c r="A133" s="536" t="s">
        <v>251</v>
      </c>
      <c r="B133" s="407" t="s">
        <v>252</v>
      </c>
    </row>
  </sheetData>
  <dataValidations count="1">
    <dataValidation type="list" allowBlank="1" showInputMessage="1" showErrorMessage="1" sqref="E4:F123">
      <formula1>$H$201:$H$205</formula1>
    </dataValidation>
  </dataValidations>
  <hyperlinks>
    <hyperlink ref="B133" r:id="rId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J135"/>
  <sheetViews>
    <sheetView workbookViewId="0">
      <pane xSplit="2" ySplit="6" topLeftCell="C7" activePane="bottomRight" state="frozen"/>
      <selection pane="topRight" activeCell="C1" sqref="C1"/>
      <selection pane="bottomLeft" activeCell="A6" sqref="A6"/>
      <selection pane="bottomRight" activeCell="D22" sqref="D22"/>
    </sheetView>
  </sheetViews>
  <sheetFormatPr defaultRowHeight="12.75"/>
  <cols>
    <col min="1" max="1" width="9" style="149"/>
    <col min="2" max="2" width="27.125" style="149" customWidth="1"/>
    <col min="3" max="3" width="19" style="149" customWidth="1"/>
    <col min="4" max="16" width="10.375" style="150" customWidth="1"/>
    <col min="17" max="17" width="3.375" style="149" customWidth="1"/>
    <col min="18" max="25" width="9" style="149"/>
    <col min="26" max="29" width="10.25" style="149" customWidth="1"/>
    <col min="30" max="30" width="9" style="149"/>
    <col min="31" max="33" width="10.125" style="149" bestFit="1" customWidth="1"/>
    <col min="34" max="16384" width="9" style="149"/>
  </cols>
  <sheetData>
    <row r="1" spans="1:36" ht="15.75">
      <c r="A1" s="517" t="s">
        <v>908</v>
      </c>
    </row>
    <row r="2" spans="1:36">
      <c r="A2" s="148"/>
    </row>
    <row r="3" spans="1:36">
      <c r="A3" s="148"/>
      <c r="D3" s="149"/>
      <c r="E3" s="149"/>
      <c r="F3" s="149"/>
      <c r="G3" s="149"/>
      <c r="H3" s="149"/>
      <c r="I3" s="149"/>
      <c r="J3" s="149"/>
      <c r="K3" s="149"/>
      <c r="L3" s="149"/>
      <c r="M3" s="149"/>
      <c r="N3" s="149"/>
      <c r="O3" s="149"/>
      <c r="P3" s="149"/>
    </row>
    <row r="4" spans="1:36">
      <c r="C4" s="151"/>
      <c r="D4" s="1305" t="s">
        <v>1040</v>
      </c>
      <c r="E4" s="1305"/>
      <c r="F4" s="1305"/>
      <c r="G4" s="1305"/>
      <c r="H4" s="1305" t="s">
        <v>1039</v>
      </c>
      <c r="I4" s="1305"/>
      <c r="J4" s="1305"/>
      <c r="K4" s="1305"/>
      <c r="L4" s="1302" t="s">
        <v>909</v>
      </c>
      <c r="M4" s="1303"/>
      <c r="N4" s="1303"/>
      <c r="O4" s="1304"/>
      <c r="P4" s="152"/>
      <c r="Q4" s="109"/>
      <c r="R4" s="1305" t="s">
        <v>6</v>
      </c>
      <c r="S4" s="1305"/>
      <c r="T4" s="1305"/>
      <c r="U4" s="1305"/>
      <c r="V4" s="1305" t="s">
        <v>7</v>
      </c>
      <c r="W4" s="1305"/>
      <c r="X4" s="1305"/>
      <c r="Y4" s="1305"/>
      <c r="Z4" s="1305" t="s">
        <v>909</v>
      </c>
      <c r="AA4" s="1305"/>
      <c r="AB4" s="1305"/>
      <c r="AC4" s="1305"/>
      <c r="AE4" s="1302" t="s">
        <v>910</v>
      </c>
      <c r="AF4" s="1303"/>
      <c r="AG4" s="1304"/>
      <c r="AH4" s="1303" t="s">
        <v>911</v>
      </c>
      <c r="AI4" s="1303"/>
      <c r="AJ4" s="1304"/>
    </row>
    <row r="5" spans="1:36" ht="25.5">
      <c r="A5" s="153" t="s">
        <v>4</v>
      </c>
      <c r="B5" s="154" t="s">
        <v>5</v>
      </c>
      <c r="C5" s="155" t="s">
        <v>253</v>
      </c>
      <c r="D5" s="152" t="s">
        <v>328</v>
      </c>
      <c r="E5" s="152" t="s">
        <v>2</v>
      </c>
      <c r="F5" s="152" t="s">
        <v>667</v>
      </c>
      <c r="G5" s="152" t="s">
        <v>668</v>
      </c>
      <c r="H5" s="152" t="s">
        <v>328</v>
      </c>
      <c r="I5" s="152" t="s">
        <v>2</v>
      </c>
      <c r="J5" s="152" t="s">
        <v>667</v>
      </c>
      <c r="K5" s="152" t="s">
        <v>668</v>
      </c>
      <c r="L5" s="152" t="s">
        <v>328</v>
      </c>
      <c r="M5" s="152" t="s">
        <v>2</v>
      </c>
      <c r="N5" s="152" t="s">
        <v>667</v>
      </c>
      <c r="O5" s="152" t="s">
        <v>668</v>
      </c>
      <c r="P5" s="156" t="s">
        <v>909</v>
      </c>
      <c r="Q5" s="109"/>
      <c r="R5" s="152" t="s">
        <v>328</v>
      </c>
      <c r="S5" s="152" t="s">
        <v>2</v>
      </c>
      <c r="T5" s="152" t="s">
        <v>667</v>
      </c>
      <c r="U5" s="152" t="s">
        <v>668</v>
      </c>
      <c r="V5" s="152" t="s">
        <v>328</v>
      </c>
      <c r="W5" s="152" t="s">
        <v>2</v>
      </c>
      <c r="X5" s="152" t="s">
        <v>667</v>
      </c>
      <c r="Y5" s="152" t="s">
        <v>668</v>
      </c>
      <c r="Z5" s="152" t="s">
        <v>328</v>
      </c>
      <c r="AA5" s="152" t="s">
        <v>2</v>
      </c>
      <c r="AB5" s="152" t="s">
        <v>667</v>
      </c>
      <c r="AC5" s="152" t="s">
        <v>668</v>
      </c>
      <c r="AE5" s="506" t="s">
        <v>7</v>
      </c>
      <c r="AF5" s="507" t="s">
        <v>6</v>
      </c>
      <c r="AG5" s="508" t="s">
        <v>328</v>
      </c>
      <c r="AH5" s="507" t="s">
        <v>7</v>
      </c>
      <c r="AI5" s="507" t="s">
        <v>6</v>
      </c>
      <c r="AJ5" s="508" t="s">
        <v>328</v>
      </c>
    </row>
    <row r="6" spans="1:36">
      <c r="A6" s="157">
        <v>999</v>
      </c>
      <c r="B6" s="158" t="s">
        <v>9</v>
      </c>
      <c r="C6" s="159"/>
      <c r="D6" s="160">
        <f>SUM(E6:G6)</f>
        <v>5917339</v>
      </c>
      <c r="E6" s="160">
        <v>4194069</v>
      </c>
      <c r="F6" s="160">
        <v>1096417</v>
      </c>
      <c r="G6" s="160">
        <v>626853</v>
      </c>
      <c r="H6" s="160">
        <f>SUM(I6:K6)</f>
        <v>2083685</v>
      </c>
      <c r="I6" s="160">
        <v>1292783</v>
      </c>
      <c r="J6" s="160">
        <v>454982</v>
      </c>
      <c r="K6" s="160">
        <v>335920</v>
      </c>
      <c r="L6" s="160">
        <f>H6+D6</f>
        <v>8001024</v>
      </c>
      <c r="M6" s="160">
        <f>I6+E6</f>
        <v>5486852</v>
      </c>
      <c r="N6" s="160">
        <f>J6+F6</f>
        <v>1551399</v>
      </c>
      <c r="O6" s="160">
        <f>K6+G6</f>
        <v>962773</v>
      </c>
      <c r="P6" s="160">
        <f>L6</f>
        <v>8001024</v>
      </c>
      <c r="R6" s="161">
        <f t="shared" ref="R6:R69" si="0">D6/P6</f>
        <v>0.73957270969315925</v>
      </c>
      <c r="S6" s="161">
        <f t="shared" ref="S6:S69" si="1">E6/D6</f>
        <v>0.70877619146038451</v>
      </c>
      <c r="T6" s="161">
        <f t="shared" ref="T6:T69" si="2">F6/D6</f>
        <v>0.18528886041512915</v>
      </c>
      <c r="U6" s="161">
        <f t="shared" ref="U6:U69" si="3">G6/D6</f>
        <v>0.10593494812448637</v>
      </c>
      <c r="V6" s="161">
        <f t="shared" ref="V6:V69" si="4">H6/P6</f>
        <v>0.2604272903068407</v>
      </c>
      <c r="W6" s="161">
        <f t="shared" ref="W6:W69" si="5">I6/H6</f>
        <v>0.62043111122842465</v>
      </c>
      <c r="X6" s="161">
        <f t="shared" ref="X6:X69" si="6">J6/H6</f>
        <v>0.2183545017601029</v>
      </c>
      <c r="Y6" s="161">
        <f t="shared" ref="Y6:Y69" si="7">K6/H6</f>
        <v>0.16121438701147248</v>
      </c>
      <c r="Z6" s="161">
        <f>L6/P6</f>
        <v>1</v>
      </c>
      <c r="AA6" s="161">
        <f>M6/P6</f>
        <v>0.68576872160363478</v>
      </c>
      <c r="AB6" s="161">
        <f>N6/P6</f>
        <v>0.19390005579285852</v>
      </c>
      <c r="AC6" s="161">
        <f>O6/P6</f>
        <v>0.12033122260350675</v>
      </c>
      <c r="AE6" s="509">
        <f>SUM(AE7:AE126)</f>
        <v>225748</v>
      </c>
      <c r="AF6" s="509">
        <f>SUM(AF7:AF126)</f>
        <v>406077</v>
      </c>
      <c r="AG6" s="509">
        <f>SUM(AG7:AG126)</f>
        <v>631825</v>
      </c>
      <c r="AH6" s="510">
        <f>AE6/H6</f>
        <v>0.10834075208104872</v>
      </c>
      <c r="AI6" s="510">
        <f>AF6/D6</f>
        <v>6.8624934282115663E-2</v>
      </c>
      <c r="AJ6" s="162">
        <f>AG6/P6</f>
        <v>7.8968017093811987E-2</v>
      </c>
    </row>
    <row r="7" spans="1:36" s="166" customFormat="1">
      <c r="A7" s="163" t="s">
        <v>10</v>
      </c>
      <c r="B7" s="530" t="s">
        <v>11</v>
      </c>
      <c r="C7" s="164" t="s">
        <v>272</v>
      </c>
      <c r="D7" s="165">
        <f t="shared" ref="D7:D70" si="8">SUM(E7:G7)</f>
        <v>25456</v>
      </c>
      <c r="E7" s="165">
        <v>17343</v>
      </c>
      <c r="F7" s="165">
        <v>6811</v>
      </c>
      <c r="G7" s="165">
        <v>1302</v>
      </c>
      <c r="H7" s="165">
        <f t="shared" ref="H7:H70" si="9">SUM(I7:K7)</f>
        <v>7708</v>
      </c>
      <c r="I7" s="165">
        <v>4319</v>
      </c>
      <c r="J7" s="165">
        <v>2492</v>
      </c>
      <c r="K7" s="165">
        <v>897</v>
      </c>
      <c r="L7" s="165">
        <f t="shared" ref="L7:O70" si="10">H7+D7</f>
        <v>33164</v>
      </c>
      <c r="M7" s="165">
        <f t="shared" si="10"/>
        <v>21662</v>
      </c>
      <c r="N7" s="165">
        <f t="shared" si="10"/>
        <v>9303</v>
      </c>
      <c r="O7" s="165">
        <f t="shared" si="10"/>
        <v>2199</v>
      </c>
      <c r="P7" s="165">
        <f t="shared" ref="P7:P70" si="11">L7</f>
        <v>33164</v>
      </c>
      <c r="R7" s="167">
        <f t="shared" si="0"/>
        <v>0.76757930285852127</v>
      </c>
      <c r="S7" s="167">
        <f t="shared" si="1"/>
        <v>0.68129321181646763</v>
      </c>
      <c r="T7" s="167">
        <f t="shared" si="2"/>
        <v>0.26755971087366437</v>
      </c>
      <c r="U7" s="167">
        <f t="shared" si="3"/>
        <v>5.1147077309868005E-2</v>
      </c>
      <c r="V7" s="167">
        <f t="shared" si="4"/>
        <v>0.2324206971414787</v>
      </c>
      <c r="W7" s="167">
        <f t="shared" si="5"/>
        <v>0.56032693305656456</v>
      </c>
      <c r="X7" s="167">
        <f t="shared" si="6"/>
        <v>0.32330046704722365</v>
      </c>
      <c r="Y7" s="167">
        <f t="shared" si="7"/>
        <v>0.11637259989621172</v>
      </c>
      <c r="Z7" s="173">
        <f t="shared" ref="Z7:Z70" si="12">L7/P7</f>
        <v>1</v>
      </c>
      <c r="AA7" s="173">
        <f t="shared" ref="AA7:AA70" si="13">M7/P7</f>
        <v>0.65317814497648052</v>
      </c>
      <c r="AB7" s="173">
        <f t="shared" ref="AB7:AB70" si="14">N7/P7</f>
        <v>0.28051501628271619</v>
      </c>
      <c r="AC7" s="173">
        <f t="shared" ref="AC7:AC70" si="15">O7/P7</f>
        <v>6.6306838740803287E-2</v>
      </c>
      <c r="AE7" s="425">
        <v>1203</v>
      </c>
      <c r="AF7" s="169">
        <v>1647</v>
      </c>
      <c r="AG7" s="424">
        <f>AE7+AF7</f>
        <v>2850</v>
      </c>
      <c r="AH7" s="168">
        <f t="shared" ref="AH7:AH70" si="16">AE7/H7</f>
        <v>0.15607161390762844</v>
      </c>
      <c r="AI7" s="168">
        <f t="shared" ref="AI7:AI70" si="17">AF7/D7</f>
        <v>6.4699874292897544E-2</v>
      </c>
      <c r="AJ7" s="426">
        <f t="shared" ref="AJ7:AJ70" si="18">AG7/P7</f>
        <v>8.5936557713182968E-2</v>
      </c>
    </row>
    <row r="8" spans="1:36" s="166" customFormat="1">
      <c r="A8" s="170" t="s">
        <v>12</v>
      </c>
      <c r="B8" s="532" t="s">
        <v>13</v>
      </c>
      <c r="C8" s="171" t="s">
        <v>273</v>
      </c>
      <c r="D8" s="172">
        <f t="shared" si="8"/>
        <v>72411</v>
      </c>
      <c r="E8" s="172">
        <v>59738</v>
      </c>
      <c r="F8" s="172">
        <v>6837</v>
      </c>
      <c r="G8" s="172">
        <v>5836</v>
      </c>
      <c r="H8" s="172">
        <f t="shared" si="9"/>
        <v>26559</v>
      </c>
      <c r="I8" s="172">
        <v>20000</v>
      </c>
      <c r="J8" s="172">
        <v>2763</v>
      </c>
      <c r="K8" s="172">
        <v>3796</v>
      </c>
      <c r="L8" s="172">
        <f t="shared" si="10"/>
        <v>98970</v>
      </c>
      <c r="M8" s="172">
        <f t="shared" si="10"/>
        <v>79738</v>
      </c>
      <c r="N8" s="172">
        <f t="shared" si="10"/>
        <v>9600</v>
      </c>
      <c r="O8" s="172">
        <f t="shared" si="10"/>
        <v>9632</v>
      </c>
      <c r="P8" s="172">
        <f t="shared" si="11"/>
        <v>98970</v>
      </c>
      <c r="R8" s="173">
        <f t="shared" si="0"/>
        <v>0.73164595331918758</v>
      </c>
      <c r="S8" s="173">
        <f t="shared" si="1"/>
        <v>0.82498515418928065</v>
      </c>
      <c r="T8" s="173">
        <f t="shared" si="2"/>
        <v>9.4419356175166752E-2</v>
      </c>
      <c r="U8" s="173">
        <f t="shared" si="3"/>
        <v>8.0595489635552603E-2</v>
      </c>
      <c r="V8" s="173">
        <f t="shared" si="4"/>
        <v>0.26835404668081236</v>
      </c>
      <c r="W8" s="173">
        <f t="shared" si="5"/>
        <v>0.75304040061749311</v>
      </c>
      <c r="X8" s="173">
        <f t="shared" si="6"/>
        <v>0.10403253134530667</v>
      </c>
      <c r="Y8" s="173">
        <f t="shared" si="7"/>
        <v>0.14292706803720021</v>
      </c>
      <c r="Z8" s="173">
        <f t="shared" si="12"/>
        <v>1</v>
      </c>
      <c r="AA8" s="173">
        <f t="shared" si="13"/>
        <v>0.80567848843083767</v>
      </c>
      <c r="AB8" s="173">
        <f t="shared" si="14"/>
        <v>9.6999090633525312E-2</v>
      </c>
      <c r="AC8" s="173">
        <f t="shared" si="15"/>
        <v>9.7322420935637061E-2</v>
      </c>
      <c r="AE8" s="425">
        <v>2053</v>
      </c>
      <c r="AF8" s="169">
        <v>3364</v>
      </c>
      <c r="AG8" s="424">
        <f t="shared" ref="AG8:AG71" si="19">AE8+AF8</f>
        <v>5417</v>
      </c>
      <c r="AH8" s="168">
        <f t="shared" si="16"/>
        <v>7.7299597123385674E-2</v>
      </c>
      <c r="AI8" s="168">
        <f t="shared" si="17"/>
        <v>4.6457030009252741E-2</v>
      </c>
      <c r="AJ8" s="426">
        <f t="shared" si="18"/>
        <v>5.4733757704354853E-2</v>
      </c>
    </row>
    <row r="9" spans="1:36" s="166" customFormat="1">
      <c r="A9" s="170" t="s">
        <v>16</v>
      </c>
      <c r="B9" s="532" t="s">
        <v>364</v>
      </c>
      <c r="C9" s="171" t="s">
        <v>273</v>
      </c>
      <c r="D9" s="172">
        <f t="shared" si="8"/>
        <v>17004</v>
      </c>
      <c r="E9" s="172">
        <v>15577</v>
      </c>
      <c r="F9" s="172">
        <v>1149</v>
      </c>
      <c r="G9" s="172">
        <v>278</v>
      </c>
      <c r="H9" s="172">
        <f t="shared" si="9"/>
        <v>5207</v>
      </c>
      <c r="I9" s="172">
        <v>4582</v>
      </c>
      <c r="J9" s="172">
        <v>358</v>
      </c>
      <c r="K9" s="172">
        <v>267</v>
      </c>
      <c r="L9" s="172">
        <f t="shared" si="10"/>
        <v>22211</v>
      </c>
      <c r="M9" s="172">
        <f t="shared" si="10"/>
        <v>20159</v>
      </c>
      <c r="N9" s="172">
        <f t="shared" si="10"/>
        <v>1507</v>
      </c>
      <c r="O9" s="172">
        <f t="shared" si="10"/>
        <v>545</v>
      </c>
      <c r="P9" s="172">
        <f t="shared" si="11"/>
        <v>22211</v>
      </c>
      <c r="R9" s="173">
        <f t="shared" si="0"/>
        <v>0.76556661113862501</v>
      </c>
      <c r="S9" s="173">
        <f t="shared" si="1"/>
        <v>0.91607856974829449</v>
      </c>
      <c r="T9" s="173">
        <f t="shared" si="2"/>
        <v>6.7572335920959778E-2</v>
      </c>
      <c r="U9" s="173">
        <f t="shared" si="3"/>
        <v>1.6349094330745707E-2</v>
      </c>
      <c r="V9" s="173">
        <f t="shared" si="4"/>
        <v>0.23443338886137499</v>
      </c>
      <c r="W9" s="173">
        <f t="shared" si="5"/>
        <v>0.87996927213366627</v>
      </c>
      <c r="X9" s="173">
        <f t="shared" si="6"/>
        <v>6.8753600921835994E-2</v>
      </c>
      <c r="Y9" s="173">
        <f t="shared" si="7"/>
        <v>5.1277126944497792E-2</v>
      </c>
      <c r="Z9" s="173">
        <f t="shared" si="12"/>
        <v>1</v>
      </c>
      <c r="AA9" s="173">
        <f t="shared" si="13"/>
        <v>0.90761334473909328</v>
      </c>
      <c r="AB9" s="173">
        <f t="shared" si="14"/>
        <v>6.7849263878258514E-2</v>
      </c>
      <c r="AC9" s="173">
        <f t="shared" si="15"/>
        <v>2.4537391382648238E-2</v>
      </c>
      <c r="AE9" s="425">
        <v>102</v>
      </c>
      <c r="AF9" s="169">
        <v>166</v>
      </c>
      <c r="AG9" s="424">
        <f t="shared" si="19"/>
        <v>268</v>
      </c>
      <c r="AH9" s="168">
        <f t="shared" si="16"/>
        <v>1.9589014787785672E-2</v>
      </c>
      <c r="AI9" s="168">
        <f t="shared" si="17"/>
        <v>9.7624088449776523E-3</v>
      </c>
      <c r="AJ9" s="426">
        <f t="shared" si="18"/>
        <v>1.2066093377155463E-2</v>
      </c>
    </row>
    <row r="10" spans="1:36" s="166" customFormat="1">
      <c r="A10" s="170" t="s">
        <v>18</v>
      </c>
      <c r="B10" s="532" t="s">
        <v>19</v>
      </c>
      <c r="C10" s="171" t="s">
        <v>275</v>
      </c>
      <c r="D10" s="172">
        <f t="shared" si="8"/>
        <v>9580</v>
      </c>
      <c r="E10" s="172">
        <v>7101</v>
      </c>
      <c r="F10" s="172">
        <v>2235</v>
      </c>
      <c r="G10" s="172">
        <v>244</v>
      </c>
      <c r="H10" s="172">
        <f t="shared" si="9"/>
        <v>3110</v>
      </c>
      <c r="I10" s="172">
        <v>2231</v>
      </c>
      <c r="J10" s="172">
        <v>697</v>
      </c>
      <c r="K10" s="172">
        <v>182</v>
      </c>
      <c r="L10" s="172">
        <f t="shared" si="10"/>
        <v>12690</v>
      </c>
      <c r="M10" s="172">
        <f t="shared" si="10"/>
        <v>9332</v>
      </c>
      <c r="N10" s="172">
        <f t="shared" si="10"/>
        <v>2932</v>
      </c>
      <c r="O10" s="172">
        <f t="shared" si="10"/>
        <v>426</v>
      </c>
      <c r="P10" s="172">
        <f t="shared" si="11"/>
        <v>12690</v>
      </c>
      <c r="R10" s="173">
        <f t="shared" si="0"/>
        <v>0.75492513790386129</v>
      </c>
      <c r="S10" s="173">
        <f t="shared" si="1"/>
        <v>0.74123173277661791</v>
      </c>
      <c r="T10" s="173">
        <f t="shared" si="2"/>
        <v>0.23329853862212943</v>
      </c>
      <c r="U10" s="173">
        <f t="shared" si="3"/>
        <v>2.5469728601252611E-2</v>
      </c>
      <c r="V10" s="173">
        <f t="shared" si="4"/>
        <v>0.24507486209613868</v>
      </c>
      <c r="W10" s="173">
        <f t="shared" si="5"/>
        <v>0.71736334405144697</v>
      </c>
      <c r="X10" s="173">
        <f t="shared" si="6"/>
        <v>0.22411575562700964</v>
      </c>
      <c r="Y10" s="173">
        <f t="shared" si="7"/>
        <v>5.8520900321543411E-2</v>
      </c>
      <c r="Z10" s="173">
        <f t="shared" si="12"/>
        <v>1</v>
      </c>
      <c r="AA10" s="173">
        <f t="shared" si="13"/>
        <v>0.73538219070133959</v>
      </c>
      <c r="AB10" s="173">
        <f t="shared" si="14"/>
        <v>0.23104806934594169</v>
      </c>
      <c r="AC10" s="173">
        <f t="shared" si="15"/>
        <v>3.3569739952718676E-2</v>
      </c>
      <c r="AE10" s="425">
        <v>107</v>
      </c>
      <c r="AF10" s="169">
        <v>183</v>
      </c>
      <c r="AG10" s="424">
        <f t="shared" si="19"/>
        <v>290</v>
      </c>
      <c r="AH10" s="168">
        <f t="shared" si="16"/>
        <v>3.4405144694533762E-2</v>
      </c>
      <c r="AI10" s="168">
        <f t="shared" si="17"/>
        <v>1.9102296450939457E-2</v>
      </c>
      <c r="AJ10" s="426">
        <f t="shared" si="18"/>
        <v>2.2852639873916468E-2</v>
      </c>
    </row>
    <row r="11" spans="1:36" s="166" customFormat="1">
      <c r="A11" s="170" t="s">
        <v>20</v>
      </c>
      <c r="B11" s="532" t="s">
        <v>21</v>
      </c>
      <c r="C11" s="171" t="s">
        <v>273</v>
      </c>
      <c r="D11" s="172">
        <f t="shared" si="8"/>
        <v>24351</v>
      </c>
      <c r="E11" s="172">
        <v>19015</v>
      </c>
      <c r="F11" s="172">
        <v>4564</v>
      </c>
      <c r="G11" s="172">
        <v>772</v>
      </c>
      <c r="H11" s="172">
        <f t="shared" si="9"/>
        <v>8002</v>
      </c>
      <c r="I11" s="172">
        <v>5814</v>
      </c>
      <c r="J11" s="172">
        <v>1584</v>
      </c>
      <c r="K11" s="172">
        <v>604</v>
      </c>
      <c r="L11" s="172">
        <f t="shared" si="10"/>
        <v>32353</v>
      </c>
      <c r="M11" s="172">
        <f t="shared" si="10"/>
        <v>24829</v>
      </c>
      <c r="N11" s="172">
        <f t="shared" si="10"/>
        <v>6148</v>
      </c>
      <c r="O11" s="172">
        <f t="shared" si="10"/>
        <v>1376</v>
      </c>
      <c r="P11" s="172">
        <f t="shared" si="11"/>
        <v>32353</v>
      </c>
      <c r="R11" s="173">
        <f t="shared" si="0"/>
        <v>0.75266590424381041</v>
      </c>
      <c r="S11" s="173">
        <f t="shared" si="1"/>
        <v>0.78087142211818816</v>
      </c>
      <c r="T11" s="173">
        <f t="shared" si="2"/>
        <v>0.18742556773849123</v>
      </c>
      <c r="U11" s="173">
        <f t="shared" si="3"/>
        <v>3.1703010143320602E-2</v>
      </c>
      <c r="V11" s="173">
        <f t="shared" si="4"/>
        <v>0.24733409575618953</v>
      </c>
      <c r="W11" s="173">
        <f t="shared" si="5"/>
        <v>0.72656835791052232</v>
      </c>
      <c r="X11" s="173">
        <f t="shared" si="6"/>
        <v>0.19795051237190703</v>
      </c>
      <c r="Y11" s="173">
        <f t="shared" si="7"/>
        <v>7.5481129717570608E-2</v>
      </c>
      <c r="Z11" s="173">
        <f t="shared" si="12"/>
        <v>1</v>
      </c>
      <c r="AA11" s="173">
        <f t="shared" si="13"/>
        <v>0.76744042283559488</v>
      </c>
      <c r="AB11" s="173">
        <f t="shared" si="14"/>
        <v>0.1900287454022811</v>
      </c>
      <c r="AC11" s="173">
        <f t="shared" si="15"/>
        <v>4.253083176212407E-2</v>
      </c>
      <c r="AE11" s="425">
        <v>249</v>
      </c>
      <c r="AF11" s="169">
        <v>376</v>
      </c>
      <c r="AG11" s="424">
        <f t="shared" si="19"/>
        <v>625</v>
      </c>
      <c r="AH11" s="168">
        <f t="shared" si="16"/>
        <v>3.1117220694826295E-2</v>
      </c>
      <c r="AI11" s="168">
        <f t="shared" si="17"/>
        <v>1.544084431850848E-2</v>
      </c>
      <c r="AJ11" s="426">
        <f t="shared" si="18"/>
        <v>1.9318146694278737E-2</v>
      </c>
    </row>
    <row r="12" spans="1:36" s="166" customFormat="1">
      <c r="A12" s="170" t="s">
        <v>22</v>
      </c>
      <c r="B12" s="532" t="s">
        <v>23</v>
      </c>
      <c r="C12" s="171" t="s">
        <v>273</v>
      </c>
      <c r="D12" s="172">
        <f t="shared" si="8"/>
        <v>11313</v>
      </c>
      <c r="E12" s="172">
        <v>8988</v>
      </c>
      <c r="F12" s="172">
        <v>2155</v>
      </c>
      <c r="G12" s="172">
        <v>170</v>
      </c>
      <c r="H12" s="172">
        <f t="shared" si="9"/>
        <v>3660</v>
      </c>
      <c r="I12" s="172">
        <v>2609</v>
      </c>
      <c r="J12" s="172">
        <v>852</v>
      </c>
      <c r="K12" s="172">
        <v>199</v>
      </c>
      <c r="L12" s="172">
        <f t="shared" si="10"/>
        <v>14973</v>
      </c>
      <c r="M12" s="172">
        <f t="shared" si="10"/>
        <v>11597</v>
      </c>
      <c r="N12" s="172">
        <f t="shared" si="10"/>
        <v>3007</v>
      </c>
      <c r="O12" s="172">
        <f t="shared" si="10"/>
        <v>369</v>
      </c>
      <c r="P12" s="172">
        <f t="shared" si="11"/>
        <v>14973</v>
      </c>
      <c r="R12" s="173">
        <f t="shared" si="0"/>
        <v>0.75556000801442602</v>
      </c>
      <c r="S12" s="173">
        <f t="shared" si="1"/>
        <v>0.79448422169185895</v>
      </c>
      <c r="T12" s="173">
        <f t="shared" si="2"/>
        <v>0.19048881817378238</v>
      </c>
      <c r="U12" s="173">
        <f t="shared" si="3"/>
        <v>1.5026960134358702E-2</v>
      </c>
      <c r="V12" s="173">
        <f t="shared" si="4"/>
        <v>0.24443999198557403</v>
      </c>
      <c r="W12" s="173">
        <f t="shared" si="5"/>
        <v>0.71284153005464479</v>
      </c>
      <c r="X12" s="173">
        <f t="shared" si="6"/>
        <v>0.23278688524590163</v>
      </c>
      <c r="Y12" s="173">
        <f t="shared" si="7"/>
        <v>5.4371584699453551E-2</v>
      </c>
      <c r="Z12" s="173">
        <f t="shared" si="12"/>
        <v>1</v>
      </c>
      <c r="AA12" s="173">
        <f t="shared" si="13"/>
        <v>0.7745274828023776</v>
      </c>
      <c r="AB12" s="173">
        <f t="shared" si="14"/>
        <v>0.20082815734989648</v>
      </c>
      <c r="AC12" s="173">
        <f t="shared" si="15"/>
        <v>2.4644359847725908E-2</v>
      </c>
      <c r="AE12" s="425">
        <v>64</v>
      </c>
      <c r="AF12" s="169">
        <v>103</v>
      </c>
      <c r="AG12" s="424">
        <f t="shared" si="19"/>
        <v>167</v>
      </c>
      <c r="AH12" s="168">
        <f t="shared" si="16"/>
        <v>1.7486338797814208E-2</v>
      </c>
      <c r="AI12" s="168">
        <f t="shared" si="17"/>
        <v>9.1045699637585086E-3</v>
      </c>
      <c r="AJ12" s="426">
        <f t="shared" si="18"/>
        <v>1.1153409470380017E-2</v>
      </c>
    </row>
    <row r="13" spans="1:36" s="166" customFormat="1">
      <c r="A13" s="170" t="s">
        <v>24</v>
      </c>
      <c r="B13" s="532" t="s">
        <v>25</v>
      </c>
      <c r="C13" s="171" t="s">
        <v>276</v>
      </c>
      <c r="D13" s="172">
        <f t="shared" si="8"/>
        <v>172390</v>
      </c>
      <c r="E13" s="172">
        <v>126727</v>
      </c>
      <c r="F13" s="172">
        <v>14063</v>
      </c>
      <c r="G13" s="172">
        <v>31600</v>
      </c>
      <c r="H13" s="172">
        <f t="shared" si="9"/>
        <v>35237</v>
      </c>
      <c r="I13" s="172">
        <v>22243</v>
      </c>
      <c r="J13" s="172">
        <v>3569</v>
      </c>
      <c r="K13" s="172">
        <v>9425</v>
      </c>
      <c r="L13" s="172">
        <f t="shared" si="10"/>
        <v>207627</v>
      </c>
      <c r="M13" s="172">
        <f t="shared" si="10"/>
        <v>148970</v>
      </c>
      <c r="N13" s="172">
        <f t="shared" si="10"/>
        <v>17632</v>
      </c>
      <c r="O13" s="172">
        <f t="shared" si="10"/>
        <v>41025</v>
      </c>
      <c r="P13" s="172">
        <f t="shared" si="11"/>
        <v>207627</v>
      </c>
      <c r="R13" s="173">
        <f t="shared" si="0"/>
        <v>0.83028700506196207</v>
      </c>
      <c r="S13" s="173">
        <f t="shared" si="1"/>
        <v>0.73511804629038813</v>
      </c>
      <c r="T13" s="173">
        <f t="shared" si="2"/>
        <v>8.1576657578745868E-2</v>
      </c>
      <c r="U13" s="173">
        <f t="shared" si="3"/>
        <v>0.18330529613086605</v>
      </c>
      <c r="V13" s="173">
        <f t="shared" si="4"/>
        <v>0.16971299493803793</v>
      </c>
      <c r="W13" s="173">
        <f t="shared" si="5"/>
        <v>0.63123988988846946</v>
      </c>
      <c r="X13" s="173">
        <f t="shared" si="6"/>
        <v>0.10128558049777223</v>
      </c>
      <c r="Y13" s="173">
        <f t="shared" si="7"/>
        <v>0.26747452961375828</v>
      </c>
      <c r="Z13" s="173">
        <f t="shared" si="12"/>
        <v>1</v>
      </c>
      <c r="AA13" s="173">
        <f t="shared" si="13"/>
        <v>0.71748857325877657</v>
      </c>
      <c r="AB13" s="173">
        <f t="shared" si="14"/>
        <v>8.4921517914336761E-2</v>
      </c>
      <c r="AC13" s="173">
        <f t="shared" si="15"/>
        <v>0.19758990882688668</v>
      </c>
      <c r="AE13" s="425">
        <v>8053</v>
      </c>
      <c r="AF13" s="169">
        <v>23329</v>
      </c>
      <c r="AG13" s="424">
        <f t="shared" si="19"/>
        <v>31382</v>
      </c>
      <c r="AH13" s="168">
        <f t="shared" si="16"/>
        <v>0.22853818429491726</v>
      </c>
      <c r="AI13" s="168">
        <f t="shared" si="17"/>
        <v>0.13532687510876501</v>
      </c>
      <c r="AJ13" s="426">
        <f t="shared" si="18"/>
        <v>0.15114604555284236</v>
      </c>
    </row>
    <row r="14" spans="1:36" s="166" customFormat="1">
      <c r="A14" s="170" t="s">
        <v>26</v>
      </c>
      <c r="B14" s="654" t="s">
        <v>1114</v>
      </c>
      <c r="C14" s="171" t="s">
        <v>273</v>
      </c>
      <c r="D14" s="172">
        <f t="shared" si="8"/>
        <v>90173</v>
      </c>
      <c r="E14" s="172">
        <v>81909</v>
      </c>
      <c r="F14" s="172">
        <v>5954</v>
      </c>
      <c r="G14" s="172">
        <v>2310</v>
      </c>
      <c r="H14" s="172">
        <f t="shared" si="9"/>
        <v>28329</v>
      </c>
      <c r="I14" s="172">
        <v>24087</v>
      </c>
      <c r="J14" s="172">
        <v>2090</v>
      </c>
      <c r="K14" s="172">
        <v>2152</v>
      </c>
      <c r="L14" s="172">
        <f t="shared" si="10"/>
        <v>118502</v>
      </c>
      <c r="M14" s="172">
        <f t="shared" si="10"/>
        <v>105996</v>
      </c>
      <c r="N14" s="172">
        <f t="shared" si="10"/>
        <v>8044</v>
      </c>
      <c r="O14" s="172">
        <f t="shared" si="10"/>
        <v>4462</v>
      </c>
      <c r="P14" s="172">
        <f t="shared" si="11"/>
        <v>118502</v>
      </c>
      <c r="R14" s="173">
        <f t="shared" si="0"/>
        <v>0.7609407436161415</v>
      </c>
      <c r="S14" s="173">
        <f t="shared" si="1"/>
        <v>0.90835394186729956</v>
      </c>
      <c r="T14" s="173">
        <f t="shared" si="2"/>
        <v>6.6028633848269444E-2</v>
      </c>
      <c r="U14" s="173">
        <f t="shared" si="3"/>
        <v>2.5617424284431038E-2</v>
      </c>
      <c r="V14" s="173">
        <f t="shared" si="4"/>
        <v>0.2390592563838585</v>
      </c>
      <c r="W14" s="173">
        <f t="shared" si="5"/>
        <v>0.85025945144551518</v>
      </c>
      <c r="X14" s="173">
        <f t="shared" si="6"/>
        <v>7.3775989268947018E-2</v>
      </c>
      <c r="Y14" s="173">
        <f t="shared" si="7"/>
        <v>7.5964559285537789E-2</v>
      </c>
      <c r="Z14" s="173">
        <f t="shared" si="12"/>
        <v>1</v>
      </c>
      <c r="AA14" s="173">
        <f t="shared" si="13"/>
        <v>0.89446591618706861</v>
      </c>
      <c r="AB14" s="173">
        <f t="shared" si="14"/>
        <v>6.7880710874078071E-2</v>
      </c>
      <c r="AC14" s="173">
        <f t="shared" si="15"/>
        <v>3.7653372938853354E-2</v>
      </c>
      <c r="AE14" s="425">
        <v>1450</v>
      </c>
      <c r="AF14" s="169">
        <v>1925</v>
      </c>
      <c r="AG14" s="424">
        <f t="shared" si="19"/>
        <v>3375</v>
      </c>
      <c r="AH14" s="168">
        <f t="shared" si="16"/>
        <v>5.118429877510678E-2</v>
      </c>
      <c r="AI14" s="168">
        <f t="shared" si="17"/>
        <v>2.1347853570359197E-2</v>
      </c>
      <c r="AJ14" s="426">
        <f t="shared" si="18"/>
        <v>2.8480531974143897E-2</v>
      </c>
    </row>
    <row r="15" spans="1:36" s="166" customFormat="1">
      <c r="A15" s="170" t="s">
        <v>27</v>
      </c>
      <c r="B15" s="532" t="s">
        <v>28</v>
      </c>
      <c r="C15" s="171" t="s">
        <v>273</v>
      </c>
      <c r="D15" s="172">
        <f t="shared" si="8"/>
        <v>3821</v>
      </c>
      <c r="E15" s="172">
        <v>3584</v>
      </c>
      <c r="F15" s="172">
        <v>189</v>
      </c>
      <c r="G15" s="172">
        <v>48</v>
      </c>
      <c r="H15" s="172">
        <f t="shared" si="9"/>
        <v>910</v>
      </c>
      <c r="I15" s="172">
        <v>848</v>
      </c>
      <c r="J15" s="172">
        <v>33</v>
      </c>
      <c r="K15" s="172">
        <v>29</v>
      </c>
      <c r="L15" s="172">
        <f t="shared" si="10"/>
        <v>4731</v>
      </c>
      <c r="M15" s="172">
        <f t="shared" si="10"/>
        <v>4432</v>
      </c>
      <c r="N15" s="172">
        <f t="shared" si="10"/>
        <v>222</v>
      </c>
      <c r="O15" s="172">
        <f t="shared" si="10"/>
        <v>77</v>
      </c>
      <c r="P15" s="172">
        <f t="shared" si="11"/>
        <v>4731</v>
      </c>
      <c r="R15" s="173">
        <f t="shared" si="0"/>
        <v>0.80765165926865357</v>
      </c>
      <c r="S15" s="173">
        <f t="shared" si="1"/>
        <v>0.93797435226380532</v>
      </c>
      <c r="T15" s="173">
        <f t="shared" si="2"/>
        <v>4.9463491232661604E-2</v>
      </c>
      <c r="U15" s="173">
        <f t="shared" si="3"/>
        <v>1.2562156503533107E-2</v>
      </c>
      <c r="V15" s="173">
        <f t="shared" si="4"/>
        <v>0.19234834073134643</v>
      </c>
      <c r="W15" s="173">
        <f t="shared" si="5"/>
        <v>0.93186813186813189</v>
      </c>
      <c r="X15" s="173">
        <f t="shared" si="6"/>
        <v>3.6263736263736267E-2</v>
      </c>
      <c r="Y15" s="173">
        <f t="shared" si="7"/>
        <v>3.1868131868131866E-2</v>
      </c>
      <c r="Z15" s="173">
        <f t="shared" si="12"/>
        <v>1</v>
      </c>
      <c r="AA15" s="173">
        <f t="shared" si="13"/>
        <v>0.93679983090255758</v>
      </c>
      <c r="AB15" s="173">
        <f t="shared" si="14"/>
        <v>4.6924540266328474E-2</v>
      </c>
      <c r="AC15" s="173">
        <f t="shared" si="15"/>
        <v>1.6275628831113928E-2</v>
      </c>
      <c r="AE15" s="425">
        <v>37</v>
      </c>
      <c r="AF15" s="169">
        <v>64</v>
      </c>
      <c r="AG15" s="424">
        <f t="shared" si="19"/>
        <v>101</v>
      </c>
      <c r="AH15" s="168">
        <f t="shared" si="16"/>
        <v>4.0659340659340661E-2</v>
      </c>
      <c r="AI15" s="168">
        <f t="shared" si="17"/>
        <v>1.6749542004710807E-2</v>
      </c>
      <c r="AJ15" s="426">
        <f t="shared" si="18"/>
        <v>2.134855210314944E-2</v>
      </c>
    </row>
    <row r="16" spans="1:36" s="166" customFormat="1">
      <c r="A16" s="170" t="s">
        <v>29</v>
      </c>
      <c r="B16" s="532" t="s">
        <v>886</v>
      </c>
      <c r="C16" s="171" t="s">
        <v>273</v>
      </c>
      <c r="D16" s="172">
        <f t="shared" si="8"/>
        <v>56549</v>
      </c>
      <c r="E16" s="172">
        <v>51449</v>
      </c>
      <c r="F16" s="172">
        <v>3930</v>
      </c>
      <c r="G16" s="172">
        <v>1170</v>
      </c>
      <c r="H16" s="172">
        <f t="shared" si="9"/>
        <v>18349</v>
      </c>
      <c r="I16" s="172">
        <v>16081</v>
      </c>
      <c r="J16" s="172">
        <v>1268</v>
      </c>
      <c r="K16" s="172">
        <v>1000</v>
      </c>
      <c r="L16" s="172">
        <f t="shared" si="10"/>
        <v>74898</v>
      </c>
      <c r="M16" s="172">
        <f t="shared" si="10"/>
        <v>67530</v>
      </c>
      <c r="N16" s="172">
        <f t="shared" si="10"/>
        <v>5198</v>
      </c>
      <c r="O16" s="172">
        <f t="shared" si="10"/>
        <v>2170</v>
      </c>
      <c r="P16" s="172">
        <f t="shared" si="11"/>
        <v>74898</v>
      </c>
      <c r="R16" s="173">
        <f t="shared" si="0"/>
        <v>0.75501348500627519</v>
      </c>
      <c r="S16" s="173">
        <f t="shared" si="1"/>
        <v>0.90981272878388653</v>
      </c>
      <c r="T16" s="173">
        <f t="shared" si="2"/>
        <v>6.9497250172416841E-2</v>
      </c>
      <c r="U16" s="173">
        <f t="shared" si="3"/>
        <v>2.0690021043696619E-2</v>
      </c>
      <c r="V16" s="173">
        <f t="shared" si="4"/>
        <v>0.24498651499372479</v>
      </c>
      <c r="W16" s="173">
        <f t="shared" si="5"/>
        <v>0.87639653387105565</v>
      </c>
      <c r="X16" s="173">
        <f t="shared" si="6"/>
        <v>6.9104583356041208E-2</v>
      </c>
      <c r="Y16" s="173">
        <f t="shared" si="7"/>
        <v>5.4498882772903157E-2</v>
      </c>
      <c r="Z16" s="173">
        <f t="shared" si="12"/>
        <v>1</v>
      </c>
      <c r="AA16" s="173">
        <f t="shared" si="13"/>
        <v>0.90162621164784107</v>
      </c>
      <c r="AB16" s="173">
        <f t="shared" si="14"/>
        <v>6.9401052097519289E-2</v>
      </c>
      <c r="AC16" s="173">
        <f t="shared" si="15"/>
        <v>2.8972736254639642E-2</v>
      </c>
      <c r="AE16" s="425">
        <v>519</v>
      </c>
      <c r="AF16" s="169">
        <v>705</v>
      </c>
      <c r="AG16" s="424">
        <f t="shared" si="19"/>
        <v>1224</v>
      </c>
      <c r="AH16" s="168">
        <f t="shared" si="16"/>
        <v>2.8284920159136737E-2</v>
      </c>
      <c r="AI16" s="168">
        <f t="shared" si="17"/>
        <v>1.2467063962227449E-2</v>
      </c>
      <c r="AJ16" s="426">
        <f t="shared" si="18"/>
        <v>1.6342225426580148E-2</v>
      </c>
    </row>
    <row r="17" spans="1:36" s="166" customFormat="1">
      <c r="A17" s="170" t="s">
        <v>31</v>
      </c>
      <c r="B17" s="532" t="s">
        <v>32</v>
      </c>
      <c r="C17" s="171" t="s">
        <v>278</v>
      </c>
      <c r="D17" s="172">
        <f t="shared" si="8"/>
        <v>5454</v>
      </c>
      <c r="E17" s="172">
        <v>5192</v>
      </c>
      <c r="F17" s="172">
        <v>213</v>
      </c>
      <c r="G17" s="172">
        <v>49</v>
      </c>
      <c r="H17" s="172">
        <f t="shared" si="9"/>
        <v>1370</v>
      </c>
      <c r="I17" s="172">
        <v>1325</v>
      </c>
      <c r="J17" s="172">
        <v>15</v>
      </c>
      <c r="K17" s="172">
        <v>30</v>
      </c>
      <c r="L17" s="172">
        <f t="shared" si="10"/>
        <v>6824</v>
      </c>
      <c r="M17" s="172">
        <f t="shared" si="10"/>
        <v>6517</v>
      </c>
      <c r="N17" s="172">
        <f t="shared" si="10"/>
        <v>228</v>
      </c>
      <c r="O17" s="172">
        <f t="shared" si="10"/>
        <v>79</v>
      </c>
      <c r="P17" s="172">
        <f t="shared" si="11"/>
        <v>6824</v>
      </c>
      <c r="R17" s="173">
        <f t="shared" si="0"/>
        <v>0.79923798358733877</v>
      </c>
      <c r="S17" s="173">
        <f t="shared" si="1"/>
        <v>0.95196186285295192</v>
      </c>
      <c r="T17" s="173">
        <f t="shared" si="2"/>
        <v>3.9053905390539052E-2</v>
      </c>
      <c r="U17" s="173">
        <f t="shared" si="3"/>
        <v>8.9842317565089844E-3</v>
      </c>
      <c r="V17" s="173">
        <f t="shared" si="4"/>
        <v>0.2007620164126612</v>
      </c>
      <c r="W17" s="173">
        <f t="shared" si="5"/>
        <v>0.96715328467153283</v>
      </c>
      <c r="X17" s="173">
        <f t="shared" si="6"/>
        <v>1.0948905109489052E-2</v>
      </c>
      <c r="Y17" s="173">
        <f t="shared" si="7"/>
        <v>2.1897810218978103E-2</v>
      </c>
      <c r="Z17" s="173">
        <f t="shared" si="12"/>
        <v>1</v>
      </c>
      <c r="AA17" s="173">
        <f t="shared" si="13"/>
        <v>0.95501172332942552</v>
      </c>
      <c r="AB17" s="173">
        <f t="shared" si="14"/>
        <v>3.3411488862837048E-2</v>
      </c>
      <c r="AC17" s="173">
        <f t="shared" si="15"/>
        <v>1.1576787807737398E-2</v>
      </c>
      <c r="AE17" s="425">
        <v>9</v>
      </c>
      <c r="AF17" s="169">
        <v>30</v>
      </c>
      <c r="AG17" s="424">
        <f t="shared" si="19"/>
        <v>39</v>
      </c>
      <c r="AH17" s="168">
        <f t="shared" si="16"/>
        <v>6.5693430656934308E-3</v>
      </c>
      <c r="AI17" s="168">
        <f t="shared" si="17"/>
        <v>5.5005500550055009E-3</v>
      </c>
      <c r="AJ17" s="426">
        <f t="shared" si="18"/>
        <v>5.7151230949589685E-3</v>
      </c>
    </row>
    <row r="18" spans="1:36" s="166" customFormat="1">
      <c r="A18" s="170" t="s">
        <v>33</v>
      </c>
      <c r="B18" s="532" t="s">
        <v>34</v>
      </c>
      <c r="C18" s="171" t="s">
        <v>273</v>
      </c>
      <c r="D18" s="172">
        <f t="shared" si="8"/>
        <v>25053</v>
      </c>
      <c r="E18" s="172">
        <v>23903</v>
      </c>
      <c r="F18" s="172">
        <v>769</v>
      </c>
      <c r="G18" s="172">
        <v>381</v>
      </c>
      <c r="H18" s="172">
        <f t="shared" si="9"/>
        <v>8095</v>
      </c>
      <c r="I18" s="172">
        <v>7566</v>
      </c>
      <c r="J18" s="172">
        <v>236</v>
      </c>
      <c r="K18" s="172">
        <v>293</v>
      </c>
      <c r="L18" s="172">
        <f t="shared" si="10"/>
        <v>33148</v>
      </c>
      <c r="M18" s="172">
        <f t="shared" si="10"/>
        <v>31469</v>
      </c>
      <c r="N18" s="172">
        <f t="shared" si="10"/>
        <v>1005</v>
      </c>
      <c r="O18" s="172">
        <f t="shared" si="10"/>
        <v>674</v>
      </c>
      <c r="P18" s="172">
        <f t="shared" si="11"/>
        <v>33148</v>
      </c>
      <c r="R18" s="173">
        <f t="shared" si="0"/>
        <v>0.75579220465789787</v>
      </c>
      <c r="S18" s="173">
        <f t="shared" si="1"/>
        <v>0.95409731369496664</v>
      </c>
      <c r="T18" s="173">
        <f t="shared" si="2"/>
        <v>3.0694926755278809E-2</v>
      </c>
      <c r="U18" s="173">
        <f t="shared" si="3"/>
        <v>1.5207759549754521E-2</v>
      </c>
      <c r="V18" s="173">
        <f t="shared" si="4"/>
        <v>0.24420779534210207</v>
      </c>
      <c r="W18" s="173">
        <f t="shared" si="5"/>
        <v>0.93465101914762194</v>
      </c>
      <c r="X18" s="173">
        <f t="shared" si="6"/>
        <v>2.9153798641136503E-2</v>
      </c>
      <c r="Y18" s="173">
        <f t="shared" si="7"/>
        <v>3.619518221124151E-2</v>
      </c>
      <c r="Z18" s="173">
        <f t="shared" si="12"/>
        <v>1</v>
      </c>
      <c r="AA18" s="173">
        <f t="shared" si="13"/>
        <v>0.94934837697598651</v>
      </c>
      <c r="AB18" s="173">
        <f t="shared" si="14"/>
        <v>3.0318571256184385E-2</v>
      </c>
      <c r="AC18" s="173">
        <f t="shared" si="15"/>
        <v>2.0333051767829131E-2</v>
      </c>
      <c r="AE18" s="425">
        <v>149</v>
      </c>
      <c r="AF18" s="169">
        <v>207</v>
      </c>
      <c r="AG18" s="424">
        <f t="shared" si="19"/>
        <v>356</v>
      </c>
      <c r="AH18" s="168">
        <f t="shared" si="16"/>
        <v>1.8406423718344656E-2</v>
      </c>
      <c r="AI18" s="168">
        <f t="shared" si="17"/>
        <v>8.262483534905999E-3</v>
      </c>
      <c r="AJ18" s="426">
        <f t="shared" si="18"/>
        <v>1.0739712803185713E-2</v>
      </c>
    </row>
    <row r="19" spans="1:36" s="166" customFormat="1">
      <c r="A19" s="170" t="s">
        <v>37</v>
      </c>
      <c r="B19" s="532" t="s">
        <v>38</v>
      </c>
      <c r="C19" s="171" t="s">
        <v>272</v>
      </c>
      <c r="D19" s="172">
        <f t="shared" si="8"/>
        <v>13529</v>
      </c>
      <c r="E19" s="172">
        <v>5812</v>
      </c>
      <c r="F19" s="172">
        <v>7474</v>
      </c>
      <c r="G19" s="172">
        <v>243</v>
      </c>
      <c r="H19" s="172">
        <f t="shared" si="9"/>
        <v>3905</v>
      </c>
      <c r="I19" s="172">
        <v>1236</v>
      </c>
      <c r="J19" s="172">
        <v>2518</v>
      </c>
      <c r="K19" s="172">
        <v>151</v>
      </c>
      <c r="L19" s="172">
        <f t="shared" si="10"/>
        <v>17434</v>
      </c>
      <c r="M19" s="172">
        <f t="shared" si="10"/>
        <v>7048</v>
      </c>
      <c r="N19" s="172">
        <f t="shared" si="10"/>
        <v>9992</v>
      </c>
      <c r="O19" s="172">
        <f t="shared" si="10"/>
        <v>394</v>
      </c>
      <c r="P19" s="172">
        <f t="shared" si="11"/>
        <v>17434</v>
      </c>
      <c r="R19" s="173">
        <f t="shared" si="0"/>
        <v>0.77601238958357233</v>
      </c>
      <c r="S19" s="173">
        <f t="shared" si="1"/>
        <v>0.42959568334688447</v>
      </c>
      <c r="T19" s="173">
        <f t="shared" si="2"/>
        <v>0.55244290043610023</v>
      </c>
      <c r="U19" s="173">
        <f t="shared" si="3"/>
        <v>1.7961416217015299E-2</v>
      </c>
      <c r="V19" s="173">
        <f t="shared" si="4"/>
        <v>0.22398761041642767</v>
      </c>
      <c r="W19" s="173">
        <f t="shared" si="5"/>
        <v>0.31651728553137004</v>
      </c>
      <c r="X19" s="173">
        <f t="shared" si="6"/>
        <v>0.64481434058898845</v>
      </c>
      <c r="Y19" s="173">
        <f t="shared" si="7"/>
        <v>3.8668373879641484E-2</v>
      </c>
      <c r="Z19" s="173">
        <f t="shared" si="12"/>
        <v>1</v>
      </c>
      <c r="AA19" s="173">
        <f t="shared" si="13"/>
        <v>0.40426752323046922</v>
      </c>
      <c r="AB19" s="173">
        <f t="shared" si="14"/>
        <v>0.57313295858666968</v>
      </c>
      <c r="AC19" s="173">
        <f t="shared" si="15"/>
        <v>2.2599518182861076E-2</v>
      </c>
      <c r="AE19" s="425">
        <v>112</v>
      </c>
      <c r="AF19" s="169">
        <v>186</v>
      </c>
      <c r="AG19" s="424">
        <f t="shared" si="19"/>
        <v>298</v>
      </c>
      <c r="AH19" s="168">
        <f t="shared" si="16"/>
        <v>2.8681177976952625E-2</v>
      </c>
      <c r="AI19" s="168">
        <f t="shared" si="17"/>
        <v>1.3748244511789489E-2</v>
      </c>
      <c r="AJ19" s="426">
        <f t="shared" si="18"/>
        <v>1.7093036595158886E-2</v>
      </c>
    </row>
    <row r="20" spans="1:36" s="166" customFormat="1">
      <c r="A20" s="170" t="s">
        <v>39</v>
      </c>
      <c r="B20" s="532" t="s">
        <v>40</v>
      </c>
      <c r="C20" s="171" t="s">
        <v>278</v>
      </c>
      <c r="D20" s="172">
        <f t="shared" si="8"/>
        <v>19043</v>
      </c>
      <c r="E20" s="172">
        <v>18379</v>
      </c>
      <c r="F20" s="172">
        <v>515</v>
      </c>
      <c r="G20" s="172">
        <v>149</v>
      </c>
      <c r="H20" s="172">
        <f t="shared" si="9"/>
        <v>5055</v>
      </c>
      <c r="I20" s="172">
        <v>4892</v>
      </c>
      <c r="J20" s="172">
        <v>101</v>
      </c>
      <c r="K20" s="172">
        <v>62</v>
      </c>
      <c r="L20" s="172">
        <f t="shared" si="10"/>
        <v>24098</v>
      </c>
      <c r="M20" s="172">
        <f t="shared" si="10"/>
        <v>23271</v>
      </c>
      <c r="N20" s="172">
        <f t="shared" si="10"/>
        <v>616</v>
      </c>
      <c r="O20" s="172">
        <f t="shared" si="10"/>
        <v>211</v>
      </c>
      <c r="P20" s="172">
        <f t="shared" si="11"/>
        <v>24098</v>
      </c>
      <c r="R20" s="173">
        <f t="shared" si="0"/>
        <v>0.79023155448584947</v>
      </c>
      <c r="S20" s="173">
        <f t="shared" si="1"/>
        <v>0.96513154439951687</v>
      </c>
      <c r="T20" s="173">
        <f t="shared" si="2"/>
        <v>2.7044058184109647E-2</v>
      </c>
      <c r="U20" s="173">
        <f t="shared" si="3"/>
        <v>7.8243974163734707E-3</v>
      </c>
      <c r="V20" s="173">
        <f t="shared" si="4"/>
        <v>0.20976844551415055</v>
      </c>
      <c r="W20" s="173">
        <f t="shared" si="5"/>
        <v>0.96775469831849659</v>
      </c>
      <c r="X20" s="173">
        <f t="shared" si="6"/>
        <v>1.9980217606330366E-2</v>
      </c>
      <c r="Y20" s="173">
        <f t="shared" si="7"/>
        <v>1.2265084075173096E-2</v>
      </c>
      <c r="Z20" s="173">
        <f t="shared" si="12"/>
        <v>1</v>
      </c>
      <c r="AA20" s="173">
        <f t="shared" si="13"/>
        <v>0.96568179931944564</v>
      </c>
      <c r="AB20" s="173">
        <f t="shared" si="14"/>
        <v>2.5562287326749106E-2</v>
      </c>
      <c r="AC20" s="173">
        <f t="shared" si="15"/>
        <v>8.7559133538052947E-3</v>
      </c>
      <c r="AE20" s="425">
        <v>38</v>
      </c>
      <c r="AF20" s="169">
        <v>57</v>
      </c>
      <c r="AG20" s="424">
        <f t="shared" si="19"/>
        <v>95</v>
      </c>
      <c r="AH20" s="168">
        <f t="shared" si="16"/>
        <v>7.5173095944609299E-3</v>
      </c>
      <c r="AI20" s="168">
        <f t="shared" si="17"/>
        <v>2.9932258572703879E-3</v>
      </c>
      <c r="AJ20" s="426">
        <f t="shared" si="18"/>
        <v>3.9422358701966965E-3</v>
      </c>
    </row>
    <row r="21" spans="1:36" s="166" customFormat="1">
      <c r="A21" s="170" t="s">
        <v>41</v>
      </c>
      <c r="B21" s="532" t="s">
        <v>42</v>
      </c>
      <c r="C21" s="171" t="s">
        <v>275</v>
      </c>
      <c r="D21" s="172">
        <f t="shared" si="8"/>
        <v>13435</v>
      </c>
      <c r="E21" s="172">
        <v>8418</v>
      </c>
      <c r="F21" s="172">
        <v>4760</v>
      </c>
      <c r="G21" s="172">
        <v>257</v>
      </c>
      <c r="H21" s="172">
        <f t="shared" si="9"/>
        <v>3711</v>
      </c>
      <c r="I21" s="172">
        <v>2226</v>
      </c>
      <c r="J21" s="172">
        <v>1254</v>
      </c>
      <c r="K21" s="172">
        <v>231</v>
      </c>
      <c r="L21" s="172">
        <f t="shared" si="10"/>
        <v>17146</v>
      </c>
      <c r="M21" s="172">
        <f t="shared" si="10"/>
        <v>10644</v>
      </c>
      <c r="N21" s="172">
        <f t="shared" si="10"/>
        <v>6014</v>
      </c>
      <c r="O21" s="172">
        <f t="shared" si="10"/>
        <v>488</v>
      </c>
      <c r="P21" s="172">
        <f t="shared" si="11"/>
        <v>17146</v>
      </c>
      <c r="R21" s="173">
        <f t="shared" si="0"/>
        <v>0.7835646798087017</v>
      </c>
      <c r="S21" s="173">
        <f t="shared" si="1"/>
        <v>0.62657238556010419</v>
      </c>
      <c r="T21" s="173">
        <f t="shared" si="2"/>
        <v>0.35429847413472276</v>
      </c>
      <c r="U21" s="173">
        <f t="shared" si="3"/>
        <v>1.9129140305173056E-2</v>
      </c>
      <c r="V21" s="173">
        <f t="shared" si="4"/>
        <v>0.21643532019129827</v>
      </c>
      <c r="W21" s="173">
        <f t="shared" si="5"/>
        <v>0.59983831851253033</v>
      </c>
      <c r="X21" s="173">
        <f t="shared" si="6"/>
        <v>0.33791430881164108</v>
      </c>
      <c r="Y21" s="173">
        <f t="shared" si="7"/>
        <v>6.2247372675828617E-2</v>
      </c>
      <c r="Z21" s="173">
        <f t="shared" si="12"/>
        <v>1</v>
      </c>
      <c r="AA21" s="173">
        <f t="shared" si="13"/>
        <v>0.62078618919864692</v>
      </c>
      <c r="AB21" s="173">
        <f t="shared" si="14"/>
        <v>0.35075236206695437</v>
      </c>
      <c r="AC21" s="173">
        <f t="shared" si="15"/>
        <v>2.8461448734398695E-2</v>
      </c>
      <c r="AE21" s="425">
        <v>94</v>
      </c>
      <c r="AF21" s="169">
        <v>194</v>
      </c>
      <c r="AG21" s="424">
        <f t="shared" si="19"/>
        <v>288</v>
      </c>
      <c r="AH21" s="168">
        <f t="shared" si="16"/>
        <v>2.5330099703583939E-2</v>
      </c>
      <c r="AI21" s="168">
        <f t="shared" si="17"/>
        <v>1.4439895794566431E-2</v>
      </c>
      <c r="AJ21" s="426">
        <f t="shared" si="18"/>
        <v>1.6796920564563163E-2</v>
      </c>
    </row>
    <row r="22" spans="1:36" s="166" customFormat="1">
      <c r="A22" s="170" t="s">
        <v>43</v>
      </c>
      <c r="B22" s="532" t="s">
        <v>44</v>
      </c>
      <c r="C22" s="171" t="s">
        <v>273</v>
      </c>
      <c r="D22" s="172">
        <f t="shared" si="8"/>
        <v>41368</v>
      </c>
      <c r="E22" s="172">
        <v>34423</v>
      </c>
      <c r="F22" s="172">
        <v>5806</v>
      </c>
      <c r="G22" s="172">
        <v>1139</v>
      </c>
      <c r="H22" s="172">
        <f t="shared" si="9"/>
        <v>13474</v>
      </c>
      <c r="I22" s="172">
        <v>10601</v>
      </c>
      <c r="J22" s="172">
        <v>1961</v>
      </c>
      <c r="K22" s="172">
        <v>912</v>
      </c>
      <c r="L22" s="172">
        <f t="shared" si="10"/>
        <v>54842</v>
      </c>
      <c r="M22" s="172">
        <f t="shared" si="10"/>
        <v>45024</v>
      </c>
      <c r="N22" s="172">
        <f t="shared" si="10"/>
        <v>7767</v>
      </c>
      <c r="O22" s="172">
        <f t="shared" si="10"/>
        <v>2051</v>
      </c>
      <c r="P22" s="172">
        <f t="shared" si="11"/>
        <v>54842</v>
      </c>
      <c r="R22" s="173">
        <f t="shared" si="0"/>
        <v>0.75431238831552461</v>
      </c>
      <c r="S22" s="173">
        <f t="shared" si="1"/>
        <v>0.83211661187391217</v>
      </c>
      <c r="T22" s="173">
        <f t="shared" si="2"/>
        <v>0.14035002900792884</v>
      </c>
      <c r="U22" s="173">
        <f t="shared" si="3"/>
        <v>2.7533359118158962E-2</v>
      </c>
      <c r="V22" s="173">
        <f t="shared" si="4"/>
        <v>0.24568761168447539</v>
      </c>
      <c r="W22" s="173">
        <f t="shared" si="5"/>
        <v>0.78677452872198306</v>
      </c>
      <c r="X22" s="173">
        <f t="shared" si="6"/>
        <v>0.14553955766661719</v>
      </c>
      <c r="Y22" s="173">
        <f t="shared" si="7"/>
        <v>6.7685913611399737E-2</v>
      </c>
      <c r="Z22" s="173">
        <f t="shared" si="12"/>
        <v>1</v>
      </c>
      <c r="AA22" s="173">
        <f t="shared" si="13"/>
        <v>0.82097662375551583</v>
      </c>
      <c r="AB22" s="173">
        <f t="shared" si="14"/>
        <v>0.14162503190985012</v>
      </c>
      <c r="AC22" s="173">
        <f t="shared" si="15"/>
        <v>3.7398344334634043E-2</v>
      </c>
      <c r="AE22" s="425">
        <v>322</v>
      </c>
      <c r="AF22" s="169">
        <v>596</v>
      </c>
      <c r="AG22" s="424">
        <f t="shared" si="19"/>
        <v>918</v>
      </c>
      <c r="AH22" s="168">
        <f t="shared" si="16"/>
        <v>2.3897877393498589E-2</v>
      </c>
      <c r="AI22" s="168">
        <f t="shared" si="17"/>
        <v>1.4407271320827694E-2</v>
      </c>
      <c r="AJ22" s="426">
        <f t="shared" si="18"/>
        <v>1.6738995660260384E-2</v>
      </c>
    </row>
    <row r="23" spans="1:36" s="166" customFormat="1">
      <c r="A23" s="170" t="s">
        <v>45</v>
      </c>
      <c r="B23" s="532" t="s">
        <v>46</v>
      </c>
      <c r="C23" s="171" t="s">
        <v>275</v>
      </c>
      <c r="D23" s="172">
        <f t="shared" si="8"/>
        <v>21073</v>
      </c>
      <c r="E23" s="172">
        <v>13985</v>
      </c>
      <c r="F23" s="172">
        <v>6251</v>
      </c>
      <c r="G23" s="172">
        <v>837</v>
      </c>
      <c r="H23" s="172">
        <f t="shared" si="9"/>
        <v>7472</v>
      </c>
      <c r="I23" s="172">
        <v>4664</v>
      </c>
      <c r="J23" s="172">
        <v>2124</v>
      </c>
      <c r="K23" s="172">
        <v>684</v>
      </c>
      <c r="L23" s="172">
        <f t="shared" si="10"/>
        <v>28545</v>
      </c>
      <c r="M23" s="172">
        <f t="shared" si="10"/>
        <v>18649</v>
      </c>
      <c r="N23" s="172">
        <f t="shared" si="10"/>
        <v>8375</v>
      </c>
      <c r="O23" s="172">
        <f t="shared" si="10"/>
        <v>1521</v>
      </c>
      <c r="P23" s="172">
        <f t="shared" si="11"/>
        <v>28545</v>
      </c>
      <c r="R23" s="173">
        <f t="shared" si="0"/>
        <v>0.73823787002977759</v>
      </c>
      <c r="S23" s="173">
        <f t="shared" si="1"/>
        <v>0.66364542305319607</v>
      </c>
      <c r="T23" s="173">
        <f t="shared" si="2"/>
        <v>0.29663550514876857</v>
      </c>
      <c r="U23" s="173">
        <f t="shared" si="3"/>
        <v>3.9719071798035403E-2</v>
      </c>
      <c r="V23" s="173">
        <f t="shared" si="4"/>
        <v>0.26176212997022247</v>
      </c>
      <c r="W23" s="173">
        <f t="shared" si="5"/>
        <v>0.62419700214132767</v>
      </c>
      <c r="X23" s="173">
        <f t="shared" si="6"/>
        <v>0.28426124197002139</v>
      </c>
      <c r="Y23" s="173">
        <f t="shared" si="7"/>
        <v>9.1541755888650961E-2</v>
      </c>
      <c r="Z23" s="173">
        <f t="shared" si="12"/>
        <v>1</v>
      </c>
      <c r="AA23" s="173">
        <f t="shared" si="13"/>
        <v>0.65331932037134355</v>
      </c>
      <c r="AB23" s="173">
        <f t="shared" si="14"/>
        <v>0.29339639166228759</v>
      </c>
      <c r="AC23" s="173">
        <f t="shared" si="15"/>
        <v>5.3284287966368894E-2</v>
      </c>
      <c r="AE23" s="425">
        <v>388</v>
      </c>
      <c r="AF23" s="169">
        <v>571</v>
      </c>
      <c r="AG23" s="424">
        <f t="shared" si="19"/>
        <v>959</v>
      </c>
      <c r="AH23" s="168">
        <f t="shared" si="16"/>
        <v>5.1927194860813708E-2</v>
      </c>
      <c r="AI23" s="168">
        <f t="shared" si="17"/>
        <v>2.7096284344896311E-2</v>
      </c>
      <c r="AJ23" s="426">
        <f t="shared" si="18"/>
        <v>3.3596076370642845E-2</v>
      </c>
    </row>
    <row r="24" spans="1:36" s="166" customFormat="1">
      <c r="A24" s="170" t="s">
        <v>47</v>
      </c>
      <c r="B24" s="532" t="s">
        <v>48</v>
      </c>
      <c r="C24" s="171" t="s">
        <v>278</v>
      </c>
      <c r="D24" s="172">
        <f t="shared" si="8"/>
        <v>23175</v>
      </c>
      <c r="E24" s="172">
        <v>22659</v>
      </c>
      <c r="F24" s="172">
        <v>123</v>
      </c>
      <c r="G24" s="172">
        <v>393</v>
      </c>
      <c r="H24" s="172">
        <f t="shared" si="9"/>
        <v>6867</v>
      </c>
      <c r="I24" s="172">
        <v>6509</v>
      </c>
      <c r="J24" s="172">
        <v>55</v>
      </c>
      <c r="K24" s="172">
        <v>303</v>
      </c>
      <c r="L24" s="172">
        <f t="shared" si="10"/>
        <v>30042</v>
      </c>
      <c r="M24" s="172">
        <f t="shared" si="10"/>
        <v>29168</v>
      </c>
      <c r="N24" s="172">
        <f t="shared" si="10"/>
        <v>178</v>
      </c>
      <c r="O24" s="172">
        <f t="shared" si="10"/>
        <v>696</v>
      </c>
      <c r="P24" s="172">
        <f t="shared" si="11"/>
        <v>30042</v>
      </c>
      <c r="R24" s="173">
        <f t="shared" si="0"/>
        <v>0.77142001198322352</v>
      </c>
      <c r="S24" s="173">
        <f t="shared" si="1"/>
        <v>0.97773462783171516</v>
      </c>
      <c r="T24" s="173">
        <f t="shared" si="2"/>
        <v>5.3074433656957925E-3</v>
      </c>
      <c r="U24" s="173">
        <f t="shared" si="3"/>
        <v>1.6957928802588996E-2</v>
      </c>
      <c r="V24" s="173">
        <f t="shared" si="4"/>
        <v>0.22857998801677651</v>
      </c>
      <c r="W24" s="173">
        <f t="shared" si="5"/>
        <v>0.94786660841706716</v>
      </c>
      <c r="X24" s="173">
        <f t="shared" si="6"/>
        <v>8.0093199359254404E-3</v>
      </c>
      <c r="Y24" s="173">
        <f t="shared" si="7"/>
        <v>4.4124071647007428E-2</v>
      </c>
      <c r="Z24" s="173">
        <f t="shared" si="12"/>
        <v>1</v>
      </c>
      <c r="AA24" s="173">
        <f t="shared" si="13"/>
        <v>0.9709073963118301</v>
      </c>
      <c r="AB24" s="173">
        <f t="shared" si="14"/>
        <v>5.9250382797416947E-3</v>
      </c>
      <c r="AC24" s="173">
        <f t="shared" si="15"/>
        <v>2.3167565408428202E-2</v>
      </c>
      <c r="AE24" s="425">
        <v>357</v>
      </c>
      <c r="AF24" s="169">
        <v>419</v>
      </c>
      <c r="AG24" s="424">
        <f t="shared" si="19"/>
        <v>776</v>
      </c>
      <c r="AH24" s="168">
        <f t="shared" si="16"/>
        <v>5.1987767584097858E-2</v>
      </c>
      <c r="AI24" s="168">
        <f t="shared" si="17"/>
        <v>1.8079827400215749E-2</v>
      </c>
      <c r="AJ24" s="426">
        <f t="shared" si="18"/>
        <v>2.5830503961121097E-2</v>
      </c>
    </row>
    <row r="25" spans="1:36" s="166" customFormat="1">
      <c r="A25" s="170" t="s">
        <v>49</v>
      </c>
      <c r="B25" s="532" t="s">
        <v>279</v>
      </c>
      <c r="C25" s="171" t="s">
        <v>275</v>
      </c>
      <c r="D25" s="172">
        <f t="shared" si="8"/>
        <v>5798</v>
      </c>
      <c r="E25" s="172">
        <v>2423</v>
      </c>
      <c r="F25" s="172">
        <v>2823</v>
      </c>
      <c r="G25" s="172">
        <v>552</v>
      </c>
      <c r="H25" s="172">
        <f t="shared" si="9"/>
        <v>1458</v>
      </c>
      <c r="I25" s="172">
        <v>547</v>
      </c>
      <c r="J25" s="172">
        <v>690</v>
      </c>
      <c r="K25" s="172">
        <v>221</v>
      </c>
      <c r="L25" s="172">
        <f t="shared" si="10"/>
        <v>7256</v>
      </c>
      <c r="M25" s="172">
        <f t="shared" si="10"/>
        <v>2970</v>
      </c>
      <c r="N25" s="172">
        <f t="shared" si="10"/>
        <v>3513</v>
      </c>
      <c r="O25" s="172">
        <f t="shared" si="10"/>
        <v>773</v>
      </c>
      <c r="P25" s="172">
        <f t="shared" si="11"/>
        <v>7256</v>
      </c>
      <c r="R25" s="173">
        <f t="shared" si="0"/>
        <v>0.79906284454244758</v>
      </c>
      <c r="S25" s="173">
        <f t="shared" si="1"/>
        <v>0.41790272507761295</v>
      </c>
      <c r="T25" s="173">
        <f t="shared" si="2"/>
        <v>0.48689203173508105</v>
      </c>
      <c r="U25" s="173">
        <f t="shared" si="3"/>
        <v>9.5205243187305971E-2</v>
      </c>
      <c r="V25" s="173">
        <f t="shared" si="4"/>
        <v>0.20093715545755236</v>
      </c>
      <c r="W25" s="173">
        <f t="shared" si="5"/>
        <v>0.37517146776406035</v>
      </c>
      <c r="X25" s="173">
        <f t="shared" si="6"/>
        <v>0.47325102880658437</v>
      </c>
      <c r="Y25" s="173">
        <f t="shared" si="7"/>
        <v>0.15157750342935528</v>
      </c>
      <c r="Z25" s="173">
        <f t="shared" si="12"/>
        <v>1</v>
      </c>
      <c r="AA25" s="173">
        <f t="shared" si="13"/>
        <v>0.40931642778390298</v>
      </c>
      <c r="AB25" s="173">
        <f t="shared" si="14"/>
        <v>0.4841510474090408</v>
      </c>
      <c r="AC25" s="173">
        <f t="shared" si="15"/>
        <v>0.10653252480705623</v>
      </c>
      <c r="AE25" s="425">
        <v>29</v>
      </c>
      <c r="AF25" s="169">
        <v>59</v>
      </c>
      <c r="AG25" s="424">
        <f t="shared" si="19"/>
        <v>88</v>
      </c>
      <c r="AH25" s="168">
        <f t="shared" si="16"/>
        <v>1.9890260631001373E-2</v>
      </c>
      <c r="AI25" s="168">
        <f t="shared" si="17"/>
        <v>1.0175922731976544E-2</v>
      </c>
      <c r="AJ25" s="426">
        <f t="shared" si="18"/>
        <v>1.2127894156560088E-2</v>
      </c>
    </row>
    <row r="26" spans="1:36" s="166" customFormat="1">
      <c r="A26" s="170" t="s">
        <v>51</v>
      </c>
      <c r="B26" s="532" t="s">
        <v>52</v>
      </c>
      <c r="C26" s="171" t="s">
        <v>273</v>
      </c>
      <c r="D26" s="172">
        <f t="shared" si="8"/>
        <v>9355</v>
      </c>
      <c r="E26" s="172">
        <v>6451</v>
      </c>
      <c r="F26" s="172">
        <v>2700</v>
      </c>
      <c r="G26" s="172">
        <v>204</v>
      </c>
      <c r="H26" s="172">
        <f t="shared" si="9"/>
        <v>3231</v>
      </c>
      <c r="I26" s="172">
        <v>2016</v>
      </c>
      <c r="J26" s="172">
        <v>1051</v>
      </c>
      <c r="K26" s="172">
        <v>164</v>
      </c>
      <c r="L26" s="172">
        <f t="shared" si="10"/>
        <v>12586</v>
      </c>
      <c r="M26" s="172">
        <f t="shared" si="10"/>
        <v>8467</v>
      </c>
      <c r="N26" s="172">
        <f t="shared" si="10"/>
        <v>3751</v>
      </c>
      <c r="O26" s="172">
        <f t="shared" si="10"/>
        <v>368</v>
      </c>
      <c r="P26" s="172">
        <f t="shared" si="11"/>
        <v>12586</v>
      </c>
      <c r="R26" s="173">
        <f t="shared" si="0"/>
        <v>0.74328619100587956</v>
      </c>
      <c r="S26" s="173">
        <f t="shared" si="1"/>
        <v>0.68957776590058795</v>
      </c>
      <c r="T26" s="173">
        <f t="shared" si="2"/>
        <v>0.28861571352218063</v>
      </c>
      <c r="U26" s="173">
        <f t="shared" si="3"/>
        <v>2.1806520577231429E-2</v>
      </c>
      <c r="V26" s="173">
        <f t="shared" si="4"/>
        <v>0.25671380899412044</v>
      </c>
      <c r="W26" s="173">
        <f t="shared" si="5"/>
        <v>0.62395543175487467</v>
      </c>
      <c r="X26" s="173">
        <f t="shared" si="6"/>
        <v>0.3252862890745899</v>
      </c>
      <c r="Y26" s="173">
        <f t="shared" si="7"/>
        <v>5.0758279170535436E-2</v>
      </c>
      <c r="Z26" s="173">
        <f t="shared" si="12"/>
        <v>1</v>
      </c>
      <c r="AA26" s="173">
        <f t="shared" si="13"/>
        <v>0.67273160654695696</v>
      </c>
      <c r="AB26" s="173">
        <f t="shared" si="14"/>
        <v>0.29802955665024633</v>
      </c>
      <c r="AC26" s="173">
        <f t="shared" si="15"/>
        <v>2.9238836802796757E-2</v>
      </c>
      <c r="AE26" s="425">
        <v>92</v>
      </c>
      <c r="AF26" s="169">
        <v>148</v>
      </c>
      <c r="AG26" s="424">
        <f t="shared" si="19"/>
        <v>240</v>
      </c>
      <c r="AH26" s="168">
        <f t="shared" si="16"/>
        <v>2.8474156607861342E-2</v>
      </c>
      <c r="AI26" s="168">
        <f t="shared" si="17"/>
        <v>1.5820416889363975E-2</v>
      </c>
      <c r="AJ26" s="426">
        <f t="shared" si="18"/>
        <v>1.9068806610519625E-2</v>
      </c>
    </row>
    <row r="27" spans="1:36" s="166" customFormat="1">
      <c r="A27" s="170" t="s">
        <v>57</v>
      </c>
      <c r="B27" s="532" t="s">
        <v>362</v>
      </c>
      <c r="C27" s="171" t="s">
        <v>275</v>
      </c>
      <c r="D27" s="172">
        <f t="shared" si="8"/>
        <v>237588</v>
      </c>
      <c r="E27" s="172">
        <v>170985</v>
      </c>
      <c r="F27" s="172">
        <v>47121</v>
      </c>
      <c r="G27" s="172">
        <v>19482</v>
      </c>
      <c r="H27" s="172">
        <f t="shared" si="9"/>
        <v>96059</v>
      </c>
      <c r="I27" s="172">
        <v>59295</v>
      </c>
      <c r="J27" s="172">
        <v>24074</v>
      </c>
      <c r="K27" s="172">
        <v>12690</v>
      </c>
      <c r="L27" s="172">
        <f t="shared" si="10"/>
        <v>333647</v>
      </c>
      <c r="M27" s="172">
        <f t="shared" si="10"/>
        <v>230280</v>
      </c>
      <c r="N27" s="172">
        <f t="shared" si="10"/>
        <v>71195</v>
      </c>
      <c r="O27" s="172">
        <f t="shared" si="10"/>
        <v>32172</v>
      </c>
      <c r="P27" s="172">
        <f t="shared" si="11"/>
        <v>333647</v>
      </c>
      <c r="R27" s="173">
        <f t="shared" si="0"/>
        <v>0.71209391962163604</v>
      </c>
      <c r="S27" s="173">
        <f t="shared" si="1"/>
        <v>0.71967018536289706</v>
      </c>
      <c r="T27" s="173">
        <f t="shared" si="2"/>
        <v>0.19833072377392796</v>
      </c>
      <c r="U27" s="173">
        <f t="shared" si="3"/>
        <v>8.1999090863174903E-2</v>
      </c>
      <c r="V27" s="173">
        <f t="shared" si="4"/>
        <v>0.28790608037836396</v>
      </c>
      <c r="W27" s="173">
        <f t="shared" si="5"/>
        <v>0.61727688191632224</v>
      </c>
      <c r="X27" s="173">
        <f t="shared" si="6"/>
        <v>0.25061680841982531</v>
      </c>
      <c r="Y27" s="173">
        <f t="shared" si="7"/>
        <v>0.13210630966385242</v>
      </c>
      <c r="Z27" s="173">
        <f t="shared" si="12"/>
        <v>1</v>
      </c>
      <c r="AA27" s="173">
        <f t="shared" si="13"/>
        <v>0.69019053071060132</v>
      </c>
      <c r="AB27" s="173">
        <f t="shared" si="14"/>
        <v>0.21338420546265963</v>
      </c>
      <c r="AC27" s="173">
        <f t="shared" si="15"/>
        <v>9.6425263826739036E-2</v>
      </c>
      <c r="AE27" s="425">
        <v>9294</v>
      </c>
      <c r="AF27" s="169">
        <v>14244</v>
      </c>
      <c r="AG27" s="424">
        <f t="shared" si="19"/>
        <v>23538</v>
      </c>
      <c r="AH27" s="168">
        <f t="shared" si="16"/>
        <v>9.6753037195890026E-2</v>
      </c>
      <c r="AI27" s="168">
        <f t="shared" si="17"/>
        <v>5.9952522854689633E-2</v>
      </c>
      <c r="AJ27" s="426">
        <f t="shared" si="18"/>
        <v>7.0547614694572408E-2</v>
      </c>
    </row>
    <row r="28" spans="1:36" s="166" customFormat="1">
      <c r="A28" s="170" t="s">
        <v>59</v>
      </c>
      <c r="B28" s="532" t="s">
        <v>60</v>
      </c>
      <c r="C28" s="171" t="s">
        <v>276</v>
      </c>
      <c r="D28" s="172">
        <f t="shared" si="8"/>
        <v>10520</v>
      </c>
      <c r="E28" s="172">
        <v>9581</v>
      </c>
      <c r="F28" s="172">
        <v>593</v>
      </c>
      <c r="G28" s="172">
        <v>346</v>
      </c>
      <c r="H28" s="172">
        <f t="shared" si="9"/>
        <v>3514</v>
      </c>
      <c r="I28" s="172">
        <v>3081</v>
      </c>
      <c r="J28" s="172">
        <v>153</v>
      </c>
      <c r="K28" s="172">
        <v>280</v>
      </c>
      <c r="L28" s="172">
        <f t="shared" si="10"/>
        <v>14034</v>
      </c>
      <c r="M28" s="172">
        <f t="shared" si="10"/>
        <v>12662</v>
      </c>
      <c r="N28" s="172">
        <f t="shared" si="10"/>
        <v>746</v>
      </c>
      <c r="O28" s="172">
        <f t="shared" si="10"/>
        <v>626</v>
      </c>
      <c r="P28" s="172">
        <f t="shared" si="11"/>
        <v>14034</v>
      </c>
      <c r="R28" s="173">
        <f t="shared" si="0"/>
        <v>0.74960809462733358</v>
      </c>
      <c r="S28" s="173">
        <f t="shared" si="1"/>
        <v>0.9107414448669201</v>
      </c>
      <c r="T28" s="173">
        <f t="shared" si="2"/>
        <v>5.6368821292775664E-2</v>
      </c>
      <c r="U28" s="173">
        <f t="shared" si="3"/>
        <v>3.2889733840304185E-2</v>
      </c>
      <c r="V28" s="173">
        <f t="shared" si="4"/>
        <v>0.25039190537266637</v>
      </c>
      <c r="W28" s="173">
        <f t="shared" si="5"/>
        <v>0.87677859988616957</v>
      </c>
      <c r="X28" s="173">
        <f t="shared" si="6"/>
        <v>4.3540125213431986E-2</v>
      </c>
      <c r="Y28" s="173">
        <f t="shared" si="7"/>
        <v>7.9681274900398405E-2</v>
      </c>
      <c r="Z28" s="173">
        <f t="shared" si="12"/>
        <v>1</v>
      </c>
      <c r="AA28" s="173">
        <f t="shared" si="13"/>
        <v>0.90223742340031354</v>
      </c>
      <c r="AB28" s="173">
        <f t="shared" si="14"/>
        <v>5.315661963802195E-2</v>
      </c>
      <c r="AC28" s="173">
        <f t="shared" si="15"/>
        <v>4.4605956961664528E-2</v>
      </c>
      <c r="AE28" s="425">
        <v>211</v>
      </c>
      <c r="AF28" s="169">
        <v>279</v>
      </c>
      <c r="AG28" s="424">
        <f t="shared" si="19"/>
        <v>490</v>
      </c>
      <c r="AH28" s="168">
        <f t="shared" si="16"/>
        <v>6.004553215708594E-2</v>
      </c>
      <c r="AI28" s="168">
        <f t="shared" si="17"/>
        <v>2.6520912547528516E-2</v>
      </c>
      <c r="AJ28" s="426">
        <f t="shared" si="18"/>
        <v>3.4915205928459453E-2</v>
      </c>
    </row>
    <row r="29" spans="1:36" s="166" customFormat="1">
      <c r="A29" s="170" t="s">
        <v>61</v>
      </c>
      <c r="B29" s="532" t="s">
        <v>62</v>
      </c>
      <c r="C29" s="171" t="s">
        <v>273</v>
      </c>
      <c r="D29" s="172">
        <f t="shared" si="8"/>
        <v>3964</v>
      </c>
      <c r="E29" s="172">
        <v>3923</v>
      </c>
      <c r="F29" s="172">
        <v>2</v>
      </c>
      <c r="G29" s="172">
        <v>39</v>
      </c>
      <c r="H29" s="172">
        <f t="shared" si="9"/>
        <v>1226</v>
      </c>
      <c r="I29" s="172">
        <v>1199</v>
      </c>
      <c r="J29" s="172">
        <v>3</v>
      </c>
      <c r="K29" s="172">
        <v>24</v>
      </c>
      <c r="L29" s="172">
        <f t="shared" si="10"/>
        <v>5190</v>
      </c>
      <c r="M29" s="172">
        <f t="shared" si="10"/>
        <v>5122</v>
      </c>
      <c r="N29" s="172">
        <f t="shared" si="10"/>
        <v>5</v>
      </c>
      <c r="O29" s="172">
        <f t="shared" si="10"/>
        <v>63</v>
      </c>
      <c r="P29" s="172">
        <f t="shared" si="11"/>
        <v>5190</v>
      </c>
      <c r="R29" s="173">
        <f t="shared" si="0"/>
        <v>0.76377649325626207</v>
      </c>
      <c r="S29" s="173">
        <f t="shared" si="1"/>
        <v>0.98965691220988905</v>
      </c>
      <c r="T29" s="173">
        <f t="shared" si="2"/>
        <v>5.0454086781029264E-4</v>
      </c>
      <c r="U29" s="173">
        <f t="shared" si="3"/>
        <v>9.8385469223007064E-3</v>
      </c>
      <c r="V29" s="173">
        <f t="shared" si="4"/>
        <v>0.23622350674373796</v>
      </c>
      <c r="W29" s="173">
        <f t="shared" si="5"/>
        <v>0.97797716150081571</v>
      </c>
      <c r="X29" s="173">
        <f t="shared" si="6"/>
        <v>2.4469820554649264E-3</v>
      </c>
      <c r="Y29" s="173">
        <f t="shared" si="7"/>
        <v>1.9575856443719411E-2</v>
      </c>
      <c r="Z29" s="173">
        <f t="shared" si="12"/>
        <v>1</v>
      </c>
      <c r="AA29" s="173">
        <f t="shared" si="13"/>
        <v>0.98689788053949901</v>
      </c>
      <c r="AB29" s="173">
        <f t="shared" si="14"/>
        <v>9.6339113680154141E-4</v>
      </c>
      <c r="AC29" s="173">
        <f t="shared" si="15"/>
        <v>1.2138728323699421E-2</v>
      </c>
      <c r="AE29" s="425">
        <v>16</v>
      </c>
      <c r="AF29" s="169">
        <v>20</v>
      </c>
      <c r="AG29" s="424">
        <f t="shared" si="19"/>
        <v>36</v>
      </c>
      <c r="AH29" s="168">
        <f t="shared" si="16"/>
        <v>1.3050570962479609E-2</v>
      </c>
      <c r="AI29" s="168">
        <f t="shared" si="17"/>
        <v>5.0454086781029266E-3</v>
      </c>
      <c r="AJ29" s="426">
        <f t="shared" si="18"/>
        <v>6.9364161849710983E-3</v>
      </c>
    </row>
    <row r="30" spans="1:36" s="166" customFormat="1">
      <c r="A30" s="170" t="s">
        <v>63</v>
      </c>
      <c r="B30" s="532" t="s">
        <v>64</v>
      </c>
      <c r="C30" s="171" t="s">
        <v>276</v>
      </c>
      <c r="D30" s="172">
        <f t="shared" si="8"/>
        <v>33445</v>
      </c>
      <c r="E30" s="172">
        <v>25838</v>
      </c>
      <c r="F30" s="172">
        <v>5327</v>
      </c>
      <c r="G30" s="172">
        <v>2280</v>
      </c>
      <c r="H30" s="172">
        <f t="shared" si="9"/>
        <v>13244</v>
      </c>
      <c r="I30" s="172">
        <v>9220</v>
      </c>
      <c r="J30" s="172">
        <v>2041</v>
      </c>
      <c r="K30" s="172">
        <v>1983</v>
      </c>
      <c r="L30" s="172">
        <f t="shared" si="10"/>
        <v>46689</v>
      </c>
      <c r="M30" s="172">
        <f t="shared" si="10"/>
        <v>35058</v>
      </c>
      <c r="N30" s="172">
        <f t="shared" si="10"/>
        <v>7368</v>
      </c>
      <c r="O30" s="172">
        <f t="shared" si="10"/>
        <v>4263</v>
      </c>
      <c r="P30" s="172">
        <f t="shared" si="11"/>
        <v>46689</v>
      </c>
      <c r="R30" s="173">
        <f t="shared" si="0"/>
        <v>0.71633575360363255</v>
      </c>
      <c r="S30" s="173">
        <f t="shared" si="1"/>
        <v>0.77255195096426965</v>
      </c>
      <c r="T30" s="173">
        <f t="shared" si="2"/>
        <v>0.15927642397966812</v>
      </c>
      <c r="U30" s="173">
        <f t="shared" si="3"/>
        <v>6.8171625056062196E-2</v>
      </c>
      <c r="V30" s="173">
        <f t="shared" si="4"/>
        <v>0.28366424639636745</v>
      </c>
      <c r="W30" s="173">
        <f t="shared" si="5"/>
        <v>0.69616430081546365</v>
      </c>
      <c r="X30" s="173">
        <f t="shared" si="6"/>
        <v>0.15410752038659015</v>
      </c>
      <c r="Y30" s="173">
        <f t="shared" si="7"/>
        <v>0.14972817879794623</v>
      </c>
      <c r="Z30" s="173">
        <f t="shared" si="12"/>
        <v>1</v>
      </c>
      <c r="AA30" s="173">
        <f t="shared" si="13"/>
        <v>0.7508835057508193</v>
      </c>
      <c r="AB30" s="173">
        <f t="shared" si="14"/>
        <v>0.15781019083724218</v>
      </c>
      <c r="AC30" s="173">
        <f t="shared" si="15"/>
        <v>9.1306303411938572E-2</v>
      </c>
      <c r="AE30" s="425">
        <v>1655</v>
      </c>
      <c r="AF30" s="169">
        <v>2502</v>
      </c>
      <c r="AG30" s="424">
        <f t="shared" si="19"/>
        <v>4157</v>
      </c>
      <c r="AH30" s="168">
        <f t="shared" si="16"/>
        <v>0.12496224705527031</v>
      </c>
      <c r="AI30" s="168">
        <f t="shared" si="17"/>
        <v>7.4809388548362984E-2</v>
      </c>
      <c r="AJ30" s="426">
        <f t="shared" si="18"/>
        <v>8.9035961361348503E-2</v>
      </c>
    </row>
    <row r="31" spans="1:36" s="166" customFormat="1">
      <c r="A31" s="170" t="s">
        <v>65</v>
      </c>
      <c r="B31" s="532" t="s">
        <v>66</v>
      </c>
      <c r="C31" s="171" t="s">
        <v>275</v>
      </c>
      <c r="D31" s="172">
        <f t="shared" si="8"/>
        <v>7495</v>
      </c>
      <c r="E31" s="172">
        <v>4922</v>
      </c>
      <c r="F31" s="172">
        <v>2385</v>
      </c>
      <c r="G31" s="172">
        <v>188</v>
      </c>
      <c r="H31" s="172">
        <f t="shared" si="9"/>
        <v>2557</v>
      </c>
      <c r="I31" s="172">
        <v>1505</v>
      </c>
      <c r="J31" s="172">
        <v>893</v>
      </c>
      <c r="K31" s="172">
        <v>159</v>
      </c>
      <c r="L31" s="172">
        <f t="shared" si="10"/>
        <v>10052</v>
      </c>
      <c r="M31" s="172">
        <f t="shared" si="10"/>
        <v>6427</v>
      </c>
      <c r="N31" s="172">
        <f t="shared" si="10"/>
        <v>3278</v>
      </c>
      <c r="O31" s="172">
        <f t="shared" si="10"/>
        <v>347</v>
      </c>
      <c r="P31" s="172">
        <f t="shared" si="11"/>
        <v>10052</v>
      </c>
      <c r="R31" s="173">
        <f t="shared" si="0"/>
        <v>0.74562276163947472</v>
      </c>
      <c r="S31" s="173">
        <f t="shared" si="1"/>
        <v>0.65670446964643092</v>
      </c>
      <c r="T31" s="173">
        <f t="shared" si="2"/>
        <v>0.31821214142761839</v>
      </c>
      <c r="U31" s="173">
        <f t="shared" si="3"/>
        <v>2.5083388925950634E-2</v>
      </c>
      <c r="V31" s="173">
        <f t="shared" si="4"/>
        <v>0.25437723836052528</v>
      </c>
      <c r="W31" s="173">
        <f t="shared" si="5"/>
        <v>0.58858036761830268</v>
      </c>
      <c r="X31" s="173">
        <f t="shared" si="6"/>
        <v>0.34923738756355105</v>
      </c>
      <c r="Y31" s="173">
        <f t="shared" si="7"/>
        <v>6.2182244818146264E-2</v>
      </c>
      <c r="Z31" s="173">
        <f t="shared" si="12"/>
        <v>1</v>
      </c>
      <c r="AA31" s="173">
        <f t="shared" si="13"/>
        <v>0.63937524870672502</v>
      </c>
      <c r="AB31" s="173">
        <f t="shared" si="14"/>
        <v>0.3261042578591325</v>
      </c>
      <c r="AC31" s="173">
        <f t="shared" si="15"/>
        <v>3.4520493434142457E-2</v>
      </c>
      <c r="AE31" s="425">
        <v>85</v>
      </c>
      <c r="AF31" s="169">
        <v>96</v>
      </c>
      <c r="AG31" s="424">
        <f t="shared" si="19"/>
        <v>181</v>
      </c>
      <c r="AH31" s="168">
        <f t="shared" si="16"/>
        <v>3.3242080563159956E-2</v>
      </c>
      <c r="AI31" s="168">
        <f t="shared" si="17"/>
        <v>1.2808539026017345E-2</v>
      </c>
      <c r="AJ31" s="426">
        <f t="shared" si="18"/>
        <v>1.8006366892160765E-2</v>
      </c>
    </row>
    <row r="32" spans="1:36" s="166" customFormat="1">
      <c r="A32" s="170" t="s">
        <v>69</v>
      </c>
      <c r="B32" s="532" t="s">
        <v>70</v>
      </c>
      <c r="C32" s="171" t="s">
        <v>278</v>
      </c>
      <c r="D32" s="172">
        <f t="shared" si="8"/>
        <v>12185</v>
      </c>
      <c r="E32" s="172">
        <v>12056</v>
      </c>
      <c r="F32" s="172">
        <v>34</v>
      </c>
      <c r="G32" s="172">
        <v>95</v>
      </c>
      <c r="H32" s="172">
        <f t="shared" si="9"/>
        <v>3718</v>
      </c>
      <c r="I32" s="172">
        <v>3656</v>
      </c>
      <c r="J32" s="172">
        <v>17</v>
      </c>
      <c r="K32" s="172">
        <v>45</v>
      </c>
      <c r="L32" s="172">
        <f t="shared" si="10"/>
        <v>15903</v>
      </c>
      <c r="M32" s="172">
        <f t="shared" si="10"/>
        <v>15712</v>
      </c>
      <c r="N32" s="172">
        <f t="shared" si="10"/>
        <v>51</v>
      </c>
      <c r="O32" s="172">
        <f t="shared" si="10"/>
        <v>140</v>
      </c>
      <c r="P32" s="172">
        <f t="shared" si="11"/>
        <v>15903</v>
      </c>
      <c r="R32" s="173">
        <f t="shared" si="0"/>
        <v>0.76620763377978995</v>
      </c>
      <c r="S32" s="173">
        <f t="shared" si="1"/>
        <v>0.98941321296676243</v>
      </c>
      <c r="T32" s="173">
        <f t="shared" si="2"/>
        <v>2.7903159622486664E-3</v>
      </c>
      <c r="U32" s="173">
        <f t="shared" si="3"/>
        <v>7.7964710709889206E-3</v>
      </c>
      <c r="V32" s="173">
        <f t="shared" si="4"/>
        <v>0.23379236622021002</v>
      </c>
      <c r="W32" s="173">
        <f t="shared" si="5"/>
        <v>0.98332436793975253</v>
      </c>
      <c r="X32" s="173">
        <f t="shared" si="6"/>
        <v>4.5723507261968797E-3</v>
      </c>
      <c r="Y32" s="173">
        <f t="shared" si="7"/>
        <v>1.2103281334050565E-2</v>
      </c>
      <c r="Z32" s="173">
        <f t="shared" si="12"/>
        <v>1</v>
      </c>
      <c r="AA32" s="173">
        <f t="shared" si="13"/>
        <v>0.98798968748034965</v>
      </c>
      <c r="AB32" s="173">
        <f t="shared" si="14"/>
        <v>3.2069420863987926E-3</v>
      </c>
      <c r="AC32" s="173">
        <f t="shared" si="15"/>
        <v>8.803370433251587E-3</v>
      </c>
      <c r="AE32" s="425">
        <v>34</v>
      </c>
      <c r="AF32" s="169">
        <v>52</v>
      </c>
      <c r="AG32" s="424">
        <f t="shared" si="19"/>
        <v>86</v>
      </c>
      <c r="AH32" s="168">
        <f t="shared" si="16"/>
        <v>9.1447014523937595E-3</v>
      </c>
      <c r="AI32" s="168">
        <f t="shared" si="17"/>
        <v>4.2675420599097248E-3</v>
      </c>
      <c r="AJ32" s="426">
        <f t="shared" si="18"/>
        <v>5.4077846947116898E-3</v>
      </c>
    </row>
    <row r="33" spans="1:36" s="166" customFormat="1">
      <c r="A33" s="170" t="s">
        <v>71</v>
      </c>
      <c r="B33" s="532" t="s">
        <v>72</v>
      </c>
      <c r="C33" s="171" t="s">
        <v>272</v>
      </c>
      <c r="D33" s="172">
        <f t="shared" si="8"/>
        <v>20786</v>
      </c>
      <c r="E33" s="172">
        <v>13552</v>
      </c>
      <c r="F33" s="172">
        <v>6734</v>
      </c>
      <c r="G33" s="172">
        <v>500</v>
      </c>
      <c r="H33" s="172">
        <f t="shared" si="9"/>
        <v>7215</v>
      </c>
      <c r="I33" s="172">
        <v>4347</v>
      </c>
      <c r="J33" s="172">
        <v>2470</v>
      </c>
      <c r="K33" s="172">
        <v>398</v>
      </c>
      <c r="L33" s="172">
        <f t="shared" si="10"/>
        <v>28001</v>
      </c>
      <c r="M33" s="172">
        <f t="shared" si="10"/>
        <v>17899</v>
      </c>
      <c r="N33" s="172">
        <f t="shared" si="10"/>
        <v>9204</v>
      </c>
      <c r="O33" s="172">
        <f t="shared" si="10"/>
        <v>898</v>
      </c>
      <c r="P33" s="172">
        <f t="shared" si="11"/>
        <v>28001</v>
      </c>
      <c r="R33" s="173">
        <f t="shared" si="0"/>
        <v>0.74233063104889108</v>
      </c>
      <c r="S33" s="173">
        <f t="shared" si="1"/>
        <v>0.65197729240835178</v>
      </c>
      <c r="T33" s="173">
        <f t="shared" si="2"/>
        <v>0.32396805542191859</v>
      </c>
      <c r="U33" s="173">
        <f t="shared" si="3"/>
        <v>2.4054652169729625E-2</v>
      </c>
      <c r="V33" s="173">
        <f t="shared" si="4"/>
        <v>0.25766936895110887</v>
      </c>
      <c r="W33" s="173">
        <f t="shared" si="5"/>
        <v>0.60249480249480247</v>
      </c>
      <c r="X33" s="173">
        <f t="shared" si="6"/>
        <v>0.34234234234234234</v>
      </c>
      <c r="Y33" s="173">
        <f t="shared" si="7"/>
        <v>5.5162855162855164E-2</v>
      </c>
      <c r="Z33" s="173">
        <f t="shared" si="12"/>
        <v>1</v>
      </c>
      <c r="AA33" s="173">
        <f t="shared" si="13"/>
        <v>0.63922717045819788</v>
      </c>
      <c r="AB33" s="173">
        <f t="shared" si="14"/>
        <v>0.3287025463376308</v>
      </c>
      <c r="AC33" s="173">
        <f t="shared" si="15"/>
        <v>3.2070283204171282E-2</v>
      </c>
      <c r="AE33" s="425">
        <v>311</v>
      </c>
      <c r="AF33" s="169">
        <v>363</v>
      </c>
      <c r="AG33" s="424">
        <f t="shared" si="19"/>
        <v>674</v>
      </c>
      <c r="AH33" s="168">
        <f t="shared" si="16"/>
        <v>4.3104643104643105E-2</v>
      </c>
      <c r="AI33" s="168">
        <f t="shared" si="17"/>
        <v>1.7463677475223708E-2</v>
      </c>
      <c r="AJ33" s="426">
        <f t="shared" si="18"/>
        <v>2.4070568908253275E-2</v>
      </c>
    </row>
    <row r="34" spans="1:36" s="166" customFormat="1">
      <c r="A34" s="170" t="s">
        <v>73</v>
      </c>
      <c r="B34" s="532" t="s">
        <v>74</v>
      </c>
      <c r="C34" s="171" t="s">
        <v>275</v>
      </c>
      <c r="D34" s="172">
        <f t="shared" si="8"/>
        <v>8411</v>
      </c>
      <c r="E34" s="172">
        <v>5089</v>
      </c>
      <c r="F34" s="172">
        <v>3034</v>
      </c>
      <c r="G34" s="172">
        <v>288</v>
      </c>
      <c r="H34" s="172">
        <f t="shared" si="9"/>
        <v>2740</v>
      </c>
      <c r="I34" s="172">
        <v>1281</v>
      </c>
      <c r="J34" s="172">
        <v>1213</v>
      </c>
      <c r="K34" s="172">
        <v>246</v>
      </c>
      <c r="L34" s="172">
        <f t="shared" si="10"/>
        <v>11151</v>
      </c>
      <c r="M34" s="172">
        <f t="shared" si="10"/>
        <v>6370</v>
      </c>
      <c r="N34" s="172">
        <f t="shared" si="10"/>
        <v>4247</v>
      </c>
      <c r="O34" s="172">
        <f t="shared" si="10"/>
        <v>534</v>
      </c>
      <c r="P34" s="172">
        <f t="shared" si="11"/>
        <v>11151</v>
      </c>
      <c r="R34" s="173">
        <f t="shared" si="0"/>
        <v>0.75428212716348308</v>
      </c>
      <c r="S34" s="173">
        <f t="shared" si="1"/>
        <v>0.60504101771489716</v>
      </c>
      <c r="T34" s="173">
        <f t="shared" si="2"/>
        <v>0.36071810724051839</v>
      </c>
      <c r="U34" s="173">
        <f t="shared" si="3"/>
        <v>3.4240875044584472E-2</v>
      </c>
      <c r="V34" s="173">
        <f t="shared" si="4"/>
        <v>0.24571787283651692</v>
      </c>
      <c r="W34" s="173">
        <f t="shared" si="5"/>
        <v>0.4675182481751825</v>
      </c>
      <c r="X34" s="173">
        <f t="shared" si="6"/>
        <v>0.44270072992700732</v>
      </c>
      <c r="Y34" s="173">
        <f t="shared" si="7"/>
        <v>8.9781021897810218E-2</v>
      </c>
      <c r="Z34" s="173">
        <f t="shared" si="12"/>
        <v>1</v>
      </c>
      <c r="AA34" s="173">
        <f t="shared" si="13"/>
        <v>0.57124921531701189</v>
      </c>
      <c r="AB34" s="173">
        <f t="shared" si="14"/>
        <v>0.38086270289660118</v>
      </c>
      <c r="AC34" s="173">
        <f t="shared" si="15"/>
        <v>4.7888081786386871E-2</v>
      </c>
      <c r="AE34" s="425">
        <v>135</v>
      </c>
      <c r="AF34" s="169">
        <v>214</v>
      </c>
      <c r="AG34" s="424">
        <f t="shared" si="19"/>
        <v>349</v>
      </c>
      <c r="AH34" s="168">
        <f t="shared" si="16"/>
        <v>4.9270072992700732E-2</v>
      </c>
      <c r="AI34" s="168">
        <f t="shared" si="17"/>
        <v>2.5442872428962073E-2</v>
      </c>
      <c r="AJ34" s="426">
        <f t="shared" si="18"/>
        <v>3.1297641467132993E-2</v>
      </c>
    </row>
    <row r="35" spans="1:36" s="166" customFormat="1">
      <c r="A35" s="170" t="s">
        <v>75</v>
      </c>
      <c r="B35" s="532" t="s">
        <v>1034</v>
      </c>
      <c r="C35" s="171" t="s">
        <v>276</v>
      </c>
      <c r="D35" s="172">
        <f t="shared" si="8"/>
        <v>822912</v>
      </c>
      <c r="E35" s="172">
        <v>534714</v>
      </c>
      <c r="F35" s="172">
        <v>71402</v>
      </c>
      <c r="G35" s="172">
        <v>216796</v>
      </c>
      <c r="H35" s="172">
        <f t="shared" si="9"/>
        <v>293711</v>
      </c>
      <c r="I35" s="172">
        <v>168835</v>
      </c>
      <c r="J35" s="172">
        <v>29419</v>
      </c>
      <c r="K35" s="172">
        <v>95457</v>
      </c>
      <c r="L35" s="172">
        <f t="shared" si="10"/>
        <v>1116623</v>
      </c>
      <c r="M35" s="172">
        <f t="shared" si="10"/>
        <v>703549</v>
      </c>
      <c r="N35" s="172">
        <f t="shared" si="10"/>
        <v>100821</v>
      </c>
      <c r="O35" s="172">
        <f t="shared" si="10"/>
        <v>312253</v>
      </c>
      <c r="P35" s="172">
        <f t="shared" si="11"/>
        <v>1116623</v>
      </c>
      <c r="R35" s="173">
        <f t="shared" si="0"/>
        <v>0.7369649380319051</v>
      </c>
      <c r="S35" s="173">
        <f t="shared" si="1"/>
        <v>0.64978272281847882</v>
      </c>
      <c r="T35" s="173">
        <f t="shared" si="2"/>
        <v>8.6767479390262872E-2</v>
      </c>
      <c r="U35" s="173">
        <f t="shared" si="3"/>
        <v>0.26344979779125838</v>
      </c>
      <c r="V35" s="173">
        <f t="shared" si="4"/>
        <v>0.2630350619680949</v>
      </c>
      <c r="W35" s="173">
        <f t="shared" si="5"/>
        <v>0.57483376516371532</v>
      </c>
      <c r="X35" s="173">
        <f t="shared" si="6"/>
        <v>0.10016308548198739</v>
      </c>
      <c r="Y35" s="173">
        <f t="shared" si="7"/>
        <v>0.32500314935429725</v>
      </c>
      <c r="Z35" s="173">
        <f t="shared" si="12"/>
        <v>1</v>
      </c>
      <c r="AA35" s="173">
        <f t="shared" si="13"/>
        <v>0.63006851909731398</v>
      </c>
      <c r="AB35" s="173">
        <f t="shared" si="14"/>
        <v>9.0290993468699815E-2</v>
      </c>
      <c r="AC35" s="173">
        <f t="shared" si="15"/>
        <v>0.27964048743398623</v>
      </c>
      <c r="AE35" s="425">
        <v>55650</v>
      </c>
      <c r="AF35" s="169">
        <v>117497</v>
      </c>
      <c r="AG35" s="424">
        <f t="shared" si="19"/>
        <v>173147</v>
      </c>
      <c r="AH35" s="168">
        <f t="shared" si="16"/>
        <v>0.18947196393733975</v>
      </c>
      <c r="AI35" s="168">
        <f t="shared" si="17"/>
        <v>0.14278197425727174</v>
      </c>
      <c r="AJ35" s="426">
        <f t="shared" si="18"/>
        <v>0.15506307858605814</v>
      </c>
    </row>
    <row r="36" spans="1:36" s="166" customFormat="1">
      <c r="A36" s="170" t="s">
        <v>77</v>
      </c>
      <c r="B36" s="532" t="s">
        <v>78</v>
      </c>
      <c r="C36" s="171" t="s">
        <v>276</v>
      </c>
      <c r="D36" s="172">
        <f t="shared" si="8"/>
        <v>47232</v>
      </c>
      <c r="E36" s="172">
        <v>40934</v>
      </c>
      <c r="F36" s="172">
        <v>3890</v>
      </c>
      <c r="G36" s="172">
        <v>2408</v>
      </c>
      <c r="H36" s="172">
        <f t="shared" si="9"/>
        <v>17971</v>
      </c>
      <c r="I36" s="172">
        <v>14673</v>
      </c>
      <c r="J36" s="172">
        <v>1431</v>
      </c>
      <c r="K36" s="172">
        <v>1867</v>
      </c>
      <c r="L36" s="172">
        <f t="shared" si="10"/>
        <v>65203</v>
      </c>
      <c r="M36" s="172">
        <f t="shared" si="10"/>
        <v>55607</v>
      </c>
      <c r="N36" s="172">
        <f t="shared" si="10"/>
        <v>5321</v>
      </c>
      <c r="O36" s="172">
        <f t="shared" si="10"/>
        <v>4275</v>
      </c>
      <c r="P36" s="172">
        <f t="shared" si="11"/>
        <v>65203</v>
      </c>
      <c r="R36" s="173">
        <f t="shared" si="0"/>
        <v>0.72438384736898609</v>
      </c>
      <c r="S36" s="173">
        <f t="shared" si="1"/>
        <v>0.86665819783197828</v>
      </c>
      <c r="T36" s="173">
        <f t="shared" si="2"/>
        <v>8.2359417344173444E-2</v>
      </c>
      <c r="U36" s="173">
        <f t="shared" si="3"/>
        <v>5.0982384823848238E-2</v>
      </c>
      <c r="V36" s="173">
        <f t="shared" si="4"/>
        <v>0.27561615263101391</v>
      </c>
      <c r="W36" s="173">
        <f t="shared" si="5"/>
        <v>0.81648211006621785</v>
      </c>
      <c r="X36" s="173">
        <f t="shared" si="6"/>
        <v>7.9628290022814532E-2</v>
      </c>
      <c r="Y36" s="173">
        <f t="shared" si="7"/>
        <v>0.10388959991096768</v>
      </c>
      <c r="Z36" s="173">
        <f t="shared" si="12"/>
        <v>1</v>
      </c>
      <c r="AA36" s="173">
        <f t="shared" si="13"/>
        <v>0.85282885756790328</v>
      </c>
      <c r="AB36" s="173">
        <f t="shared" si="14"/>
        <v>8.1606674539515048E-2</v>
      </c>
      <c r="AC36" s="173">
        <f t="shared" si="15"/>
        <v>6.5564467892581635E-2</v>
      </c>
      <c r="AE36" s="425">
        <v>1747</v>
      </c>
      <c r="AF36" s="169">
        <v>2431</v>
      </c>
      <c r="AG36" s="424">
        <f t="shared" si="19"/>
        <v>4178</v>
      </c>
      <c r="AH36" s="168">
        <f t="shared" si="16"/>
        <v>9.7212175171109014E-2</v>
      </c>
      <c r="AI36" s="168">
        <f t="shared" si="17"/>
        <v>5.1469342818428188E-2</v>
      </c>
      <c r="AJ36" s="426">
        <f t="shared" si="18"/>
        <v>6.4076806281919543E-2</v>
      </c>
    </row>
    <row r="37" spans="1:36" s="166" customFormat="1">
      <c r="A37" s="170" t="s">
        <v>79</v>
      </c>
      <c r="B37" s="532" t="s">
        <v>80</v>
      </c>
      <c r="C37" s="171" t="s">
        <v>278</v>
      </c>
      <c r="D37" s="172">
        <f t="shared" si="8"/>
        <v>11663</v>
      </c>
      <c r="E37" s="172">
        <v>11236</v>
      </c>
      <c r="F37" s="172">
        <v>232</v>
      </c>
      <c r="G37" s="172">
        <v>195</v>
      </c>
      <c r="H37" s="172">
        <f t="shared" si="9"/>
        <v>3616</v>
      </c>
      <c r="I37" s="172">
        <v>3424</v>
      </c>
      <c r="J37" s="172">
        <v>48</v>
      </c>
      <c r="K37" s="172">
        <v>144</v>
      </c>
      <c r="L37" s="172">
        <f t="shared" si="10"/>
        <v>15279</v>
      </c>
      <c r="M37" s="172">
        <f t="shared" si="10"/>
        <v>14660</v>
      </c>
      <c r="N37" s="172">
        <f t="shared" si="10"/>
        <v>280</v>
      </c>
      <c r="O37" s="172">
        <f t="shared" si="10"/>
        <v>339</v>
      </c>
      <c r="P37" s="172">
        <f t="shared" si="11"/>
        <v>15279</v>
      </c>
      <c r="R37" s="173">
        <f t="shared" si="0"/>
        <v>0.76333529681261858</v>
      </c>
      <c r="S37" s="173">
        <f t="shared" si="1"/>
        <v>0.96338849352653688</v>
      </c>
      <c r="T37" s="173">
        <f t="shared" si="2"/>
        <v>1.9891966046471747E-2</v>
      </c>
      <c r="U37" s="173">
        <f t="shared" si="3"/>
        <v>1.671954042699134E-2</v>
      </c>
      <c r="V37" s="173">
        <f t="shared" si="4"/>
        <v>0.23666470318738136</v>
      </c>
      <c r="W37" s="173">
        <f t="shared" si="5"/>
        <v>0.94690265486725667</v>
      </c>
      <c r="X37" s="173">
        <f t="shared" si="6"/>
        <v>1.3274336283185841E-2</v>
      </c>
      <c r="Y37" s="173">
        <f t="shared" si="7"/>
        <v>3.9823008849557522E-2</v>
      </c>
      <c r="Z37" s="173">
        <f t="shared" si="12"/>
        <v>1</v>
      </c>
      <c r="AA37" s="173">
        <f t="shared" si="13"/>
        <v>0.9594868774134433</v>
      </c>
      <c r="AB37" s="173">
        <f t="shared" si="14"/>
        <v>1.8325806662739707E-2</v>
      </c>
      <c r="AC37" s="173">
        <f t="shared" si="15"/>
        <v>2.2187315923817005E-2</v>
      </c>
      <c r="AE37" s="425">
        <v>161</v>
      </c>
      <c r="AF37" s="169">
        <v>251</v>
      </c>
      <c r="AG37" s="424">
        <f t="shared" si="19"/>
        <v>412</v>
      </c>
      <c r="AH37" s="168">
        <f t="shared" si="16"/>
        <v>4.4524336283185841E-2</v>
      </c>
      <c r="AI37" s="168">
        <f t="shared" si="17"/>
        <v>2.1521049472691418E-2</v>
      </c>
      <c r="AJ37" s="426">
        <f t="shared" si="18"/>
        <v>2.6965115518031286E-2</v>
      </c>
    </row>
    <row r="38" spans="1:36" s="166" customFormat="1">
      <c r="A38" s="170" t="s">
        <v>81</v>
      </c>
      <c r="B38" s="532" t="s">
        <v>82</v>
      </c>
      <c r="C38" s="171" t="s">
        <v>275</v>
      </c>
      <c r="D38" s="172">
        <f t="shared" si="8"/>
        <v>19274</v>
      </c>
      <c r="E38" s="172">
        <v>15753</v>
      </c>
      <c r="F38" s="172">
        <v>3017</v>
      </c>
      <c r="G38" s="172">
        <v>504</v>
      </c>
      <c r="H38" s="172">
        <f t="shared" si="9"/>
        <v>6417</v>
      </c>
      <c r="I38" s="172">
        <v>4990</v>
      </c>
      <c r="J38" s="172">
        <v>921</v>
      </c>
      <c r="K38" s="172">
        <v>506</v>
      </c>
      <c r="L38" s="172">
        <f t="shared" si="10"/>
        <v>25691</v>
      </c>
      <c r="M38" s="172">
        <f t="shared" si="10"/>
        <v>20743</v>
      </c>
      <c r="N38" s="172">
        <f t="shared" si="10"/>
        <v>3938</v>
      </c>
      <c r="O38" s="172">
        <f t="shared" si="10"/>
        <v>1010</v>
      </c>
      <c r="P38" s="172">
        <f t="shared" si="11"/>
        <v>25691</v>
      </c>
      <c r="R38" s="173">
        <f t="shared" si="0"/>
        <v>0.75022381378692926</v>
      </c>
      <c r="S38" s="173">
        <f t="shared" si="1"/>
        <v>0.81731866763515615</v>
      </c>
      <c r="T38" s="173">
        <f t="shared" si="2"/>
        <v>0.15653211580367335</v>
      </c>
      <c r="U38" s="173">
        <f t="shared" si="3"/>
        <v>2.6149216561170488E-2</v>
      </c>
      <c r="V38" s="173">
        <f t="shared" si="4"/>
        <v>0.24977618621307074</v>
      </c>
      <c r="W38" s="173">
        <f t="shared" si="5"/>
        <v>0.77762194171731336</v>
      </c>
      <c r="X38" s="173">
        <f t="shared" si="6"/>
        <v>0.14352501168770454</v>
      </c>
      <c r="Y38" s="173">
        <f t="shared" si="7"/>
        <v>7.8853046594982074E-2</v>
      </c>
      <c r="Z38" s="173">
        <f t="shared" si="12"/>
        <v>1</v>
      </c>
      <c r="AA38" s="173">
        <f t="shared" si="13"/>
        <v>0.80740337083025182</v>
      </c>
      <c r="AB38" s="173">
        <f t="shared" si="14"/>
        <v>0.15328325094391032</v>
      </c>
      <c r="AC38" s="173">
        <f t="shared" si="15"/>
        <v>3.9313378225837844E-2</v>
      </c>
      <c r="AE38" s="425">
        <v>318</v>
      </c>
      <c r="AF38" s="169">
        <v>442</v>
      </c>
      <c r="AG38" s="424">
        <f t="shared" si="19"/>
        <v>760</v>
      </c>
      <c r="AH38" s="168">
        <f t="shared" si="16"/>
        <v>4.9555867227676485E-2</v>
      </c>
      <c r="AI38" s="168">
        <f t="shared" si="17"/>
        <v>2.2932447857216976E-2</v>
      </c>
      <c r="AJ38" s="426">
        <f t="shared" si="18"/>
        <v>2.9582344011521544E-2</v>
      </c>
    </row>
    <row r="39" spans="1:36" s="166" customFormat="1">
      <c r="A39" s="170" t="s">
        <v>85</v>
      </c>
      <c r="B39" s="532" t="s">
        <v>387</v>
      </c>
      <c r="C39" s="171" t="s">
        <v>273</v>
      </c>
      <c r="D39" s="172">
        <f t="shared" si="8"/>
        <v>42778</v>
      </c>
      <c r="E39" s="172">
        <v>38461</v>
      </c>
      <c r="F39" s="172">
        <v>3331</v>
      </c>
      <c r="G39" s="172">
        <v>986</v>
      </c>
      <c r="H39" s="172">
        <f t="shared" si="9"/>
        <v>13381</v>
      </c>
      <c r="I39" s="172">
        <v>11238</v>
      </c>
      <c r="J39" s="172">
        <v>1244</v>
      </c>
      <c r="K39" s="172">
        <v>899</v>
      </c>
      <c r="L39" s="172">
        <f t="shared" si="10"/>
        <v>56159</v>
      </c>
      <c r="M39" s="172">
        <f t="shared" si="10"/>
        <v>49699</v>
      </c>
      <c r="N39" s="172">
        <f t="shared" si="10"/>
        <v>4575</v>
      </c>
      <c r="O39" s="172">
        <f t="shared" si="10"/>
        <v>1885</v>
      </c>
      <c r="P39" s="172">
        <f t="shared" si="11"/>
        <v>56159</v>
      </c>
      <c r="R39" s="173">
        <f t="shared" si="0"/>
        <v>0.76173008778646345</v>
      </c>
      <c r="S39" s="173">
        <f t="shared" si="1"/>
        <v>0.89908364112394223</v>
      </c>
      <c r="T39" s="173">
        <f t="shared" si="2"/>
        <v>7.7867127962971627E-2</v>
      </c>
      <c r="U39" s="173">
        <f t="shared" si="3"/>
        <v>2.3049230913086166E-2</v>
      </c>
      <c r="V39" s="173">
        <f t="shared" si="4"/>
        <v>0.23826991221353658</v>
      </c>
      <c r="W39" s="173">
        <f t="shared" si="5"/>
        <v>0.83984754502653014</v>
      </c>
      <c r="X39" s="173">
        <f t="shared" si="6"/>
        <v>9.2967640684552724E-2</v>
      </c>
      <c r="Y39" s="173">
        <f t="shared" si="7"/>
        <v>6.7184814288917122E-2</v>
      </c>
      <c r="Z39" s="173">
        <f t="shared" si="12"/>
        <v>1</v>
      </c>
      <c r="AA39" s="173">
        <f t="shared" si="13"/>
        <v>0.88496946170693924</v>
      </c>
      <c r="AB39" s="173">
        <f t="shared" si="14"/>
        <v>8.1465125803522137E-2</v>
      </c>
      <c r="AC39" s="173">
        <f t="shared" si="15"/>
        <v>3.3565412489538635E-2</v>
      </c>
      <c r="AE39" s="425">
        <v>635</v>
      </c>
      <c r="AF39" s="169">
        <v>789</v>
      </c>
      <c r="AG39" s="424">
        <f t="shared" si="19"/>
        <v>1424</v>
      </c>
      <c r="AH39" s="168">
        <f t="shared" si="16"/>
        <v>4.7455347133995962E-2</v>
      </c>
      <c r="AI39" s="168">
        <f t="shared" si="17"/>
        <v>1.8444060030856982E-2</v>
      </c>
      <c r="AJ39" s="426">
        <f t="shared" si="18"/>
        <v>2.5356576862123614E-2</v>
      </c>
    </row>
    <row r="40" spans="1:36" s="166" customFormat="1">
      <c r="A40" s="170" t="s">
        <v>87</v>
      </c>
      <c r="B40" s="532" t="s">
        <v>88</v>
      </c>
      <c r="C40" s="171" t="s">
        <v>276</v>
      </c>
      <c r="D40" s="172">
        <f t="shared" si="8"/>
        <v>56663</v>
      </c>
      <c r="E40" s="172">
        <v>51708</v>
      </c>
      <c r="F40" s="172">
        <v>2113</v>
      </c>
      <c r="G40" s="172">
        <v>2842</v>
      </c>
      <c r="H40" s="172">
        <f t="shared" si="9"/>
        <v>21642</v>
      </c>
      <c r="I40" s="172">
        <v>18226</v>
      </c>
      <c r="J40" s="172">
        <v>1062</v>
      </c>
      <c r="K40" s="172">
        <v>2354</v>
      </c>
      <c r="L40" s="172">
        <f t="shared" si="10"/>
        <v>78305</v>
      </c>
      <c r="M40" s="172">
        <f t="shared" si="10"/>
        <v>69934</v>
      </c>
      <c r="N40" s="172">
        <f t="shared" si="10"/>
        <v>3175</v>
      </c>
      <c r="O40" s="172">
        <f t="shared" si="10"/>
        <v>5196</v>
      </c>
      <c r="P40" s="172">
        <f t="shared" si="11"/>
        <v>78305</v>
      </c>
      <c r="R40" s="173">
        <f t="shared" si="0"/>
        <v>0.72361918140604053</v>
      </c>
      <c r="S40" s="173">
        <f t="shared" si="1"/>
        <v>0.91255316520480734</v>
      </c>
      <c r="T40" s="173">
        <f t="shared" si="2"/>
        <v>3.729064821841413E-2</v>
      </c>
      <c r="U40" s="173">
        <f t="shared" si="3"/>
        <v>5.0156186576778498E-2</v>
      </c>
      <c r="V40" s="173">
        <f t="shared" si="4"/>
        <v>0.27638081859395952</v>
      </c>
      <c r="W40" s="173">
        <f t="shared" si="5"/>
        <v>0.84215876536364476</v>
      </c>
      <c r="X40" s="173">
        <f t="shared" si="6"/>
        <v>4.9071250346548377E-2</v>
      </c>
      <c r="Y40" s="173">
        <f t="shared" si="7"/>
        <v>0.10876998428980686</v>
      </c>
      <c r="Z40" s="173">
        <f t="shared" si="12"/>
        <v>1</v>
      </c>
      <c r="AA40" s="173">
        <f t="shared" si="13"/>
        <v>0.89309750335227633</v>
      </c>
      <c r="AB40" s="173">
        <f t="shared" si="14"/>
        <v>4.0546580678117616E-2</v>
      </c>
      <c r="AC40" s="173">
        <f t="shared" si="15"/>
        <v>6.6355915969606022E-2</v>
      </c>
      <c r="AE40" s="425">
        <v>2238</v>
      </c>
      <c r="AF40" s="169">
        <v>2930</v>
      </c>
      <c r="AG40" s="424">
        <f t="shared" si="19"/>
        <v>5168</v>
      </c>
      <c r="AH40" s="168">
        <f t="shared" si="16"/>
        <v>0.10341003604103133</v>
      </c>
      <c r="AI40" s="168">
        <f t="shared" si="17"/>
        <v>5.1709228244180505E-2</v>
      </c>
      <c r="AJ40" s="426">
        <f t="shared" si="18"/>
        <v>6.5998339825043106E-2</v>
      </c>
    </row>
    <row r="41" spans="1:36" s="166" customFormat="1">
      <c r="A41" s="170" t="s">
        <v>93</v>
      </c>
      <c r="B41" s="532" t="s">
        <v>94</v>
      </c>
      <c r="C41" s="171" t="s">
        <v>278</v>
      </c>
      <c r="D41" s="172">
        <f t="shared" si="8"/>
        <v>13171</v>
      </c>
      <c r="E41" s="172">
        <v>12809</v>
      </c>
      <c r="F41" s="172">
        <v>189</v>
      </c>
      <c r="G41" s="172">
        <v>173</v>
      </c>
      <c r="H41" s="172">
        <f t="shared" si="9"/>
        <v>4115</v>
      </c>
      <c r="I41" s="172">
        <v>3914</v>
      </c>
      <c r="J41" s="172">
        <v>72</v>
      </c>
      <c r="K41" s="172">
        <v>129</v>
      </c>
      <c r="L41" s="172">
        <f t="shared" si="10"/>
        <v>17286</v>
      </c>
      <c r="M41" s="172">
        <f t="shared" si="10"/>
        <v>16723</v>
      </c>
      <c r="N41" s="172">
        <f t="shared" si="10"/>
        <v>261</v>
      </c>
      <c r="O41" s="172">
        <f t="shared" si="10"/>
        <v>302</v>
      </c>
      <c r="P41" s="172">
        <f t="shared" si="11"/>
        <v>17286</v>
      </c>
      <c r="R41" s="173">
        <f t="shared" si="0"/>
        <v>0.76194608353580928</v>
      </c>
      <c r="S41" s="173">
        <f t="shared" si="1"/>
        <v>0.97251537468681193</v>
      </c>
      <c r="T41" s="173">
        <f t="shared" si="2"/>
        <v>1.4349707691139624E-2</v>
      </c>
      <c r="U41" s="173">
        <f t="shared" si="3"/>
        <v>1.313491762204844E-2</v>
      </c>
      <c r="V41" s="173">
        <f t="shared" si="4"/>
        <v>0.23805391646419066</v>
      </c>
      <c r="W41" s="173">
        <f t="shared" si="5"/>
        <v>0.95115431348724178</v>
      </c>
      <c r="X41" s="173">
        <f t="shared" si="6"/>
        <v>1.7496962332928311E-2</v>
      </c>
      <c r="Y41" s="173">
        <f t="shared" si="7"/>
        <v>3.1348724179829889E-2</v>
      </c>
      <c r="Z41" s="173">
        <f t="shared" si="12"/>
        <v>1</v>
      </c>
      <c r="AA41" s="173">
        <f t="shared" si="13"/>
        <v>0.96743029040842299</v>
      </c>
      <c r="AB41" s="173">
        <f t="shared" si="14"/>
        <v>1.5098923984727525E-2</v>
      </c>
      <c r="AC41" s="173">
        <f t="shared" si="15"/>
        <v>1.7470785606849473E-2</v>
      </c>
      <c r="AE41" s="425">
        <v>86</v>
      </c>
      <c r="AF41" s="169">
        <v>123</v>
      </c>
      <c r="AG41" s="424">
        <f t="shared" si="19"/>
        <v>209</v>
      </c>
      <c r="AH41" s="168">
        <f t="shared" si="16"/>
        <v>2.0899149453219926E-2</v>
      </c>
      <c r="AI41" s="168">
        <f t="shared" si="17"/>
        <v>9.3386986561384867E-3</v>
      </c>
      <c r="AJ41" s="426">
        <f t="shared" si="18"/>
        <v>1.2090709244475297E-2</v>
      </c>
    </row>
    <row r="42" spans="1:36" s="166" customFormat="1">
      <c r="A42" s="170" t="s">
        <v>95</v>
      </c>
      <c r="B42" s="532" t="s">
        <v>96</v>
      </c>
      <c r="C42" s="171" t="s">
        <v>272</v>
      </c>
      <c r="D42" s="172">
        <f t="shared" si="8"/>
        <v>27782</v>
      </c>
      <c r="E42" s="172">
        <v>24424</v>
      </c>
      <c r="F42" s="172">
        <v>2478</v>
      </c>
      <c r="G42" s="172">
        <v>880</v>
      </c>
      <c r="H42" s="172">
        <f t="shared" si="9"/>
        <v>9076</v>
      </c>
      <c r="I42" s="172">
        <v>7725</v>
      </c>
      <c r="J42" s="172">
        <v>719</v>
      </c>
      <c r="K42" s="172">
        <v>632</v>
      </c>
      <c r="L42" s="172">
        <f t="shared" si="10"/>
        <v>36858</v>
      </c>
      <c r="M42" s="172">
        <f t="shared" si="10"/>
        <v>32149</v>
      </c>
      <c r="N42" s="172">
        <f t="shared" si="10"/>
        <v>3197</v>
      </c>
      <c r="O42" s="172">
        <f t="shared" si="10"/>
        <v>1512</v>
      </c>
      <c r="P42" s="172">
        <f t="shared" si="11"/>
        <v>36858</v>
      </c>
      <c r="R42" s="173">
        <f t="shared" si="0"/>
        <v>0.7537576645504368</v>
      </c>
      <c r="S42" s="173">
        <f t="shared" si="1"/>
        <v>0.87913037218342815</v>
      </c>
      <c r="T42" s="173">
        <f t="shared" si="2"/>
        <v>8.9194442444748404E-2</v>
      </c>
      <c r="U42" s="173">
        <f t="shared" si="3"/>
        <v>3.1675185371823483E-2</v>
      </c>
      <c r="V42" s="173">
        <f t="shared" si="4"/>
        <v>0.2462423354495632</v>
      </c>
      <c r="W42" s="173">
        <f t="shared" si="5"/>
        <v>0.85114587924195684</v>
      </c>
      <c r="X42" s="173">
        <f t="shared" si="6"/>
        <v>7.9219920669898636E-2</v>
      </c>
      <c r="Y42" s="173">
        <f t="shared" si="7"/>
        <v>6.9634200088144554E-2</v>
      </c>
      <c r="Z42" s="173">
        <f t="shared" si="12"/>
        <v>1</v>
      </c>
      <c r="AA42" s="173">
        <f t="shared" si="13"/>
        <v>0.87223940528514843</v>
      </c>
      <c r="AB42" s="173">
        <f t="shared" si="14"/>
        <v>8.6738292907916875E-2</v>
      </c>
      <c r="AC42" s="173">
        <f t="shared" si="15"/>
        <v>4.1022301806934724E-2</v>
      </c>
      <c r="AE42" s="425">
        <v>357</v>
      </c>
      <c r="AF42" s="169">
        <v>578</v>
      </c>
      <c r="AG42" s="424">
        <f t="shared" si="19"/>
        <v>935</v>
      </c>
      <c r="AH42" s="168">
        <f t="shared" si="16"/>
        <v>3.9334508594094313E-2</v>
      </c>
      <c r="AI42" s="168">
        <f t="shared" si="17"/>
        <v>2.0804837664674971E-2</v>
      </c>
      <c r="AJ42" s="426">
        <f t="shared" si="18"/>
        <v>2.5367627109447066E-2</v>
      </c>
    </row>
    <row r="43" spans="1:36" s="166" customFormat="1">
      <c r="A43" s="170" t="s">
        <v>97</v>
      </c>
      <c r="B43" s="532" t="s">
        <v>98</v>
      </c>
      <c r="C43" s="171" t="s">
        <v>275</v>
      </c>
      <c r="D43" s="172">
        <f t="shared" si="8"/>
        <v>16929</v>
      </c>
      <c r="E43" s="172">
        <v>13076</v>
      </c>
      <c r="F43" s="172">
        <v>3410</v>
      </c>
      <c r="G43" s="172">
        <v>443</v>
      </c>
      <c r="H43" s="172">
        <f t="shared" si="9"/>
        <v>4788</v>
      </c>
      <c r="I43" s="172">
        <v>3744</v>
      </c>
      <c r="J43" s="172">
        <v>770</v>
      </c>
      <c r="K43" s="172">
        <v>274</v>
      </c>
      <c r="L43" s="172">
        <f t="shared" si="10"/>
        <v>21717</v>
      </c>
      <c r="M43" s="172">
        <f t="shared" si="10"/>
        <v>16820</v>
      </c>
      <c r="N43" s="172">
        <f t="shared" si="10"/>
        <v>4180</v>
      </c>
      <c r="O43" s="172">
        <f t="shared" si="10"/>
        <v>717</v>
      </c>
      <c r="P43" s="172">
        <f t="shared" si="11"/>
        <v>21717</v>
      </c>
      <c r="R43" s="173">
        <f t="shared" si="0"/>
        <v>0.77952755905511806</v>
      </c>
      <c r="S43" s="173">
        <f t="shared" si="1"/>
        <v>0.77240238643747416</v>
      </c>
      <c r="T43" s="173">
        <f t="shared" si="2"/>
        <v>0.2014294996751137</v>
      </c>
      <c r="U43" s="173">
        <f t="shared" si="3"/>
        <v>2.6168113887412133E-2</v>
      </c>
      <c r="V43" s="173">
        <f t="shared" si="4"/>
        <v>0.22047244094488189</v>
      </c>
      <c r="W43" s="173">
        <f t="shared" si="5"/>
        <v>0.78195488721804507</v>
      </c>
      <c r="X43" s="173">
        <f t="shared" si="6"/>
        <v>0.16081871345029239</v>
      </c>
      <c r="Y43" s="173">
        <f t="shared" si="7"/>
        <v>5.7226399331662486E-2</v>
      </c>
      <c r="Z43" s="173">
        <f t="shared" si="12"/>
        <v>1</v>
      </c>
      <c r="AA43" s="173">
        <f t="shared" si="13"/>
        <v>0.77450844960169452</v>
      </c>
      <c r="AB43" s="173">
        <f t="shared" si="14"/>
        <v>0.19247594050743658</v>
      </c>
      <c r="AC43" s="173">
        <f t="shared" si="15"/>
        <v>3.3015609890868908E-2</v>
      </c>
      <c r="AE43" s="425">
        <v>171</v>
      </c>
      <c r="AF43" s="169">
        <v>284</v>
      </c>
      <c r="AG43" s="424">
        <f t="shared" si="19"/>
        <v>455</v>
      </c>
      <c r="AH43" s="168">
        <f t="shared" si="16"/>
        <v>3.5714285714285712E-2</v>
      </c>
      <c r="AI43" s="168">
        <f t="shared" si="17"/>
        <v>1.6775946600508004E-2</v>
      </c>
      <c r="AJ43" s="426">
        <f t="shared" si="18"/>
        <v>2.0951328452364509E-2</v>
      </c>
    </row>
    <row r="44" spans="1:36" s="166" customFormat="1">
      <c r="A44" s="170" t="s">
        <v>99</v>
      </c>
      <c r="B44" s="532" t="s">
        <v>100</v>
      </c>
      <c r="C44" s="171" t="s">
        <v>278</v>
      </c>
      <c r="D44" s="172">
        <f t="shared" si="8"/>
        <v>12246</v>
      </c>
      <c r="E44" s="172">
        <v>11765</v>
      </c>
      <c r="F44" s="172">
        <v>234</v>
      </c>
      <c r="G44" s="172">
        <v>247</v>
      </c>
      <c r="H44" s="172">
        <f t="shared" si="9"/>
        <v>3287</v>
      </c>
      <c r="I44" s="172">
        <v>3037</v>
      </c>
      <c r="J44" s="172">
        <v>86</v>
      </c>
      <c r="K44" s="172">
        <v>164</v>
      </c>
      <c r="L44" s="172">
        <f t="shared" si="10"/>
        <v>15533</v>
      </c>
      <c r="M44" s="172">
        <f t="shared" si="10"/>
        <v>14802</v>
      </c>
      <c r="N44" s="172">
        <f t="shared" si="10"/>
        <v>320</v>
      </c>
      <c r="O44" s="172">
        <f t="shared" si="10"/>
        <v>411</v>
      </c>
      <c r="P44" s="172">
        <f t="shared" si="11"/>
        <v>15533</v>
      </c>
      <c r="R44" s="173">
        <f t="shared" si="0"/>
        <v>0.7883860168673148</v>
      </c>
      <c r="S44" s="173">
        <f t="shared" si="1"/>
        <v>0.96072186836518048</v>
      </c>
      <c r="T44" s="173">
        <f t="shared" si="2"/>
        <v>1.9108280254777069E-2</v>
      </c>
      <c r="U44" s="173">
        <f t="shared" si="3"/>
        <v>2.0169851380042462E-2</v>
      </c>
      <c r="V44" s="173">
        <f t="shared" si="4"/>
        <v>0.21161398313268526</v>
      </c>
      <c r="W44" s="173">
        <f t="shared" si="5"/>
        <v>0.923942804989352</v>
      </c>
      <c r="X44" s="173">
        <f t="shared" si="6"/>
        <v>2.6163675083662914E-2</v>
      </c>
      <c r="Y44" s="173">
        <f t="shared" si="7"/>
        <v>4.989351992698509E-2</v>
      </c>
      <c r="Z44" s="173">
        <f t="shared" si="12"/>
        <v>1</v>
      </c>
      <c r="AA44" s="173">
        <f t="shared" si="13"/>
        <v>0.95293890426833194</v>
      </c>
      <c r="AB44" s="173">
        <f t="shared" si="14"/>
        <v>2.0601300457091354E-2</v>
      </c>
      <c r="AC44" s="173">
        <f t="shared" si="15"/>
        <v>2.6459795274576706E-2</v>
      </c>
      <c r="AE44" s="425">
        <v>179</v>
      </c>
      <c r="AF44" s="169">
        <v>237</v>
      </c>
      <c r="AG44" s="424">
        <f t="shared" si="19"/>
        <v>416</v>
      </c>
      <c r="AH44" s="168">
        <f t="shared" si="16"/>
        <v>5.445695162762397E-2</v>
      </c>
      <c r="AI44" s="168">
        <f t="shared" si="17"/>
        <v>1.9353258206761391E-2</v>
      </c>
      <c r="AJ44" s="426">
        <f t="shared" si="18"/>
        <v>2.6781690594218761E-2</v>
      </c>
    </row>
    <row r="45" spans="1:36" s="166" customFormat="1">
      <c r="A45" s="170" t="s">
        <v>101</v>
      </c>
      <c r="B45" s="532" t="s">
        <v>102</v>
      </c>
      <c r="C45" s="171" t="s">
        <v>276</v>
      </c>
      <c r="D45" s="172">
        <f t="shared" si="8"/>
        <v>13393</v>
      </c>
      <c r="E45" s="172">
        <v>12000</v>
      </c>
      <c r="F45" s="172">
        <v>818</v>
      </c>
      <c r="G45" s="172">
        <v>575</v>
      </c>
      <c r="H45" s="172">
        <f t="shared" si="9"/>
        <v>5010</v>
      </c>
      <c r="I45" s="172">
        <v>4123</v>
      </c>
      <c r="J45" s="172">
        <v>349</v>
      </c>
      <c r="K45" s="172">
        <v>538</v>
      </c>
      <c r="L45" s="172">
        <f t="shared" si="10"/>
        <v>18403</v>
      </c>
      <c r="M45" s="172">
        <f t="shared" si="10"/>
        <v>16123</v>
      </c>
      <c r="N45" s="172">
        <f t="shared" si="10"/>
        <v>1167</v>
      </c>
      <c r="O45" s="172">
        <f t="shared" si="10"/>
        <v>1113</v>
      </c>
      <c r="P45" s="172">
        <f t="shared" si="11"/>
        <v>18403</v>
      </c>
      <c r="R45" s="173">
        <f t="shared" si="0"/>
        <v>0.72776177797098296</v>
      </c>
      <c r="S45" s="173">
        <f t="shared" si="1"/>
        <v>0.89599044276861051</v>
      </c>
      <c r="T45" s="173">
        <f t="shared" si="2"/>
        <v>6.1076681848726944E-2</v>
      </c>
      <c r="U45" s="173">
        <f t="shared" si="3"/>
        <v>4.2932875382662584E-2</v>
      </c>
      <c r="V45" s="173">
        <f t="shared" si="4"/>
        <v>0.27223822202901699</v>
      </c>
      <c r="W45" s="173">
        <f t="shared" si="5"/>
        <v>0.82295409181636725</v>
      </c>
      <c r="X45" s="173">
        <f t="shared" si="6"/>
        <v>6.9660678642714566E-2</v>
      </c>
      <c r="Y45" s="173">
        <f t="shared" si="7"/>
        <v>0.10738522954091817</v>
      </c>
      <c r="Z45" s="173">
        <f t="shared" si="12"/>
        <v>1</v>
      </c>
      <c r="AA45" s="173">
        <f t="shared" si="13"/>
        <v>0.87610715644188453</v>
      </c>
      <c r="AB45" s="173">
        <f t="shared" si="14"/>
        <v>6.3413573873824916E-2</v>
      </c>
      <c r="AC45" s="173">
        <f t="shared" si="15"/>
        <v>6.0479269684290606E-2</v>
      </c>
      <c r="AE45" s="425">
        <v>343</v>
      </c>
      <c r="AF45" s="169">
        <v>438</v>
      </c>
      <c r="AG45" s="424">
        <f t="shared" si="19"/>
        <v>781</v>
      </c>
      <c r="AH45" s="168">
        <f t="shared" si="16"/>
        <v>6.8463073852295414E-2</v>
      </c>
      <c r="AI45" s="168">
        <f t="shared" si="17"/>
        <v>3.2703651161054281E-2</v>
      </c>
      <c r="AJ45" s="426">
        <f t="shared" si="18"/>
        <v>4.2438732815301854E-2</v>
      </c>
    </row>
    <row r="46" spans="1:36" s="166" customFormat="1">
      <c r="A46" s="170" t="s">
        <v>103</v>
      </c>
      <c r="B46" s="532" t="s">
        <v>104</v>
      </c>
      <c r="C46" s="171" t="s">
        <v>272</v>
      </c>
      <c r="D46" s="172">
        <f t="shared" si="8"/>
        <v>14231</v>
      </c>
      <c r="E46" s="172">
        <v>5552</v>
      </c>
      <c r="F46" s="172">
        <v>8393</v>
      </c>
      <c r="G46" s="172">
        <v>286</v>
      </c>
      <c r="H46" s="172">
        <f t="shared" si="9"/>
        <v>3939</v>
      </c>
      <c r="I46" s="172">
        <v>1103</v>
      </c>
      <c r="J46" s="172">
        <v>2634</v>
      </c>
      <c r="K46" s="172">
        <v>202</v>
      </c>
      <c r="L46" s="172">
        <f t="shared" si="10"/>
        <v>18170</v>
      </c>
      <c r="M46" s="172">
        <f t="shared" si="10"/>
        <v>6655</v>
      </c>
      <c r="N46" s="172">
        <f t="shared" si="10"/>
        <v>11027</v>
      </c>
      <c r="O46" s="172">
        <f t="shared" si="10"/>
        <v>488</v>
      </c>
      <c r="P46" s="172">
        <f t="shared" si="11"/>
        <v>18170</v>
      </c>
      <c r="R46" s="173">
        <f t="shared" si="0"/>
        <v>0.78321408915795265</v>
      </c>
      <c r="S46" s="173">
        <f t="shared" si="1"/>
        <v>0.39013421403977233</v>
      </c>
      <c r="T46" s="173">
        <f t="shared" si="2"/>
        <v>0.58976881455976393</v>
      </c>
      <c r="U46" s="173">
        <f t="shared" si="3"/>
        <v>2.0096971400463775E-2</v>
      </c>
      <c r="V46" s="173">
        <f t="shared" si="4"/>
        <v>0.21678591084204732</v>
      </c>
      <c r="W46" s="173">
        <f t="shared" si="5"/>
        <v>0.28002030972328001</v>
      </c>
      <c r="X46" s="173">
        <f t="shared" si="6"/>
        <v>0.66869763899466872</v>
      </c>
      <c r="Y46" s="173">
        <f t="shared" si="7"/>
        <v>5.128205128205128E-2</v>
      </c>
      <c r="Z46" s="173">
        <f t="shared" si="12"/>
        <v>1</v>
      </c>
      <c r="AA46" s="173">
        <f t="shared" si="13"/>
        <v>0.36626307099614752</v>
      </c>
      <c r="AB46" s="173">
        <f t="shared" si="14"/>
        <v>0.60687947165657674</v>
      </c>
      <c r="AC46" s="173">
        <f t="shared" si="15"/>
        <v>2.685745734727573E-2</v>
      </c>
      <c r="AE46" s="425">
        <v>150</v>
      </c>
      <c r="AF46" s="169">
        <v>285</v>
      </c>
      <c r="AG46" s="424">
        <f t="shared" si="19"/>
        <v>435</v>
      </c>
      <c r="AH46" s="168">
        <f t="shared" si="16"/>
        <v>3.8080731150038079E-2</v>
      </c>
      <c r="AI46" s="168">
        <f t="shared" si="17"/>
        <v>2.0026702269692925E-2</v>
      </c>
      <c r="AJ46" s="426">
        <f t="shared" si="18"/>
        <v>2.3940561364887175E-2</v>
      </c>
    </row>
    <row r="47" spans="1:36" s="166" customFormat="1">
      <c r="A47" s="170" t="s">
        <v>105</v>
      </c>
      <c r="B47" s="532" t="s">
        <v>970</v>
      </c>
      <c r="C47" s="171" t="s">
        <v>273</v>
      </c>
      <c r="D47" s="172">
        <f t="shared" si="8"/>
        <v>27417</v>
      </c>
      <c r="E47" s="172">
        <v>17182</v>
      </c>
      <c r="F47" s="172">
        <v>9720</v>
      </c>
      <c r="G47" s="172">
        <v>515</v>
      </c>
      <c r="H47" s="172">
        <f t="shared" si="9"/>
        <v>8824</v>
      </c>
      <c r="I47" s="172">
        <v>4829</v>
      </c>
      <c r="J47" s="172">
        <v>3573</v>
      </c>
      <c r="K47" s="172">
        <v>422</v>
      </c>
      <c r="L47" s="172">
        <f t="shared" si="10"/>
        <v>36241</v>
      </c>
      <c r="M47" s="172">
        <f t="shared" si="10"/>
        <v>22011</v>
      </c>
      <c r="N47" s="172">
        <f t="shared" si="10"/>
        <v>13293</v>
      </c>
      <c r="O47" s="172">
        <f t="shared" si="10"/>
        <v>937</v>
      </c>
      <c r="P47" s="172">
        <f t="shared" si="11"/>
        <v>36241</v>
      </c>
      <c r="R47" s="173">
        <f t="shared" si="0"/>
        <v>0.75651885985486056</v>
      </c>
      <c r="S47" s="173">
        <f t="shared" si="1"/>
        <v>0.62669146879673199</v>
      </c>
      <c r="T47" s="173">
        <f t="shared" si="2"/>
        <v>0.35452456505088081</v>
      </c>
      <c r="U47" s="173">
        <f t="shared" si="3"/>
        <v>1.8783966152387206E-2</v>
      </c>
      <c r="V47" s="173">
        <f t="shared" si="4"/>
        <v>0.2434811401451395</v>
      </c>
      <c r="W47" s="173">
        <f t="shared" si="5"/>
        <v>0.54725747960108795</v>
      </c>
      <c r="X47" s="173">
        <f t="shared" si="6"/>
        <v>0.4049184043517679</v>
      </c>
      <c r="Y47" s="173">
        <f t="shared" si="7"/>
        <v>4.782411604714415E-2</v>
      </c>
      <c r="Z47" s="173">
        <f t="shared" si="12"/>
        <v>1</v>
      </c>
      <c r="AA47" s="173">
        <f t="shared" si="13"/>
        <v>0.60735079054109986</v>
      </c>
      <c r="AB47" s="173">
        <f t="shared" si="14"/>
        <v>0.36679451450015177</v>
      </c>
      <c r="AC47" s="173">
        <f t="shared" si="15"/>
        <v>2.585469495874838E-2</v>
      </c>
      <c r="AE47" s="425">
        <v>254</v>
      </c>
      <c r="AF47" s="169">
        <v>333</v>
      </c>
      <c r="AG47" s="424">
        <f t="shared" si="19"/>
        <v>587</v>
      </c>
      <c r="AH47" s="168">
        <f t="shared" si="16"/>
        <v>2.8785131459655486E-2</v>
      </c>
      <c r="AI47" s="168">
        <f t="shared" si="17"/>
        <v>1.2145748987854251E-2</v>
      </c>
      <c r="AJ47" s="426">
        <f t="shared" si="18"/>
        <v>1.6197124803399465E-2</v>
      </c>
    </row>
    <row r="48" spans="1:36" s="166" customFormat="1">
      <c r="A48" s="170" t="s">
        <v>109</v>
      </c>
      <c r="B48" s="532" t="s">
        <v>110</v>
      </c>
      <c r="C48" s="171" t="s">
        <v>275</v>
      </c>
      <c r="D48" s="172">
        <f t="shared" si="8"/>
        <v>72116</v>
      </c>
      <c r="E48" s="172">
        <v>63038</v>
      </c>
      <c r="F48" s="172">
        <v>6773</v>
      </c>
      <c r="G48" s="172">
        <v>2305</v>
      </c>
      <c r="H48" s="172">
        <f t="shared" si="9"/>
        <v>27747</v>
      </c>
      <c r="I48" s="172">
        <v>23512</v>
      </c>
      <c r="J48" s="172">
        <v>2531</v>
      </c>
      <c r="K48" s="172">
        <v>1704</v>
      </c>
      <c r="L48" s="172">
        <f t="shared" si="10"/>
        <v>99863</v>
      </c>
      <c r="M48" s="172">
        <f t="shared" si="10"/>
        <v>86550</v>
      </c>
      <c r="N48" s="172">
        <f t="shared" si="10"/>
        <v>9304</v>
      </c>
      <c r="O48" s="172">
        <f t="shared" si="10"/>
        <v>4009</v>
      </c>
      <c r="P48" s="172">
        <f t="shared" si="11"/>
        <v>99863</v>
      </c>
      <c r="R48" s="173">
        <f t="shared" si="0"/>
        <v>0.72214934460210489</v>
      </c>
      <c r="S48" s="173">
        <f t="shared" si="1"/>
        <v>0.87411947418048697</v>
      </c>
      <c r="T48" s="173">
        <f t="shared" si="2"/>
        <v>9.3918131898607801E-2</v>
      </c>
      <c r="U48" s="173">
        <f t="shared" si="3"/>
        <v>3.1962393920905205E-2</v>
      </c>
      <c r="V48" s="173">
        <f t="shared" si="4"/>
        <v>0.27785065539789511</v>
      </c>
      <c r="W48" s="173">
        <f t="shared" si="5"/>
        <v>0.84737088694273255</v>
      </c>
      <c r="X48" s="173">
        <f t="shared" si="6"/>
        <v>9.1217068511911192E-2</v>
      </c>
      <c r="Y48" s="173">
        <f t="shared" si="7"/>
        <v>6.1412044545356252E-2</v>
      </c>
      <c r="Z48" s="173">
        <f t="shared" si="12"/>
        <v>1</v>
      </c>
      <c r="AA48" s="173">
        <f t="shared" si="13"/>
        <v>0.86668736168550919</v>
      </c>
      <c r="AB48" s="173">
        <f t="shared" si="14"/>
        <v>9.3167639666342894E-2</v>
      </c>
      <c r="AC48" s="173">
        <f t="shared" si="15"/>
        <v>4.014499864814796E-2</v>
      </c>
      <c r="AE48" s="425">
        <v>831</v>
      </c>
      <c r="AF48" s="169">
        <v>1285</v>
      </c>
      <c r="AG48" s="424">
        <f t="shared" si="19"/>
        <v>2116</v>
      </c>
      <c r="AH48" s="168">
        <f t="shared" si="16"/>
        <v>2.9949183695534651E-2</v>
      </c>
      <c r="AI48" s="168">
        <f t="shared" si="17"/>
        <v>1.7818514615341948E-2</v>
      </c>
      <c r="AJ48" s="426">
        <f t="shared" si="18"/>
        <v>2.1189028969688474E-2</v>
      </c>
    </row>
    <row r="49" spans="1:36" s="166" customFormat="1">
      <c r="A49" s="170" t="s">
        <v>111</v>
      </c>
      <c r="B49" s="532" t="s">
        <v>112</v>
      </c>
      <c r="C49" s="171" t="s">
        <v>275</v>
      </c>
      <c r="D49" s="172">
        <f t="shared" si="8"/>
        <v>225857</v>
      </c>
      <c r="E49" s="172">
        <v>140464</v>
      </c>
      <c r="F49" s="172">
        <v>62892</v>
      </c>
      <c r="G49" s="172">
        <v>22501</v>
      </c>
      <c r="H49" s="172">
        <f t="shared" si="9"/>
        <v>81078</v>
      </c>
      <c r="I49" s="172">
        <v>41255</v>
      </c>
      <c r="J49" s="172">
        <v>27777</v>
      </c>
      <c r="K49" s="172">
        <v>12046</v>
      </c>
      <c r="L49" s="172">
        <f t="shared" si="10"/>
        <v>306935</v>
      </c>
      <c r="M49" s="172">
        <f t="shared" si="10"/>
        <v>181719</v>
      </c>
      <c r="N49" s="172">
        <f t="shared" si="10"/>
        <v>90669</v>
      </c>
      <c r="O49" s="172">
        <f t="shared" si="10"/>
        <v>34547</v>
      </c>
      <c r="P49" s="172">
        <f t="shared" si="11"/>
        <v>306935</v>
      </c>
      <c r="R49" s="173">
        <f t="shared" si="0"/>
        <v>0.73584635183345004</v>
      </c>
      <c r="S49" s="173">
        <f t="shared" si="1"/>
        <v>0.62191563688528584</v>
      </c>
      <c r="T49" s="173">
        <f t="shared" si="2"/>
        <v>0.27845937916469271</v>
      </c>
      <c r="U49" s="173">
        <f t="shared" si="3"/>
        <v>9.9624983950021478E-2</v>
      </c>
      <c r="V49" s="173">
        <f t="shared" si="4"/>
        <v>0.2641536481665499</v>
      </c>
      <c r="W49" s="173">
        <f t="shared" si="5"/>
        <v>0.50883100224475197</v>
      </c>
      <c r="X49" s="173">
        <f t="shared" si="6"/>
        <v>0.34259601864870864</v>
      </c>
      <c r="Y49" s="173">
        <f t="shared" si="7"/>
        <v>0.14857297910653938</v>
      </c>
      <c r="Z49" s="173">
        <f t="shared" si="12"/>
        <v>1</v>
      </c>
      <c r="AA49" s="173">
        <f t="shared" si="13"/>
        <v>0.5920439180934074</v>
      </c>
      <c r="AB49" s="173">
        <f t="shared" si="14"/>
        <v>0.2954013064655383</v>
      </c>
      <c r="AC49" s="173">
        <f t="shared" si="15"/>
        <v>0.1125547754410543</v>
      </c>
      <c r="AE49" s="425">
        <v>5480</v>
      </c>
      <c r="AF49" s="169">
        <v>9521</v>
      </c>
      <c r="AG49" s="424">
        <f t="shared" si="19"/>
        <v>15001</v>
      </c>
      <c r="AH49" s="168">
        <f t="shared" si="16"/>
        <v>6.7589235057598854E-2</v>
      </c>
      <c r="AI49" s="168">
        <f t="shared" si="17"/>
        <v>4.215499187539018E-2</v>
      </c>
      <c r="AJ49" s="426">
        <f t="shared" si="18"/>
        <v>4.8873540000325802E-2</v>
      </c>
    </row>
    <row r="50" spans="1:36" s="166" customFormat="1">
      <c r="A50" s="170" t="s">
        <v>113</v>
      </c>
      <c r="B50" s="532" t="s">
        <v>114</v>
      </c>
      <c r="C50" s="171" t="s">
        <v>273</v>
      </c>
      <c r="D50" s="172">
        <f t="shared" si="8"/>
        <v>52458</v>
      </c>
      <c r="E50" s="172">
        <v>37093</v>
      </c>
      <c r="F50" s="172">
        <v>13498</v>
      </c>
      <c r="G50" s="172">
        <v>1867</v>
      </c>
      <c r="H50" s="172">
        <f t="shared" si="9"/>
        <v>15514</v>
      </c>
      <c r="I50" s="172">
        <v>9297</v>
      </c>
      <c r="J50" s="172">
        <v>4556</v>
      </c>
      <c r="K50" s="172">
        <v>1661</v>
      </c>
      <c r="L50" s="172">
        <f t="shared" si="10"/>
        <v>67972</v>
      </c>
      <c r="M50" s="172">
        <f t="shared" si="10"/>
        <v>46390</v>
      </c>
      <c r="N50" s="172">
        <f t="shared" si="10"/>
        <v>18054</v>
      </c>
      <c r="O50" s="172">
        <f t="shared" si="10"/>
        <v>3528</v>
      </c>
      <c r="P50" s="172">
        <f t="shared" si="11"/>
        <v>67972</v>
      </c>
      <c r="R50" s="173">
        <f t="shared" si="0"/>
        <v>0.77175895957158835</v>
      </c>
      <c r="S50" s="173">
        <f t="shared" si="1"/>
        <v>0.70709901254336804</v>
      </c>
      <c r="T50" s="173">
        <f t="shared" si="2"/>
        <v>0.25731061039307634</v>
      </c>
      <c r="U50" s="173">
        <f t="shared" si="3"/>
        <v>3.5590377063555605E-2</v>
      </c>
      <c r="V50" s="173">
        <f t="shared" si="4"/>
        <v>0.2282410404284117</v>
      </c>
      <c r="W50" s="173">
        <f t="shared" si="5"/>
        <v>0.59926517983756611</v>
      </c>
      <c r="X50" s="173">
        <f t="shared" si="6"/>
        <v>0.29367023333763054</v>
      </c>
      <c r="Y50" s="173">
        <f t="shared" si="7"/>
        <v>0.10706458682480341</v>
      </c>
      <c r="Z50" s="173">
        <f t="shared" si="12"/>
        <v>1</v>
      </c>
      <c r="AA50" s="173">
        <f t="shared" si="13"/>
        <v>0.68248690637321252</v>
      </c>
      <c r="AB50" s="173">
        <f t="shared" si="14"/>
        <v>0.26560936856352618</v>
      </c>
      <c r="AC50" s="173">
        <f t="shared" si="15"/>
        <v>5.1903725063261345E-2</v>
      </c>
      <c r="AE50" s="425">
        <v>1384</v>
      </c>
      <c r="AF50" s="169">
        <v>1713</v>
      </c>
      <c r="AG50" s="424">
        <f t="shared" si="19"/>
        <v>3097</v>
      </c>
      <c r="AH50" s="168">
        <f t="shared" si="16"/>
        <v>8.9209746035838602E-2</v>
      </c>
      <c r="AI50" s="168">
        <f t="shared" si="17"/>
        <v>3.2654695184719203E-2</v>
      </c>
      <c r="AJ50" s="426">
        <f t="shared" si="18"/>
        <v>4.5562878832460428E-2</v>
      </c>
    </row>
    <row r="51" spans="1:36" s="166" customFormat="1">
      <c r="A51" s="170" t="s">
        <v>115</v>
      </c>
      <c r="B51" s="532" t="s">
        <v>116</v>
      </c>
      <c r="C51" s="171" t="s">
        <v>273</v>
      </c>
      <c r="D51" s="172">
        <f t="shared" si="8"/>
        <v>1937</v>
      </c>
      <c r="E51" s="172">
        <v>1913</v>
      </c>
      <c r="F51" s="172">
        <v>4</v>
      </c>
      <c r="G51" s="172">
        <v>20</v>
      </c>
      <c r="H51" s="172">
        <f t="shared" si="9"/>
        <v>384</v>
      </c>
      <c r="I51" s="172">
        <v>376</v>
      </c>
      <c r="J51" s="172">
        <v>2</v>
      </c>
      <c r="K51" s="172">
        <v>6</v>
      </c>
      <c r="L51" s="172">
        <f t="shared" si="10"/>
        <v>2321</v>
      </c>
      <c r="M51" s="172">
        <f t="shared" si="10"/>
        <v>2289</v>
      </c>
      <c r="N51" s="172">
        <f t="shared" si="10"/>
        <v>6</v>
      </c>
      <c r="O51" s="172">
        <f t="shared" si="10"/>
        <v>26</v>
      </c>
      <c r="P51" s="172">
        <f t="shared" si="11"/>
        <v>2321</v>
      </c>
      <c r="R51" s="173">
        <f t="shared" si="0"/>
        <v>0.83455407152089611</v>
      </c>
      <c r="S51" s="173">
        <f t="shared" si="1"/>
        <v>0.9876097057305111</v>
      </c>
      <c r="T51" s="173">
        <f t="shared" si="2"/>
        <v>2.0650490449148169E-3</v>
      </c>
      <c r="U51" s="173">
        <f t="shared" si="3"/>
        <v>1.0325245224574084E-2</v>
      </c>
      <c r="V51" s="173">
        <f t="shared" si="4"/>
        <v>0.16544592847910383</v>
      </c>
      <c r="W51" s="173">
        <f t="shared" si="5"/>
        <v>0.97916666666666663</v>
      </c>
      <c r="X51" s="173">
        <f t="shared" si="6"/>
        <v>5.208333333333333E-3</v>
      </c>
      <c r="Y51" s="173">
        <f t="shared" si="7"/>
        <v>1.5625E-2</v>
      </c>
      <c r="Z51" s="173">
        <f t="shared" si="12"/>
        <v>1</v>
      </c>
      <c r="AA51" s="173">
        <f t="shared" si="13"/>
        <v>0.98621283929340797</v>
      </c>
      <c r="AB51" s="173">
        <f t="shared" si="14"/>
        <v>2.5850926324859974E-3</v>
      </c>
      <c r="AC51" s="173">
        <f t="shared" si="15"/>
        <v>1.1202068074105989E-2</v>
      </c>
      <c r="AE51" s="425">
        <v>6</v>
      </c>
      <c r="AF51" s="169">
        <v>12</v>
      </c>
      <c r="AG51" s="424">
        <f t="shared" si="19"/>
        <v>18</v>
      </c>
      <c r="AH51" s="168">
        <f t="shared" si="16"/>
        <v>1.5625E-2</v>
      </c>
      <c r="AI51" s="168">
        <f t="shared" si="17"/>
        <v>6.1951471347444498E-3</v>
      </c>
      <c r="AJ51" s="426">
        <f t="shared" si="18"/>
        <v>7.7552778974579921E-3</v>
      </c>
    </row>
    <row r="52" spans="1:36" s="166" customFormat="1">
      <c r="A52" s="170" t="s">
        <v>119</v>
      </c>
      <c r="B52" s="532" t="s">
        <v>120</v>
      </c>
      <c r="C52" s="171" t="s">
        <v>272</v>
      </c>
      <c r="D52" s="172">
        <f t="shared" si="8"/>
        <v>26437</v>
      </c>
      <c r="E52" s="172">
        <v>19355</v>
      </c>
      <c r="F52" s="172">
        <v>6382</v>
      </c>
      <c r="G52" s="172">
        <v>700</v>
      </c>
      <c r="H52" s="172">
        <f t="shared" si="9"/>
        <v>8833</v>
      </c>
      <c r="I52" s="172">
        <v>5963</v>
      </c>
      <c r="J52" s="172">
        <v>2330</v>
      </c>
      <c r="K52" s="172">
        <v>540</v>
      </c>
      <c r="L52" s="172">
        <f t="shared" si="10"/>
        <v>35270</v>
      </c>
      <c r="M52" s="172">
        <f t="shared" si="10"/>
        <v>25318</v>
      </c>
      <c r="N52" s="172">
        <f t="shared" si="10"/>
        <v>8712</v>
      </c>
      <c r="O52" s="172">
        <f t="shared" si="10"/>
        <v>1240</v>
      </c>
      <c r="P52" s="172">
        <f t="shared" si="11"/>
        <v>35270</v>
      </c>
      <c r="R52" s="173">
        <f t="shared" si="0"/>
        <v>0.74956053303090442</v>
      </c>
      <c r="S52" s="173">
        <f t="shared" si="1"/>
        <v>0.73211786511328825</v>
      </c>
      <c r="T52" s="173">
        <f t="shared" si="2"/>
        <v>0.24140409274879904</v>
      </c>
      <c r="U52" s="173">
        <f t="shared" si="3"/>
        <v>2.6478042137912775E-2</v>
      </c>
      <c r="V52" s="173">
        <f t="shared" si="4"/>
        <v>0.25043946696909553</v>
      </c>
      <c r="W52" s="173">
        <f t="shared" si="5"/>
        <v>0.6750820785690026</v>
      </c>
      <c r="X52" s="173">
        <f t="shared" si="6"/>
        <v>0.26378353900147178</v>
      </c>
      <c r="Y52" s="173">
        <f t="shared" si="7"/>
        <v>6.1134382429525645E-2</v>
      </c>
      <c r="Z52" s="173">
        <f t="shared" si="12"/>
        <v>1</v>
      </c>
      <c r="AA52" s="173">
        <f t="shared" si="13"/>
        <v>0.71783385313297421</v>
      </c>
      <c r="AB52" s="173">
        <f t="shared" si="14"/>
        <v>0.24700878933938192</v>
      </c>
      <c r="AC52" s="173">
        <f t="shared" si="15"/>
        <v>3.5157357527643887E-2</v>
      </c>
      <c r="AE52" s="425">
        <v>287</v>
      </c>
      <c r="AF52" s="169">
        <v>371</v>
      </c>
      <c r="AG52" s="424">
        <f t="shared" si="19"/>
        <v>658</v>
      </c>
      <c r="AH52" s="168">
        <f t="shared" si="16"/>
        <v>3.2491792143099739E-2</v>
      </c>
      <c r="AI52" s="168">
        <f t="shared" si="17"/>
        <v>1.403336233309377E-2</v>
      </c>
      <c r="AJ52" s="426">
        <f t="shared" si="18"/>
        <v>1.8656081655798129E-2</v>
      </c>
    </row>
    <row r="53" spans="1:36" s="166" customFormat="1">
      <c r="A53" s="170" t="s">
        <v>121</v>
      </c>
      <c r="B53" s="532" t="s">
        <v>122</v>
      </c>
      <c r="C53" s="171" t="s">
        <v>272</v>
      </c>
      <c r="D53" s="172">
        <f t="shared" si="8"/>
        <v>51281</v>
      </c>
      <c r="E53" s="172">
        <v>42235</v>
      </c>
      <c r="F53" s="172">
        <v>6403</v>
      </c>
      <c r="G53" s="172">
        <v>2643</v>
      </c>
      <c r="H53" s="172">
        <f t="shared" si="9"/>
        <v>15728</v>
      </c>
      <c r="I53" s="172">
        <v>11557</v>
      </c>
      <c r="J53" s="172">
        <v>2402</v>
      </c>
      <c r="K53" s="172">
        <v>1769</v>
      </c>
      <c r="L53" s="172">
        <f t="shared" si="10"/>
        <v>67009</v>
      </c>
      <c r="M53" s="172">
        <f t="shared" si="10"/>
        <v>53792</v>
      </c>
      <c r="N53" s="172">
        <f t="shared" si="10"/>
        <v>8805</v>
      </c>
      <c r="O53" s="172">
        <f t="shared" si="10"/>
        <v>4412</v>
      </c>
      <c r="P53" s="172">
        <f t="shared" si="11"/>
        <v>67009</v>
      </c>
      <c r="R53" s="173">
        <f t="shared" si="0"/>
        <v>0.76528526018892984</v>
      </c>
      <c r="S53" s="173">
        <f t="shared" si="1"/>
        <v>0.82359938378736763</v>
      </c>
      <c r="T53" s="173">
        <f t="shared" si="2"/>
        <v>0.12486105965172287</v>
      </c>
      <c r="U53" s="173">
        <f t="shared" si="3"/>
        <v>5.15395565609095E-2</v>
      </c>
      <c r="V53" s="173">
        <f t="shared" si="4"/>
        <v>0.23471473981107016</v>
      </c>
      <c r="W53" s="173">
        <f t="shared" si="5"/>
        <v>0.73480417090539163</v>
      </c>
      <c r="X53" s="173">
        <f t="shared" si="6"/>
        <v>0.15272126144455747</v>
      </c>
      <c r="Y53" s="173">
        <f t="shared" si="7"/>
        <v>0.11247456765005086</v>
      </c>
      <c r="Z53" s="173">
        <f t="shared" si="12"/>
        <v>1</v>
      </c>
      <c r="AA53" s="173">
        <f t="shared" si="13"/>
        <v>0.80275783849930604</v>
      </c>
      <c r="AB53" s="173">
        <f t="shared" si="14"/>
        <v>0.13140025966661195</v>
      </c>
      <c r="AC53" s="173">
        <f t="shared" si="15"/>
        <v>6.5841901834081992E-2</v>
      </c>
      <c r="AE53" s="425">
        <v>1154</v>
      </c>
      <c r="AF53" s="169">
        <v>1870</v>
      </c>
      <c r="AG53" s="424">
        <f t="shared" si="19"/>
        <v>3024</v>
      </c>
      <c r="AH53" s="168">
        <f t="shared" si="16"/>
        <v>7.3372329603255335E-2</v>
      </c>
      <c r="AI53" s="168">
        <f t="shared" si="17"/>
        <v>3.646574754782473E-2</v>
      </c>
      <c r="AJ53" s="426">
        <f t="shared" si="18"/>
        <v>4.5128266352281038E-2</v>
      </c>
    </row>
    <row r="54" spans="1:36" s="166" customFormat="1">
      <c r="A54" s="170" t="s">
        <v>123</v>
      </c>
      <c r="B54" s="532" t="s">
        <v>284</v>
      </c>
      <c r="C54" s="171" t="s">
        <v>275</v>
      </c>
      <c r="D54" s="172">
        <f t="shared" si="8"/>
        <v>5349</v>
      </c>
      <c r="E54" s="172">
        <v>3635</v>
      </c>
      <c r="F54" s="172">
        <v>1522</v>
      </c>
      <c r="G54" s="172">
        <v>192</v>
      </c>
      <c r="H54" s="172">
        <f t="shared" si="9"/>
        <v>1596</v>
      </c>
      <c r="I54" s="172">
        <v>1028</v>
      </c>
      <c r="J54" s="172">
        <v>453</v>
      </c>
      <c r="K54" s="172">
        <v>115</v>
      </c>
      <c r="L54" s="172">
        <f t="shared" si="10"/>
        <v>6945</v>
      </c>
      <c r="M54" s="172">
        <f t="shared" si="10"/>
        <v>4663</v>
      </c>
      <c r="N54" s="172">
        <f t="shared" si="10"/>
        <v>1975</v>
      </c>
      <c r="O54" s="172">
        <f t="shared" si="10"/>
        <v>307</v>
      </c>
      <c r="P54" s="172">
        <f t="shared" si="11"/>
        <v>6945</v>
      </c>
      <c r="R54" s="173">
        <f t="shared" si="0"/>
        <v>0.77019438444924404</v>
      </c>
      <c r="S54" s="173">
        <f t="shared" si="1"/>
        <v>0.67956627406991965</v>
      </c>
      <c r="T54" s="173">
        <f t="shared" si="2"/>
        <v>0.28453916619928959</v>
      </c>
      <c r="U54" s="173">
        <f t="shared" si="3"/>
        <v>3.5894559730790802E-2</v>
      </c>
      <c r="V54" s="173">
        <f t="shared" si="4"/>
        <v>0.22980561555075593</v>
      </c>
      <c r="W54" s="173">
        <f t="shared" si="5"/>
        <v>0.64411027568922308</v>
      </c>
      <c r="X54" s="173">
        <f t="shared" si="6"/>
        <v>0.28383458646616544</v>
      </c>
      <c r="Y54" s="173">
        <f t="shared" si="7"/>
        <v>7.2055137844611525E-2</v>
      </c>
      <c r="Z54" s="173">
        <f t="shared" si="12"/>
        <v>1</v>
      </c>
      <c r="AA54" s="173">
        <f t="shared" si="13"/>
        <v>0.67141828653707702</v>
      </c>
      <c r="AB54" s="173">
        <f t="shared" si="14"/>
        <v>0.28437724982001439</v>
      </c>
      <c r="AC54" s="173">
        <f t="shared" si="15"/>
        <v>4.4204463642908566E-2</v>
      </c>
      <c r="AE54" s="425">
        <v>84</v>
      </c>
      <c r="AF54" s="169">
        <v>100</v>
      </c>
      <c r="AG54" s="424">
        <f t="shared" si="19"/>
        <v>184</v>
      </c>
      <c r="AH54" s="168">
        <f t="shared" si="16"/>
        <v>5.2631578947368418E-2</v>
      </c>
      <c r="AI54" s="168">
        <f t="shared" si="17"/>
        <v>1.8695083193120209E-2</v>
      </c>
      <c r="AJ54" s="426">
        <f t="shared" si="18"/>
        <v>2.6493880489560834E-2</v>
      </c>
    </row>
    <row r="55" spans="1:36" s="166" customFormat="1">
      <c r="A55" s="170" t="s">
        <v>125</v>
      </c>
      <c r="B55" s="532" t="s">
        <v>126</v>
      </c>
      <c r="C55" s="171" t="s">
        <v>276</v>
      </c>
      <c r="D55" s="172">
        <f t="shared" si="8"/>
        <v>16515</v>
      </c>
      <c r="E55" s="172">
        <v>12935</v>
      </c>
      <c r="F55" s="172">
        <v>2919</v>
      </c>
      <c r="G55" s="172">
        <v>661</v>
      </c>
      <c r="H55" s="172">
        <f t="shared" si="9"/>
        <v>7069</v>
      </c>
      <c r="I55" s="172">
        <v>5154</v>
      </c>
      <c r="J55" s="172">
        <v>1295</v>
      </c>
      <c r="K55" s="172">
        <v>620</v>
      </c>
      <c r="L55" s="172">
        <f t="shared" si="10"/>
        <v>23584</v>
      </c>
      <c r="M55" s="172">
        <f t="shared" si="10"/>
        <v>18089</v>
      </c>
      <c r="N55" s="172">
        <f t="shared" si="10"/>
        <v>4214</v>
      </c>
      <c r="O55" s="172">
        <f t="shared" si="10"/>
        <v>1281</v>
      </c>
      <c r="P55" s="172">
        <f t="shared" si="11"/>
        <v>23584</v>
      </c>
      <c r="R55" s="173">
        <f t="shared" si="0"/>
        <v>0.70026289009497966</v>
      </c>
      <c r="S55" s="173">
        <f t="shared" si="1"/>
        <v>0.78322736905843171</v>
      </c>
      <c r="T55" s="173">
        <f t="shared" si="2"/>
        <v>0.17674841053587648</v>
      </c>
      <c r="U55" s="173">
        <f t="shared" si="3"/>
        <v>4.0024220405691792E-2</v>
      </c>
      <c r="V55" s="173">
        <f t="shared" si="4"/>
        <v>0.29973710990502034</v>
      </c>
      <c r="W55" s="173">
        <f t="shared" si="5"/>
        <v>0.72909888244447585</v>
      </c>
      <c r="X55" s="173">
        <f t="shared" si="6"/>
        <v>0.18319422832083745</v>
      </c>
      <c r="Y55" s="173">
        <f t="shared" si="7"/>
        <v>8.7706889234686655E-2</v>
      </c>
      <c r="Z55" s="173">
        <f t="shared" si="12"/>
        <v>1</v>
      </c>
      <c r="AA55" s="173">
        <f t="shared" si="13"/>
        <v>0.76700305291723203</v>
      </c>
      <c r="AB55" s="173">
        <f t="shared" si="14"/>
        <v>0.17868046132971507</v>
      </c>
      <c r="AC55" s="173">
        <f t="shared" si="15"/>
        <v>5.4316485753052916E-2</v>
      </c>
      <c r="AE55" s="425">
        <v>353</v>
      </c>
      <c r="AF55" s="169">
        <v>437</v>
      </c>
      <c r="AG55" s="424">
        <f t="shared" si="19"/>
        <v>790</v>
      </c>
      <c r="AH55" s="168">
        <f t="shared" si="16"/>
        <v>4.9936341773942565E-2</v>
      </c>
      <c r="AI55" s="168">
        <f t="shared" si="17"/>
        <v>2.6460793218286406E-2</v>
      </c>
      <c r="AJ55" s="426">
        <f t="shared" si="18"/>
        <v>3.3497286295793759E-2</v>
      </c>
    </row>
    <row r="56" spans="1:36" s="166" customFormat="1">
      <c r="A56" s="170" t="s">
        <v>127</v>
      </c>
      <c r="B56" s="532" t="s">
        <v>128</v>
      </c>
      <c r="C56" s="171" t="s">
        <v>275</v>
      </c>
      <c r="D56" s="172">
        <f t="shared" si="8"/>
        <v>11625</v>
      </c>
      <c r="E56" s="172">
        <v>9011</v>
      </c>
      <c r="F56" s="172">
        <v>2147</v>
      </c>
      <c r="G56" s="172">
        <v>467</v>
      </c>
      <c r="H56" s="172">
        <f t="shared" si="9"/>
        <v>4310</v>
      </c>
      <c r="I56" s="172">
        <v>3286</v>
      </c>
      <c r="J56" s="172">
        <v>672</v>
      </c>
      <c r="K56" s="172">
        <v>352</v>
      </c>
      <c r="L56" s="172">
        <f t="shared" si="10"/>
        <v>15935</v>
      </c>
      <c r="M56" s="172">
        <f t="shared" si="10"/>
        <v>12297</v>
      </c>
      <c r="N56" s="172">
        <f t="shared" si="10"/>
        <v>2819</v>
      </c>
      <c r="O56" s="172">
        <f t="shared" si="10"/>
        <v>819</v>
      </c>
      <c r="P56" s="172">
        <f t="shared" si="11"/>
        <v>15935</v>
      </c>
      <c r="R56" s="173">
        <f t="shared" si="0"/>
        <v>0.72952620018826486</v>
      </c>
      <c r="S56" s="173">
        <f t="shared" si="1"/>
        <v>0.77513978494623659</v>
      </c>
      <c r="T56" s="173">
        <f t="shared" si="2"/>
        <v>0.18468817204301075</v>
      </c>
      <c r="U56" s="173">
        <f t="shared" si="3"/>
        <v>4.0172043010752688E-2</v>
      </c>
      <c r="V56" s="173">
        <f t="shared" si="4"/>
        <v>0.27047379981173519</v>
      </c>
      <c r="W56" s="173">
        <f t="shared" si="5"/>
        <v>0.76241299303944321</v>
      </c>
      <c r="X56" s="173">
        <f t="shared" si="6"/>
        <v>0.15591647331786543</v>
      </c>
      <c r="Y56" s="173">
        <f t="shared" si="7"/>
        <v>8.1670533642691417E-2</v>
      </c>
      <c r="Z56" s="173">
        <f t="shared" si="12"/>
        <v>1</v>
      </c>
      <c r="AA56" s="173">
        <f t="shared" si="13"/>
        <v>0.77169752117979296</v>
      </c>
      <c r="AB56" s="173">
        <f t="shared" si="14"/>
        <v>0.17690618136178224</v>
      </c>
      <c r="AC56" s="173">
        <f t="shared" si="15"/>
        <v>5.1396297458424854E-2</v>
      </c>
      <c r="AE56" s="425">
        <v>135</v>
      </c>
      <c r="AF56" s="169">
        <v>189</v>
      </c>
      <c r="AG56" s="424">
        <f t="shared" si="19"/>
        <v>324</v>
      </c>
      <c r="AH56" s="168">
        <f t="shared" si="16"/>
        <v>3.1322505800464036E-2</v>
      </c>
      <c r="AI56" s="168">
        <f t="shared" si="17"/>
        <v>1.6258064516129031E-2</v>
      </c>
      <c r="AJ56" s="426">
        <f t="shared" si="18"/>
        <v>2.0332601192343897E-2</v>
      </c>
    </row>
    <row r="57" spans="1:36" s="166" customFormat="1">
      <c r="A57" s="170" t="s">
        <v>129</v>
      </c>
      <c r="B57" s="532" t="s">
        <v>130</v>
      </c>
      <c r="C57" s="171" t="s">
        <v>275</v>
      </c>
      <c r="D57" s="172">
        <f t="shared" si="8"/>
        <v>9325</v>
      </c>
      <c r="E57" s="172">
        <v>6920</v>
      </c>
      <c r="F57" s="172">
        <v>2282</v>
      </c>
      <c r="G57" s="172">
        <v>123</v>
      </c>
      <c r="H57" s="172">
        <f t="shared" si="9"/>
        <v>2066</v>
      </c>
      <c r="I57" s="172">
        <v>1069</v>
      </c>
      <c r="J57" s="172">
        <v>902</v>
      </c>
      <c r="K57" s="172">
        <v>95</v>
      </c>
      <c r="L57" s="172">
        <f t="shared" si="10"/>
        <v>11391</v>
      </c>
      <c r="M57" s="172">
        <f t="shared" si="10"/>
        <v>7989</v>
      </c>
      <c r="N57" s="172">
        <f t="shared" si="10"/>
        <v>3184</v>
      </c>
      <c r="O57" s="172">
        <f t="shared" si="10"/>
        <v>218</v>
      </c>
      <c r="P57" s="172">
        <f t="shared" si="11"/>
        <v>11391</v>
      </c>
      <c r="R57" s="173">
        <f t="shared" si="0"/>
        <v>0.81862874198928981</v>
      </c>
      <c r="S57" s="173">
        <f t="shared" si="1"/>
        <v>0.74209115281501337</v>
      </c>
      <c r="T57" s="173">
        <f t="shared" si="2"/>
        <v>0.24471849865951742</v>
      </c>
      <c r="U57" s="173">
        <f t="shared" si="3"/>
        <v>1.3190348525469169E-2</v>
      </c>
      <c r="V57" s="173">
        <f t="shared" si="4"/>
        <v>0.18137125801071022</v>
      </c>
      <c r="W57" s="173">
        <f t="shared" si="5"/>
        <v>0.51742497579864477</v>
      </c>
      <c r="X57" s="173">
        <f t="shared" si="6"/>
        <v>0.4365924491771539</v>
      </c>
      <c r="Y57" s="173">
        <f t="shared" si="7"/>
        <v>4.5982575024201354E-2</v>
      </c>
      <c r="Z57" s="173">
        <f t="shared" si="12"/>
        <v>1</v>
      </c>
      <c r="AA57" s="173">
        <f t="shared" si="13"/>
        <v>0.70134316565709776</v>
      </c>
      <c r="AB57" s="173">
        <f t="shared" si="14"/>
        <v>0.27951891844438592</v>
      </c>
      <c r="AC57" s="173">
        <f t="shared" si="15"/>
        <v>1.9137915898516374E-2</v>
      </c>
      <c r="AE57" s="425">
        <v>40</v>
      </c>
      <c r="AF57" s="169">
        <v>78</v>
      </c>
      <c r="AG57" s="424">
        <f t="shared" si="19"/>
        <v>118</v>
      </c>
      <c r="AH57" s="168">
        <f t="shared" si="16"/>
        <v>1.9361084220716359E-2</v>
      </c>
      <c r="AI57" s="168">
        <f t="shared" si="17"/>
        <v>8.3646112600536185E-3</v>
      </c>
      <c r="AJ57" s="426">
        <f t="shared" si="18"/>
        <v>1.035905539460978E-2</v>
      </c>
    </row>
    <row r="58" spans="1:36" s="166" customFormat="1">
      <c r="A58" s="170" t="s">
        <v>131</v>
      </c>
      <c r="B58" s="532" t="s">
        <v>132</v>
      </c>
      <c r="C58" s="171" t="s">
        <v>278</v>
      </c>
      <c r="D58" s="172">
        <f t="shared" si="8"/>
        <v>19819</v>
      </c>
      <c r="E58" s="172">
        <v>18460</v>
      </c>
      <c r="F58" s="172">
        <v>913</v>
      </c>
      <c r="G58" s="172">
        <v>446</v>
      </c>
      <c r="H58" s="172">
        <f t="shared" si="9"/>
        <v>5768</v>
      </c>
      <c r="I58" s="172">
        <v>5632</v>
      </c>
      <c r="J58" s="172">
        <v>34</v>
      </c>
      <c r="K58" s="172">
        <v>102</v>
      </c>
      <c r="L58" s="172">
        <f t="shared" si="10"/>
        <v>25587</v>
      </c>
      <c r="M58" s="172">
        <f t="shared" si="10"/>
        <v>24092</v>
      </c>
      <c r="N58" s="172">
        <f t="shared" si="10"/>
        <v>947</v>
      </c>
      <c r="O58" s="172">
        <f t="shared" si="10"/>
        <v>548</v>
      </c>
      <c r="P58" s="172">
        <f t="shared" si="11"/>
        <v>25587</v>
      </c>
      <c r="R58" s="173">
        <f t="shared" si="0"/>
        <v>0.77457302536444284</v>
      </c>
      <c r="S58" s="173">
        <f t="shared" si="1"/>
        <v>0.93142943639941467</v>
      </c>
      <c r="T58" s="173">
        <f t="shared" si="2"/>
        <v>4.6066905494727285E-2</v>
      </c>
      <c r="U58" s="173">
        <f t="shared" si="3"/>
        <v>2.2503658105858016E-2</v>
      </c>
      <c r="V58" s="173">
        <f t="shared" si="4"/>
        <v>0.22542697463555711</v>
      </c>
      <c r="W58" s="173">
        <f t="shared" si="5"/>
        <v>0.97642163661581138</v>
      </c>
      <c r="X58" s="173">
        <f t="shared" si="6"/>
        <v>5.8945908460471567E-3</v>
      </c>
      <c r="Y58" s="173">
        <f t="shared" si="7"/>
        <v>1.7683772538141469E-2</v>
      </c>
      <c r="Z58" s="173">
        <f t="shared" si="12"/>
        <v>1</v>
      </c>
      <c r="AA58" s="173">
        <f t="shared" si="13"/>
        <v>0.94157189197639424</v>
      </c>
      <c r="AB58" s="173">
        <f t="shared" si="14"/>
        <v>3.7010982139367647E-2</v>
      </c>
      <c r="AC58" s="173">
        <f t="shared" si="15"/>
        <v>2.1417125884238091E-2</v>
      </c>
      <c r="AE58" s="425">
        <v>68</v>
      </c>
      <c r="AF58" s="169">
        <v>338</v>
      </c>
      <c r="AG58" s="424">
        <f t="shared" si="19"/>
        <v>406</v>
      </c>
      <c r="AH58" s="168">
        <f t="shared" si="16"/>
        <v>1.1789181692094313E-2</v>
      </c>
      <c r="AI58" s="168">
        <f t="shared" si="17"/>
        <v>1.7054341793228719E-2</v>
      </c>
      <c r="AJ58" s="426">
        <f t="shared" si="18"/>
        <v>1.5867432680658145E-2</v>
      </c>
    </row>
    <row r="59" spans="1:36" s="166" customFormat="1">
      <c r="A59" s="170" t="s">
        <v>133</v>
      </c>
      <c r="B59" s="532" t="s">
        <v>134</v>
      </c>
      <c r="C59" s="171" t="s">
        <v>276</v>
      </c>
      <c r="D59" s="172">
        <f t="shared" si="8"/>
        <v>211269</v>
      </c>
      <c r="E59" s="172">
        <v>148294</v>
      </c>
      <c r="F59" s="172">
        <v>15690</v>
      </c>
      <c r="G59" s="172">
        <v>47285</v>
      </c>
      <c r="H59" s="172">
        <f t="shared" si="9"/>
        <v>101042</v>
      </c>
      <c r="I59" s="172">
        <v>66177</v>
      </c>
      <c r="J59" s="172">
        <v>7020</v>
      </c>
      <c r="K59" s="172">
        <v>27845</v>
      </c>
      <c r="L59" s="172">
        <f t="shared" si="10"/>
        <v>312311</v>
      </c>
      <c r="M59" s="172">
        <f t="shared" si="10"/>
        <v>214471</v>
      </c>
      <c r="N59" s="172">
        <f t="shared" si="10"/>
        <v>22710</v>
      </c>
      <c r="O59" s="172">
        <f t="shared" si="10"/>
        <v>75130</v>
      </c>
      <c r="P59" s="172">
        <f t="shared" si="11"/>
        <v>312311</v>
      </c>
      <c r="R59" s="173">
        <f t="shared" si="0"/>
        <v>0.67646992901306713</v>
      </c>
      <c r="S59" s="173">
        <f t="shared" si="1"/>
        <v>0.70192030065934896</v>
      </c>
      <c r="T59" s="173">
        <f t="shared" si="2"/>
        <v>7.4265509847635011E-2</v>
      </c>
      <c r="U59" s="173">
        <f t="shared" si="3"/>
        <v>0.22381418949301601</v>
      </c>
      <c r="V59" s="173">
        <f t="shared" si="4"/>
        <v>0.32353007098693287</v>
      </c>
      <c r="W59" s="173">
        <f t="shared" si="5"/>
        <v>0.65494546822113575</v>
      </c>
      <c r="X59" s="173">
        <f t="shared" si="6"/>
        <v>6.9476059460422401E-2</v>
      </c>
      <c r="Y59" s="173">
        <f t="shared" si="7"/>
        <v>0.27557847231844185</v>
      </c>
      <c r="Z59" s="173">
        <f t="shared" si="12"/>
        <v>1</v>
      </c>
      <c r="AA59" s="173">
        <f t="shared" si="13"/>
        <v>0.68672252978601456</v>
      </c>
      <c r="AB59" s="173">
        <f t="shared" si="14"/>
        <v>7.2715978623871719E-2</v>
      </c>
      <c r="AC59" s="173">
        <f t="shared" si="15"/>
        <v>0.2405614915901137</v>
      </c>
      <c r="AE59" s="425">
        <v>14172</v>
      </c>
      <c r="AF59" s="169">
        <v>24404</v>
      </c>
      <c r="AG59" s="424">
        <f t="shared" si="19"/>
        <v>38576</v>
      </c>
      <c r="AH59" s="168">
        <f t="shared" si="16"/>
        <v>0.14025850636369033</v>
      </c>
      <c r="AI59" s="168">
        <f t="shared" si="17"/>
        <v>0.11551150429073835</v>
      </c>
      <c r="AJ59" s="426">
        <f t="shared" si="18"/>
        <v>0.12351790362811428</v>
      </c>
    </row>
    <row r="60" spans="1:36" s="166" customFormat="1">
      <c r="A60" s="170" t="s">
        <v>135</v>
      </c>
      <c r="B60" s="532" t="s">
        <v>136</v>
      </c>
      <c r="C60" s="171" t="s">
        <v>276</v>
      </c>
      <c r="D60" s="172">
        <f t="shared" si="8"/>
        <v>25125</v>
      </c>
      <c r="E60" s="172">
        <v>20026</v>
      </c>
      <c r="F60" s="172">
        <v>4459</v>
      </c>
      <c r="G60" s="172">
        <v>640</v>
      </c>
      <c r="H60" s="172">
        <f t="shared" si="9"/>
        <v>8028</v>
      </c>
      <c r="I60" s="172">
        <v>5970</v>
      </c>
      <c r="J60" s="172">
        <v>1411</v>
      </c>
      <c r="K60" s="172">
        <v>647</v>
      </c>
      <c r="L60" s="172">
        <f t="shared" si="10"/>
        <v>33153</v>
      </c>
      <c r="M60" s="172">
        <f t="shared" si="10"/>
        <v>25996</v>
      </c>
      <c r="N60" s="172">
        <f t="shared" si="10"/>
        <v>5870</v>
      </c>
      <c r="O60" s="172">
        <f t="shared" si="10"/>
        <v>1287</v>
      </c>
      <c r="P60" s="172">
        <f t="shared" si="11"/>
        <v>33153</v>
      </c>
      <c r="R60" s="173">
        <f t="shared" si="0"/>
        <v>0.75784996832865803</v>
      </c>
      <c r="S60" s="173">
        <f t="shared" si="1"/>
        <v>0.79705472636815922</v>
      </c>
      <c r="T60" s="173">
        <f t="shared" si="2"/>
        <v>0.1774726368159204</v>
      </c>
      <c r="U60" s="173">
        <f t="shared" si="3"/>
        <v>2.5472636815920397E-2</v>
      </c>
      <c r="V60" s="173">
        <f t="shared" si="4"/>
        <v>0.24215003167134197</v>
      </c>
      <c r="W60" s="173">
        <f t="shared" si="5"/>
        <v>0.74364723467862481</v>
      </c>
      <c r="X60" s="173">
        <f t="shared" si="6"/>
        <v>0.17575984055804683</v>
      </c>
      <c r="Y60" s="173">
        <f t="shared" si="7"/>
        <v>8.0592924763328355E-2</v>
      </c>
      <c r="Z60" s="173">
        <f t="shared" si="12"/>
        <v>1</v>
      </c>
      <c r="AA60" s="173">
        <f t="shared" si="13"/>
        <v>0.78412210056405152</v>
      </c>
      <c r="AB60" s="173">
        <f t="shared" si="14"/>
        <v>0.17705788314782975</v>
      </c>
      <c r="AC60" s="173">
        <f t="shared" si="15"/>
        <v>3.8820016288118722E-2</v>
      </c>
      <c r="AE60" s="425">
        <v>316</v>
      </c>
      <c r="AF60" s="169">
        <v>446</v>
      </c>
      <c r="AG60" s="424">
        <f t="shared" si="19"/>
        <v>762</v>
      </c>
      <c r="AH60" s="168">
        <f t="shared" si="16"/>
        <v>3.9362232187344297E-2</v>
      </c>
      <c r="AI60" s="168">
        <f t="shared" si="17"/>
        <v>1.7751243781094526E-2</v>
      </c>
      <c r="AJ60" s="426">
        <f t="shared" si="18"/>
        <v>2.2984345308116914E-2</v>
      </c>
    </row>
    <row r="61" spans="1:36" s="166" customFormat="1">
      <c r="A61" s="170" t="s">
        <v>137</v>
      </c>
      <c r="B61" s="532" t="s">
        <v>138</v>
      </c>
      <c r="C61" s="171" t="s">
        <v>275</v>
      </c>
      <c r="D61" s="172">
        <f t="shared" si="8"/>
        <v>10134</v>
      </c>
      <c r="E61" s="172">
        <v>6202</v>
      </c>
      <c r="F61" s="172">
        <v>3601</v>
      </c>
      <c r="G61" s="172">
        <v>331</v>
      </c>
      <c r="H61" s="172">
        <f t="shared" si="9"/>
        <v>2780</v>
      </c>
      <c r="I61" s="172">
        <v>1654</v>
      </c>
      <c r="J61" s="172">
        <v>886</v>
      </c>
      <c r="K61" s="172">
        <v>240</v>
      </c>
      <c r="L61" s="172">
        <f t="shared" si="10"/>
        <v>12914</v>
      </c>
      <c r="M61" s="172">
        <f t="shared" si="10"/>
        <v>7856</v>
      </c>
      <c r="N61" s="172">
        <f t="shared" si="10"/>
        <v>4487</v>
      </c>
      <c r="O61" s="172">
        <f t="shared" si="10"/>
        <v>571</v>
      </c>
      <c r="P61" s="172">
        <f t="shared" si="11"/>
        <v>12914</v>
      </c>
      <c r="R61" s="173">
        <f t="shared" si="0"/>
        <v>0.78472975065820039</v>
      </c>
      <c r="S61" s="173">
        <f t="shared" si="1"/>
        <v>0.61199921057825146</v>
      </c>
      <c r="T61" s="173">
        <f t="shared" si="2"/>
        <v>0.35533846457469903</v>
      </c>
      <c r="U61" s="173">
        <f t="shared" si="3"/>
        <v>3.2662324847049534E-2</v>
      </c>
      <c r="V61" s="173">
        <f t="shared" si="4"/>
        <v>0.21527024934179959</v>
      </c>
      <c r="W61" s="173">
        <f t="shared" si="5"/>
        <v>0.5949640287769784</v>
      </c>
      <c r="X61" s="173">
        <f t="shared" si="6"/>
        <v>0.31870503597122302</v>
      </c>
      <c r="Y61" s="173">
        <f t="shared" si="7"/>
        <v>8.6330935251798566E-2</v>
      </c>
      <c r="Z61" s="173">
        <f t="shared" si="12"/>
        <v>1</v>
      </c>
      <c r="AA61" s="173">
        <f t="shared" si="13"/>
        <v>0.60833204274430852</v>
      </c>
      <c r="AB61" s="173">
        <f t="shared" si="14"/>
        <v>0.34745237726498374</v>
      </c>
      <c r="AC61" s="173">
        <f t="shared" si="15"/>
        <v>4.4215579990707757E-2</v>
      </c>
      <c r="AE61" s="425">
        <v>163</v>
      </c>
      <c r="AF61" s="169">
        <v>307</v>
      </c>
      <c r="AG61" s="424">
        <f t="shared" si="19"/>
        <v>470</v>
      </c>
      <c r="AH61" s="168">
        <f t="shared" si="16"/>
        <v>5.8633093525179855E-2</v>
      </c>
      <c r="AI61" s="168">
        <f t="shared" si="17"/>
        <v>3.0294059601342016E-2</v>
      </c>
      <c r="AJ61" s="426">
        <f t="shared" si="18"/>
        <v>3.6394610500232308E-2</v>
      </c>
    </row>
    <row r="62" spans="1:36" s="166" customFormat="1">
      <c r="A62" s="170" t="s">
        <v>141</v>
      </c>
      <c r="B62" s="532" t="s">
        <v>142</v>
      </c>
      <c r="C62" s="171" t="s">
        <v>276</v>
      </c>
      <c r="D62" s="172">
        <f t="shared" si="8"/>
        <v>10031</v>
      </c>
      <c r="E62" s="172">
        <v>8795</v>
      </c>
      <c r="F62" s="172">
        <v>1005</v>
      </c>
      <c r="G62" s="172">
        <v>231</v>
      </c>
      <c r="H62" s="172">
        <f t="shared" si="9"/>
        <v>3277</v>
      </c>
      <c r="I62" s="172">
        <v>2748</v>
      </c>
      <c r="J62" s="172">
        <v>297</v>
      </c>
      <c r="K62" s="172">
        <v>232</v>
      </c>
      <c r="L62" s="172">
        <f t="shared" si="10"/>
        <v>13308</v>
      </c>
      <c r="M62" s="172">
        <f t="shared" si="10"/>
        <v>11543</v>
      </c>
      <c r="N62" s="172">
        <f t="shared" si="10"/>
        <v>1302</v>
      </c>
      <c r="O62" s="172">
        <f t="shared" si="10"/>
        <v>463</v>
      </c>
      <c r="P62" s="172">
        <f t="shared" si="11"/>
        <v>13308</v>
      </c>
      <c r="R62" s="173">
        <f t="shared" si="0"/>
        <v>0.7537571385632702</v>
      </c>
      <c r="S62" s="173">
        <f t="shared" si="1"/>
        <v>0.87678197587478812</v>
      </c>
      <c r="T62" s="173">
        <f t="shared" si="2"/>
        <v>0.1001894128202572</v>
      </c>
      <c r="U62" s="173">
        <f t="shared" si="3"/>
        <v>2.3028611304954642E-2</v>
      </c>
      <c r="V62" s="173">
        <f t="shared" si="4"/>
        <v>0.2462428614367298</v>
      </c>
      <c r="W62" s="173">
        <f t="shared" si="5"/>
        <v>0.83857186451022281</v>
      </c>
      <c r="X62" s="173">
        <f t="shared" si="6"/>
        <v>9.0631675312786084E-2</v>
      </c>
      <c r="Y62" s="173">
        <f t="shared" si="7"/>
        <v>7.0796460176991149E-2</v>
      </c>
      <c r="Z62" s="173">
        <f t="shared" si="12"/>
        <v>1</v>
      </c>
      <c r="AA62" s="173">
        <f t="shared" si="13"/>
        <v>0.86737300871656142</v>
      </c>
      <c r="AB62" s="173">
        <f t="shared" si="14"/>
        <v>9.7835888187556355E-2</v>
      </c>
      <c r="AC62" s="173">
        <f t="shared" si="15"/>
        <v>3.4791103095882174E-2</v>
      </c>
      <c r="AE62" s="425">
        <v>103</v>
      </c>
      <c r="AF62" s="169">
        <v>133</v>
      </c>
      <c r="AG62" s="424">
        <f t="shared" si="19"/>
        <v>236</v>
      </c>
      <c r="AH62" s="168">
        <f t="shared" si="16"/>
        <v>3.1431187061336588E-2</v>
      </c>
      <c r="AI62" s="168">
        <f t="shared" si="17"/>
        <v>1.3258897418004187E-2</v>
      </c>
      <c r="AJ62" s="426">
        <f t="shared" si="18"/>
        <v>1.7733694018635407E-2</v>
      </c>
    </row>
    <row r="63" spans="1:36" s="166" customFormat="1">
      <c r="A63" s="170" t="s">
        <v>147</v>
      </c>
      <c r="B63" s="532" t="s">
        <v>148</v>
      </c>
      <c r="C63" s="171" t="s">
        <v>272</v>
      </c>
      <c r="D63" s="172">
        <f t="shared" si="8"/>
        <v>7173</v>
      </c>
      <c r="E63" s="172">
        <v>6381</v>
      </c>
      <c r="F63" s="172">
        <v>638</v>
      </c>
      <c r="G63" s="172">
        <v>154</v>
      </c>
      <c r="H63" s="172">
        <f t="shared" si="9"/>
        <v>1805</v>
      </c>
      <c r="I63" s="172">
        <v>1517</v>
      </c>
      <c r="J63" s="172">
        <v>185</v>
      </c>
      <c r="K63" s="172">
        <v>103</v>
      </c>
      <c r="L63" s="172">
        <f t="shared" si="10"/>
        <v>8978</v>
      </c>
      <c r="M63" s="172">
        <f t="shared" si="10"/>
        <v>7898</v>
      </c>
      <c r="N63" s="172">
        <f t="shared" si="10"/>
        <v>823</v>
      </c>
      <c r="O63" s="172">
        <f t="shared" si="10"/>
        <v>257</v>
      </c>
      <c r="P63" s="172">
        <f t="shared" si="11"/>
        <v>8978</v>
      </c>
      <c r="R63" s="173">
        <f t="shared" si="0"/>
        <v>0.79895299621296501</v>
      </c>
      <c r="S63" s="173">
        <f t="shared" si="1"/>
        <v>0.88958594730238394</v>
      </c>
      <c r="T63" s="173">
        <f t="shared" si="2"/>
        <v>8.8944653561968498E-2</v>
      </c>
      <c r="U63" s="173">
        <f t="shared" si="3"/>
        <v>2.1469399135647566E-2</v>
      </c>
      <c r="V63" s="173">
        <f t="shared" si="4"/>
        <v>0.20104700378703497</v>
      </c>
      <c r="W63" s="173">
        <f t="shared" si="5"/>
        <v>0.84044321329639893</v>
      </c>
      <c r="X63" s="173">
        <f t="shared" si="6"/>
        <v>0.10249307479224377</v>
      </c>
      <c r="Y63" s="173">
        <f t="shared" si="7"/>
        <v>5.706371191135734E-2</v>
      </c>
      <c r="Z63" s="173">
        <f t="shared" si="12"/>
        <v>1</v>
      </c>
      <c r="AA63" s="173">
        <f t="shared" si="13"/>
        <v>0.87970594787257739</v>
      </c>
      <c r="AB63" s="173">
        <f t="shared" si="14"/>
        <v>9.1668523056359988E-2</v>
      </c>
      <c r="AC63" s="173">
        <f t="shared" si="15"/>
        <v>2.8625529071062597E-2</v>
      </c>
      <c r="AE63" s="425">
        <v>40</v>
      </c>
      <c r="AF63" s="169">
        <v>64</v>
      </c>
      <c r="AG63" s="424">
        <f t="shared" si="19"/>
        <v>104</v>
      </c>
      <c r="AH63" s="168">
        <f t="shared" si="16"/>
        <v>2.2160664819944598E-2</v>
      </c>
      <c r="AI63" s="168">
        <f t="shared" si="17"/>
        <v>8.9223476927366516E-3</v>
      </c>
      <c r="AJ63" s="426">
        <f t="shared" si="18"/>
        <v>1.1583871686344397E-2</v>
      </c>
    </row>
    <row r="64" spans="1:36" s="166" customFormat="1">
      <c r="A64" s="170" t="s">
        <v>149</v>
      </c>
      <c r="B64" s="532" t="s">
        <v>150</v>
      </c>
      <c r="C64" s="171" t="s">
        <v>273</v>
      </c>
      <c r="D64" s="172">
        <f t="shared" si="8"/>
        <v>25657</v>
      </c>
      <c r="E64" s="172">
        <v>15952</v>
      </c>
      <c r="F64" s="172">
        <v>9101</v>
      </c>
      <c r="G64" s="172">
        <v>604</v>
      </c>
      <c r="H64" s="172">
        <f t="shared" si="9"/>
        <v>7070</v>
      </c>
      <c r="I64" s="172">
        <v>3667</v>
      </c>
      <c r="J64" s="172">
        <v>2949</v>
      </c>
      <c r="K64" s="172">
        <v>454</v>
      </c>
      <c r="L64" s="172">
        <f t="shared" si="10"/>
        <v>32727</v>
      </c>
      <c r="M64" s="172">
        <f t="shared" si="10"/>
        <v>19619</v>
      </c>
      <c r="N64" s="172">
        <f t="shared" si="10"/>
        <v>12050</v>
      </c>
      <c r="O64" s="172">
        <f t="shared" si="10"/>
        <v>1058</v>
      </c>
      <c r="P64" s="172">
        <f t="shared" si="11"/>
        <v>32727</v>
      </c>
      <c r="R64" s="173">
        <f t="shared" si="0"/>
        <v>0.78397042197573874</v>
      </c>
      <c r="S64" s="173">
        <f t="shared" si="1"/>
        <v>0.62174065557157887</v>
      </c>
      <c r="T64" s="173">
        <f t="shared" si="2"/>
        <v>0.35471801067934677</v>
      </c>
      <c r="U64" s="173">
        <f t="shared" si="3"/>
        <v>2.3541333749074328E-2</v>
      </c>
      <c r="V64" s="173">
        <f t="shared" si="4"/>
        <v>0.21602957802426132</v>
      </c>
      <c r="W64" s="173">
        <f t="shared" si="5"/>
        <v>0.51867043847241867</v>
      </c>
      <c r="X64" s="173">
        <f t="shared" si="6"/>
        <v>0.41711456859971713</v>
      </c>
      <c r="Y64" s="173">
        <f t="shared" si="7"/>
        <v>6.4214992927864215E-2</v>
      </c>
      <c r="Z64" s="173">
        <f t="shared" si="12"/>
        <v>1</v>
      </c>
      <c r="AA64" s="173">
        <f t="shared" si="13"/>
        <v>0.59947444006477835</v>
      </c>
      <c r="AB64" s="173">
        <f t="shared" si="14"/>
        <v>0.36819751275705076</v>
      </c>
      <c r="AC64" s="173">
        <f t="shared" si="15"/>
        <v>3.2328047178170928E-2</v>
      </c>
      <c r="AE64" s="425">
        <v>264</v>
      </c>
      <c r="AF64" s="169">
        <v>542</v>
      </c>
      <c r="AG64" s="424">
        <f t="shared" si="19"/>
        <v>806</v>
      </c>
      <c r="AH64" s="168">
        <f t="shared" si="16"/>
        <v>3.7340876944837342E-2</v>
      </c>
      <c r="AI64" s="168">
        <f t="shared" si="17"/>
        <v>2.1124839225162725E-2</v>
      </c>
      <c r="AJ64" s="426">
        <f t="shared" si="18"/>
        <v>2.4627983010969537E-2</v>
      </c>
    </row>
    <row r="65" spans="1:36" s="166" customFormat="1">
      <c r="A65" s="170" t="s">
        <v>151</v>
      </c>
      <c r="B65" s="532" t="s">
        <v>152</v>
      </c>
      <c r="C65" s="171" t="s">
        <v>275</v>
      </c>
      <c r="D65" s="172">
        <f t="shared" si="8"/>
        <v>8969</v>
      </c>
      <c r="E65" s="172">
        <v>7187</v>
      </c>
      <c r="F65" s="172">
        <v>1594</v>
      </c>
      <c r="G65" s="172">
        <v>188</v>
      </c>
      <c r="H65" s="172">
        <f t="shared" si="9"/>
        <v>1990</v>
      </c>
      <c r="I65" s="172">
        <v>1493</v>
      </c>
      <c r="J65" s="172">
        <v>384</v>
      </c>
      <c r="K65" s="172">
        <v>113</v>
      </c>
      <c r="L65" s="172">
        <f t="shared" si="10"/>
        <v>10959</v>
      </c>
      <c r="M65" s="172">
        <f t="shared" si="10"/>
        <v>8680</v>
      </c>
      <c r="N65" s="172">
        <f t="shared" si="10"/>
        <v>1978</v>
      </c>
      <c r="O65" s="172">
        <f t="shared" si="10"/>
        <v>301</v>
      </c>
      <c r="P65" s="172">
        <f t="shared" si="11"/>
        <v>10959</v>
      </c>
      <c r="R65" s="173">
        <f t="shared" si="0"/>
        <v>0.81841408887672229</v>
      </c>
      <c r="S65" s="173">
        <f t="shared" si="1"/>
        <v>0.80131564276953948</v>
      </c>
      <c r="T65" s="173">
        <f t="shared" si="2"/>
        <v>0.17772326903779687</v>
      </c>
      <c r="U65" s="173">
        <f t="shared" si="3"/>
        <v>2.096108819266362E-2</v>
      </c>
      <c r="V65" s="173">
        <f t="shared" si="4"/>
        <v>0.18158591112327768</v>
      </c>
      <c r="W65" s="173">
        <f t="shared" si="5"/>
        <v>0.75025125628140699</v>
      </c>
      <c r="X65" s="173">
        <f t="shared" si="6"/>
        <v>0.19296482412060301</v>
      </c>
      <c r="Y65" s="173">
        <f t="shared" si="7"/>
        <v>5.6783919597989951E-2</v>
      </c>
      <c r="Z65" s="173">
        <f t="shared" si="12"/>
        <v>1</v>
      </c>
      <c r="AA65" s="173">
        <f t="shared" si="13"/>
        <v>0.79204306962314075</v>
      </c>
      <c r="AB65" s="173">
        <f t="shared" si="14"/>
        <v>0.18049092070444384</v>
      </c>
      <c r="AC65" s="173">
        <f t="shared" si="15"/>
        <v>2.7466009672415366E-2</v>
      </c>
      <c r="AE65" s="425">
        <v>58</v>
      </c>
      <c r="AF65" s="169">
        <v>108</v>
      </c>
      <c r="AG65" s="424">
        <f t="shared" si="19"/>
        <v>166</v>
      </c>
      <c r="AH65" s="168">
        <f t="shared" si="16"/>
        <v>2.914572864321608E-2</v>
      </c>
      <c r="AI65" s="168">
        <f t="shared" si="17"/>
        <v>1.2041476195785484E-2</v>
      </c>
      <c r="AJ65" s="426">
        <f t="shared" si="18"/>
        <v>1.514736746053472E-2</v>
      </c>
    </row>
    <row r="66" spans="1:36" s="166" customFormat="1">
      <c r="A66" s="170" t="s">
        <v>153</v>
      </c>
      <c r="B66" s="532" t="s">
        <v>154</v>
      </c>
      <c r="C66" s="171" t="s">
        <v>278</v>
      </c>
      <c r="D66" s="172">
        <f t="shared" si="8"/>
        <v>70454</v>
      </c>
      <c r="E66" s="172">
        <v>62228</v>
      </c>
      <c r="F66" s="172">
        <v>2632</v>
      </c>
      <c r="G66" s="172">
        <v>5594</v>
      </c>
      <c r="H66" s="172">
        <f t="shared" si="9"/>
        <v>23938</v>
      </c>
      <c r="I66" s="172">
        <v>20415</v>
      </c>
      <c r="J66" s="172">
        <v>1084</v>
      </c>
      <c r="K66" s="172">
        <v>2439</v>
      </c>
      <c r="L66" s="172">
        <f t="shared" si="10"/>
        <v>94392</v>
      </c>
      <c r="M66" s="172">
        <f t="shared" si="10"/>
        <v>82643</v>
      </c>
      <c r="N66" s="172">
        <f t="shared" si="10"/>
        <v>3716</v>
      </c>
      <c r="O66" s="172">
        <f t="shared" si="10"/>
        <v>8033</v>
      </c>
      <c r="P66" s="172">
        <f t="shared" si="11"/>
        <v>94392</v>
      </c>
      <c r="R66" s="173">
        <f t="shared" si="0"/>
        <v>0.74639799983049415</v>
      </c>
      <c r="S66" s="173">
        <f t="shared" si="1"/>
        <v>0.88324296704232552</v>
      </c>
      <c r="T66" s="173">
        <f t="shared" si="2"/>
        <v>3.7357708575808328E-2</v>
      </c>
      <c r="U66" s="173">
        <f t="shared" si="3"/>
        <v>7.9399324381866185E-2</v>
      </c>
      <c r="V66" s="173">
        <f t="shared" si="4"/>
        <v>0.2536020001695059</v>
      </c>
      <c r="W66" s="173">
        <f t="shared" si="5"/>
        <v>0.85282813936001334</v>
      </c>
      <c r="X66" s="173">
        <f t="shared" si="6"/>
        <v>4.5283649427688193E-2</v>
      </c>
      <c r="Y66" s="173">
        <f t="shared" si="7"/>
        <v>0.10188821121229844</v>
      </c>
      <c r="Z66" s="173">
        <f t="shared" si="12"/>
        <v>1</v>
      </c>
      <c r="AA66" s="173">
        <f t="shared" si="13"/>
        <v>0.8755297059072803</v>
      </c>
      <c r="AB66" s="173">
        <f t="shared" si="14"/>
        <v>3.9367743029070257E-2</v>
      </c>
      <c r="AC66" s="173">
        <f t="shared" si="15"/>
        <v>8.5102551063649459E-2</v>
      </c>
      <c r="AE66" s="425">
        <v>898</v>
      </c>
      <c r="AF66" s="169">
        <v>1638</v>
      </c>
      <c r="AG66" s="424">
        <f t="shared" si="19"/>
        <v>2536</v>
      </c>
      <c r="AH66" s="168">
        <f t="shared" si="16"/>
        <v>3.7513576739911438E-2</v>
      </c>
      <c r="AI66" s="168">
        <f t="shared" si="17"/>
        <v>2.3249212251965821E-2</v>
      </c>
      <c r="AJ66" s="426">
        <f t="shared" si="18"/>
        <v>2.68666836172557E-2</v>
      </c>
    </row>
    <row r="67" spans="1:36" s="166" customFormat="1">
      <c r="A67" s="170" t="s">
        <v>155</v>
      </c>
      <c r="B67" s="532" t="s">
        <v>156</v>
      </c>
      <c r="C67" s="171" t="s">
        <v>273</v>
      </c>
      <c r="D67" s="172">
        <f t="shared" si="8"/>
        <v>11847</v>
      </c>
      <c r="E67" s="172">
        <v>10005</v>
      </c>
      <c r="F67" s="172">
        <v>1530</v>
      </c>
      <c r="G67" s="172">
        <v>312</v>
      </c>
      <c r="H67" s="172">
        <f t="shared" si="9"/>
        <v>3173</v>
      </c>
      <c r="I67" s="172">
        <v>2504</v>
      </c>
      <c r="J67" s="172">
        <v>437</v>
      </c>
      <c r="K67" s="172">
        <v>232</v>
      </c>
      <c r="L67" s="172">
        <f t="shared" si="10"/>
        <v>15020</v>
      </c>
      <c r="M67" s="172">
        <f t="shared" si="10"/>
        <v>12509</v>
      </c>
      <c r="N67" s="172">
        <f t="shared" si="10"/>
        <v>1967</v>
      </c>
      <c r="O67" s="172">
        <f t="shared" si="10"/>
        <v>544</v>
      </c>
      <c r="P67" s="172">
        <f t="shared" si="11"/>
        <v>15020</v>
      </c>
      <c r="R67" s="173">
        <f t="shared" si="0"/>
        <v>0.78874833555259649</v>
      </c>
      <c r="S67" s="173">
        <f t="shared" si="1"/>
        <v>0.84451759939225124</v>
      </c>
      <c r="T67" s="173">
        <f t="shared" si="2"/>
        <v>0.12914661939731578</v>
      </c>
      <c r="U67" s="173">
        <f t="shared" si="3"/>
        <v>2.6335781210433021E-2</v>
      </c>
      <c r="V67" s="173">
        <f t="shared" si="4"/>
        <v>0.21125166444740345</v>
      </c>
      <c r="W67" s="173">
        <f t="shared" si="5"/>
        <v>0.78915852505515283</v>
      </c>
      <c r="X67" s="173">
        <f t="shared" si="6"/>
        <v>0.1377245508982036</v>
      </c>
      <c r="Y67" s="173">
        <f t="shared" si="7"/>
        <v>7.311692404664355E-2</v>
      </c>
      <c r="Z67" s="173">
        <f t="shared" si="12"/>
        <v>1</v>
      </c>
      <c r="AA67" s="173">
        <f t="shared" si="13"/>
        <v>0.83282290279627169</v>
      </c>
      <c r="AB67" s="173">
        <f t="shared" si="14"/>
        <v>0.13095872170439415</v>
      </c>
      <c r="AC67" s="173">
        <f t="shared" si="15"/>
        <v>3.6218375499334224E-2</v>
      </c>
      <c r="AE67" s="425">
        <v>184</v>
      </c>
      <c r="AF67" s="169">
        <v>275</v>
      </c>
      <c r="AG67" s="424">
        <f t="shared" si="19"/>
        <v>459</v>
      </c>
      <c r="AH67" s="168">
        <f t="shared" si="16"/>
        <v>5.7989284588717299E-2</v>
      </c>
      <c r="AI67" s="168">
        <f t="shared" si="17"/>
        <v>2.3212627669452181E-2</v>
      </c>
      <c r="AJ67" s="426">
        <f t="shared" si="18"/>
        <v>3.0559254327563248E-2</v>
      </c>
    </row>
    <row r="68" spans="1:36" s="166" customFormat="1">
      <c r="A68" s="170" t="s">
        <v>157</v>
      </c>
      <c r="B68" s="532" t="s">
        <v>158</v>
      </c>
      <c r="C68" s="171" t="s">
        <v>275</v>
      </c>
      <c r="D68" s="172">
        <f t="shared" si="8"/>
        <v>13934</v>
      </c>
      <c r="E68" s="172">
        <v>11470</v>
      </c>
      <c r="F68" s="172">
        <v>1922</v>
      </c>
      <c r="G68" s="172">
        <v>542</v>
      </c>
      <c r="H68" s="172">
        <f t="shared" si="9"/>
        <v>4495</v>
      </c>
      <c r="I68" s="172">
        <v>3587</v>
      </c>
      <c r="J68" s="172">
        <v>562</v>
      </c>
      <c r="K68" s="172">
        <v>346</v>
      </c>
      <c r="L68" s="172">
        <f t="shared" si="10"/>
        <v>18429</v>
      </c>
      <c r="M68" s="172">
        <f t="shared" si="10"/>
        <v>15057</v>
      </c>
      <c r="N68" s="172">
        <f t="shared" si="10"/>
        <v>2484</v>
      </c>
      <c r="O68" s="172">
        <f t="shared" si="10"/>
        <v>888</v>
      </c>
      <c r="P68" s="172">
        <f t="shared" si="11"/>
        <v>18429</v>
      </c>
      <c r="R68" s="173">
        <f t="shared" si="0"/>
        <v>0.75609094362146612</v>
      </c>
      <c r="S68" s="173">
        <f t="shared" si="1"/>
        <v>0.82316635567676189</v>
      </c>
      <c r="T68" s="173">
        <f t="shared" si="2"/>
        <v>0.13793598392421416</v>
      </c>
      <c r="U68" s="173">
        <f t="shared" si="3"/>
        <v>3.8897660399023967E-2</v>
      </c>
      <c r="V68" s="173">
        <f t="shared" si="4"/>
        <v>0.24390905637853383</v>
      </c>
      <c r="W68" s="173">
        <f t="shared" si="5"/>
        <v>0.79799777530589544</v>
      </c>
      <c r="X68" s="173">
        <f t="shared" si="6"/>
        <v>0.125027808676307</v>
      </c>
      <c r="Y68" s="173">
        <f t="shared" si="7"/>
        <v>7.6974416017797559E-2</v>
      </c>
      <c r="Z68" s="173">
        <f t="shared" si="12"/>
        <v>1</v>
      </c>
      <c r="AA68" s="173">
        <f t="shared" si="13"/>
        <v>0.81702751098811655</v>
      </c>
      <c r="AB68" s="173">
        <f t="shared" si="14"/>
        <v>0.13478756307992837</v>
      </c>
      <c r="AC68" s="173">
        <f t="shared" si="15"/>
        <v>4.8184925931955072E-2</v>
      </c>
      <c r="AE68" s="425">
        <v>168</v>
      </c>
      <c r="AF68" s="169">
        <v>222</v>
      </c>
      <c r="AG68" s="424">
        <f t="shared" si="19"/>
        <v>390</v>
      </c>
      <c r="AH68" s="168">
        <f t="shared" si="16"/>
        <v>3.7374860956618468E-2</v>
      </c>
      <c r="AI68" s="168">
        <f t="shared" si="17"/>
        <v>1.5932252045356681E-2</v>
      </c>
      <c r="AJ68" s="426">
        <f t="shared" si="18"/>
        <v>2.1162298551196484E-2</v>
      </c>
    </row>
    <row r="69" spans="1:36" s="166" customFormat="1">
      <c r="A69" s="170" t="s">
        <v>163</v>
      </c>
      <c r="B69" s="532" t="s">
        <v>164</v>
      </c>
      <c r="C69" s="171" t="s">
        <v>272</v>
      </c>
      <c r="D69" s="172">
        <f t="shared" si="8"/>
        <v>9684</v>
      </c>
      <c r="E69" s="172">
        <v>5839</v>
      </c>
      <c r="F69" s="172">
        <v>3430</v>
      </c>
      <c r="G69" s="172">
        <v>415</v>
      </c>
      <c r="H69" s="172">
        <f t="shared" si="9"/>
        <v>2705</v>
      </c>
      <c r="I69" s="172">
        <v>1329</v>
      </c>
      <c r="J69" s="172">
        <v>1098</v>
      </c>
      <c r="K69" s="172">
        <v>278</v>
      </c>
      <c r="L69" s="172">
        <f t="shared" si="10"/>
        <v>12389</v>
      </c>
      <c r="M69" s="172">
        <f t="shared" si="10"/>
        <v>7168</v>
      </c>
      <c r="N69" s="172">
        <f t="shared" si="10"/>
        <v>4528</v>
      </c>
      <c r="O69" s="172">
        <f t="shared" si="10"/>
        <v>693</v>
      </c>
      <c r="P69" s="172">
        <f t="shared" si="11"/>
        <v>12389</v>
      </c>
      <c r="R69" s="173">
        <f t="shared" si="0"/>
        <v>0.78166115102106704</v>
      </c>
      <c r="S69" s="173">
        <f t="shared" si="1"/>
        <v>0.60295332507228416</v>
      </c>
      <c r="T69" s="173">
        <f t="shared" si="2"/>
        <v>0.35419248244527057</v>
      </c>
      <c r="U69" s="173">
        <f t="shared" si="3"/>
        <v>4.2854192482445271E-2</v>
      </c>
      <c r="V69" s="173">
        <f t="shared" si="4"/>
        <v>0.21833884897893294</v>
      </c>
      <c r="W69" s="173">
        <f t="shared" si="5"/>
        <v>0.49131238447319781</v>
      </c>
      <c r="X69" s="173">
        <f t="shared" si="6"/>
        <v>0.40591497227356749</v>
      </c>
      <c r="Y69" s="173">
        <f t="shared" si="7"/>
        <v>0.10277264325323475</v>
      </c>
      <c r="Z69" s="173">
        <f t="shared" si="12"/>
        <v>1</v>
      </c>
      <c r="AA69" s="173">
        <f t="shared" si="13"/>
        <v>0.57857777060295423</v>
      </c>
      <c r="AB69" s="173">
        <f t="shared" si="14"/>
        <v>0.36548551134070545</v>
      </c>
      <c r="AC69" s="173">
        <f t="shared" si="15"/>
        <v>5.5936718056340304E-2</v>
      </c>
      <c r="AE69" s="425">
        <v>343</v>
      </c>
      <c r="AF69" s="169">
        <v>531</v>
      </c>
      <c r="AG69" s="424">
        <f t="shared" si="19"/>
        <v>874</v>
      </c>
      <c r="AH69" s="168">
        <f t="shared" si="16"/>
        <v>0.1268022181146026</v>
      </c>
      <c r="AI69" s="168">
        <f t="shared" si="17"/>
        <v>5.4832713754646843E-2</v>
      </c>
      <c r="AJ69" s="426">
        <f t="shared" si="18"/>
        <v>7.0546452498183879E-2</v>
      </c>
    </row>
    <row r="70" spans="1:36" s="166" customFormat="1">
      <c r="A70" s="170" t="s">
        <v>165</v>
      </c>
      <c r="B70" s="532" t="s">
        <v>166</v>
      </c>
      <c r="C70" s="171" t="s">
        <v>275</v>
      </c>
      <c r="D70" s="172">
        <f t="shared" si="8"/>
        <v>10064</v>
      </c>
      <c r="E70" s="172">
        <v>7518</v>
      </c>
      <c r="F70" s="172">
        <v>2286</v>
      </c>
      <c r="G70" s="172">
        <v>260</v>
      </c>
      <c r="H70" s="172">
        <f t="shared" si="9"/>
        <v>2266</v>
      </c>
      <c r="I70" s="172">
        <v>1283</v>
      </c>
      <c r="J70" s="172">
        <v>837</v>
      </c>
      <c r="K70" s="172">
        <v>146</v>
      </c>
      <c r="L70" s="172">
        <f t="shared" si="10"/>
        <v>12330</v>
      </c>
      <c r="M70" s="172">
        <f t="shared" si="10"/>
        <v>8801</v>
      </c>
      <c r="N70" s="172">
        <f t="shared" si="10"/>
        <v>3123</v>
      </c>
      <c r="O70" s="172">
        <f t="shared" ref="O70:O122" si="20">K70+G70</f>
        <v>406</v>
      </c>
      <c r="P70" s="172">
        <f t="shared" si="11"/>
        <v>12330</v>
      </c>
      <c r="R70" s="173">
        <f t="shared" ref="R70:R122" si="21">D70/P70</f>
        <v>0.81622060016220599</v>
      </c>
      <c r="S70" s="173">
        <f t="shared" ref="S70:S122" si="22">E70/D70</f>
        <v>0.74701907790143085</v>
      </c>
      <c r="T70" s="173">
        <f t="shared" ref="T70:T122" si="23">F70/D70</f>
        <v>0.22714626391096979</v>
      </c>
      <c r="U70" s="173">
        <f t="shared" ref="U70:U122" si="24">G70/D70</f>
        <v>2.5834658187599363E-2</v>
      </c>
      <c r="V70" s="173">
        <f t="shared" ref="V70:V122" si="25">H70/P70</f>
        <v>0.18377939983779401</v>
      </c>
      <c r="W70" s="173">
        <f t="shared" ref="W70:W122" si="26">I70/H70</f>
        <v>0.56619593998234774</v>
      </c>
      <c r="X70" s="173">
        <f t="shared" ref="X70:X122" si="27">J70/H70</f>
        <v>0.36937334510150044</v>
      </c>
      <c r="Y70" s="173">
        <f t="shared" ref="Y70:Y122" si="28">K70/H70</f>
        <v>6.4430714916151807E-2</v>
      </c>
      <c r="Z70" s="173">
        <f t="shared" si="12"/>
        <v>1</v>
      </c>
      <c r="AA70" s="173">
        <f t="shared" si="13"/>
        <v>0.71378751013787511</v>
      </c>
      <c r="AB70" s="173">
        <f t="shared" si="14"/>
        <v>0.25328467153284673</v>
      </c>
      <c r="AC70" s="173">
        <f t="shared" si="15"/>
        <v>3.2927818329278186E-2</v>
      </c>
      <c r="AE70" s="425">
        <v>146</v>
      </c>
      <c r="AF70" s="169">
        <v>236</v>
      </c>
      <c r="AG70" s="424">
        <f t="shared" si="19"/>
        <v>382</v>
      </c>
      <c r="AH70" s="168">
        <f t="shared" si="16"/>
        <v>6.4430714916151807E-2</v>
      </c>
      <c r="AI70" s="168">
        <f t="shared" si="17"/>
        <v>2.3449920508744039E-2</v>
      </c>
      <c r="AJ70" s="426">
        <f t="shared" si="18"/>
        <v>3.0981346309813463E-2</v>
      </c>
    </row>
    <row r="71" spans="1:36" s="166" customFormat="1">
      <c r="A71" s="170" t="s">
        <v>169</v>
      </c>
      <c r="B71" s="532" t="s">
        <v>170</v>
      </c>
      <c r="C71" s="171" t="s">
        <v>275</v>
      </c>
      <c r="D71" s="172">
        <f t="shared" ref="D71:D126" si="29">SUM(E71:G71)</f>
        <v>12236</v>
      </c>
      <c r="E71" s="172">
        <v>6984</v>
      </c>
      <c r="F71" s="172">
        <v>4841</v>
      </c>
      <c r="G71" s="172">
        <v>411</v>
      </c>
      <c r="H71" s="172">
        <f t="shared" ref="H71:H126" si="30">SUM(I71:K71)</f>
        <v>3617</v>
      </c>
      <c r="I71" s="172">
        <v>1984</v>
      </c>
      <c r="J71" s="172">
        <v>1386</v>
      </c>
      <c r="K71" s="172">
        <v>247</v>
      </c>
      <c r="L71" s="172">
        <f t="shared" ref="L71:N122" si="31">H71+D71</f>
        <v>15853</v>
      </c>
      <c r="M71" s="172">
        <f t="shared" si="31"/>
        <v>8968</v>
      </c>
      <c r="N71" s="172">
        <f t="shared" si="31"/>
        <v>6227</v>
      </c>
      <c r="O71" s="172">
        <f t="shared" si="20"/>
        <v>658</v>
      </c>
      <c r="P71" s="172">
        <f t="shared" ref="P71:P122" si="32">L71</f>
        <v>15853</v>
      </c>
      <c r="R71" s="173">
        <f t="shared" si="21"/>
        <v>0.77184129186904682</v>
      </c>
      <c r="S71" s="173">
        <f t="shared" si="22"/>
        <v>0.57077476299444263</v>
      </c>
      <c r="T71" s="173">
        <f t="shared" si="23"/>
        <v>0.39563582870219027</v>
      </c>
      <c r="U71" s="173">
        <f t="shared" si="24"/>
        <v>3.358940830336711E-2</v>
      </c>
      <c r="V71" s="173">
        <f t="shared" si="25"/>
        <v>0.22815870813095313</v>
      </c>
      <c r="W71" s="173">
        <f t="shared" si="26"/>
        <v>0.54852087365219793</v>
      </c>
      <c r="X71" s="173">
        <f t="shared" si="27"/>
        <v>0.38319048935581973</v>
      </c>
      <c r="Y71" s="173">
        <f t="shared" si="28"/>
        <v>6.8288636991982302E-2</v>
      </c>
      <c r="Z71" s="173">
        <f t="shared" ref="Z71:Z122" si="33">L71/P71</f>
        <v>1</v>
      </c>
      <c r="AA71" s="173">
        <f t="shared" ref="AA71:AA122" si="34">M71/P71</f>
        <v>0.56569734435122687</v>
      </c>
      <c r="AB71" s="173">
        <f t="shared" ref="AB71:AB122" si="35">N71/P71</f>
        <v>0.39279631615467103</v>
      </c>
      <c r="AC71" s="173">
        <f t="shared" ref="AC71:AC122" si="36">O71/P71</f>
        <v>4.1506339494102061E-2</v>
      </c>
      <c r="AE71" s="425">
        <v>207</v>
      </c>
      <c r="AF71" s="169">
        <v>402</v>
      </c>
      <c r="AG71" s="424">
        <f t="shared" si="19"/>
        <v>609</v>
      </c>
      <c r="AH71" s="168">
        <f t="shared" ref="AH71:AH122" si="37">AE71/H71</f>
        <v>5.7229748410284768E-2</v>
      </c>
      <c r="AI71" s="168">
        <f t="shared" ref="AI71:AI122" si="38">AF71/D71</f>
        <v>3.2853873814972213E-2</v>
      </c>
      <c r="AJ71" s="426">
        <f t="shared" ref="AJ71:AJ122" si="39">AG71/P71</f>
        <v>3.8415441872200848E-2</v>
      </c>
    </row>
    <row r="72" spans="1:36" s="166" customFormat="1">
      <c r="A72" s="170" t="s">
        <v>171</v>
      </c>
      <c r="B72" s="532" t="s">
        <v>172</v>
      </c>
      <c r="C72" s="171" t="s">
        <v>276</v>
      </c>
      <c r="D72" s="172">
        <f t="shared" si="29"/>
        <v>25103</v>
      </c>
      <c r="E72" s="172">
        <v>21089</v>
      </c>
      <c r="F72" s="172">
        <v>3119</v>
      </c>
      <c r="G72" s="172">
        <v>895</v>
      </c>
      <c r="H72" s="172">
        <f t="shared" si="30"/>
        <v>8378</v>
      </c>
      <c r="I72" s="172">
        <v>6495</v>
      </c>
      <c r="J72" s="172">
        <v>1137</v>
      </c>
      <c r="K72" s="172">
        <v>746</v>
      </c>
      <c r="L72" s="172">
        <f t="shared" si="31"/>
        <v>33481</v>
      </c>
      <c r="M72" s="172">
        <f t="shared" si="31"/>
        <v>27584</v>
      </c>
      <c r="N72" s="172">
        <f t="shared" si="31"/>
        <v>4256</v>
      </c>
      <c r="O72" s="172">
        <f t="shared" si="20"/>
        <v>1641</v>
      </c>
      <c r="P72" s="172">
        <f t="shared" si="32"/>
        <v>33481</v>
      </c>
      <c r="R72" s="173">
        <f t="shared" si="21"/>
        <v>0.74976852543233474</v>
      </c>
      <c r="S72" s="173">
        <f t="shared" si="22"/>
        <v>0.84009879297295142</v>
      </c>
      <c r="T72" s="173">
        <f t="shared" si="23"/>
        <v>0.12424809783691192</v>
      </c>
      <c r="U72" s="173">
        <f t="shared" si="24"/>
        <v>3.5653109190136638E-2</v>
      </c>
      <c r="V72" s="173">
        <f t="shared" si="25"/>
        <v>0.25023147456766526</v>
      </c>
      <c r="W72" s="173">
        <f t="shared" si="26"/>
        <v>0.77524468846980188</v>
      </c>
      <c r="X72" s="173">
        <f t="shared" si="27"/>
        <v>0.13571258056815469</v>
      </c>
      <c r="Y72" s="173">
        <f t="shared" si="28"/>
        <v>8.9042730962043445E-2</v>
      </c>
      <c r="Z72" s="173">
        <f t="shared" si="33"/>
        <v>1</v>
      </c>
      <c r="AA72" s="173">
        <f t="shared" si="34"/>
        <v>0.82387025477136289</v>
      </c>
      <c r="AB72" s="173">
        <f t="shared" si="35"/>
        <v>0.12711687225590634</v>
      </c>
      <c r="AC72" s="173">
        <f t="shared" si="36"/>
        <v>4.9012872972730805E-2</v>
      </c>
      <c r="AE72" s="425">
        <v>470</v>
      </c>
      <c r="AF72" s="169">
        <v>669</v>
      </c>
      <c r="AG72" s="424">
        <f t="shared" ref="AG72:AG126" si="40">AE72+AF72</f>
        <v>1139</v>
      </c>
      <c r="AH72" s="168">
        <f t="shared" si="37"/>
        <v>5.6099307710670801E-2</v>
      </c>
      <c r="AI72" s="168">
        <f t="shared" si="38"/>
        <v>2.665020117117476E-2</v>
      </c>
      <c r="AJ72" s="426">
        <f t="shared" si="39"/>
        <v>3.4019294525253131E-2</v>
      </c>
    </row>
    <row r="73" spans="1:36" s="166" customFormat="1">
      <c r="A73" s="170" t="s">
        <v>173</v>
      </c>
      <c r="B73" s="532" t="s">
        <v>174</v>
      </c>
      <c r="C73" s="171" t="s">
        <v>276</v>
      </c>
      <c r="D73" s="172">
        <f t="shared" si="29"/>
        <v>18345</v>
      </c>
      <c r="E73" s="172">
        <v>17691</v>
      </c>
      <c r="F73" s="172">
        <v>357</v>
      </c>
      <c r="G73" s="172">
        <v>297</v>
      </c>
      <c r="H73" s="172">
        <f t="shared" si="30"/>
        <v>5697</v>
      </c>
      <c r="I73" s="172">
        <v>5372</v>
      </c>
      <c r="J73" s="172">
        <v>109</v>
      </c>
      <c r="K73" s="172">
        <v>216</v>
      </c>
      <c r="L73" s="172">
        <f t="shared" si="31"/>
        <v>24042</v>
      </c>
      <c r="M73" s="172">
        <f t="shared" si="31"/>
        <v>23063</v>
      </c>
      <c r="N73" s="172">
        <f t="shared" si="31"/>
        <v>466</v>
      </c>
      <c r="O73" s="172">
        <f t="shared" si="20"/>
        <v>513</v>
      </c>
      <c r="P73" s="172">
        <f t="shared" si="32"/>
        <v>24042</v>
      </c>
      <c r="R73" s="173">
        <f t="shared" si="21"/>
        <v>0.76303968055902172</v>
      </c>
      <c r="S73" s="173">
        <f t="shared" si="22"/>
        <v>0.96434995911692556</v>
      </c>
      <c r="T73" s="173">
        <f t="shared" si="23"/>
        <v>1.9460343417825019E-2</v>
      </c>
      <c r="U73" s="173">
        <f t="shared" si="24"/>
        <v>1.6189697465249387E-2</v>
      </c>
      <c r="V73" s="173">
        <f t="shared" si="25"/>
        <v>0.23696031944097828</v>
      </c>
      <c r="W73" s="173">
        <f t="shared" si="26"/>
        <v>0.94295243110408988</v>
      </c>
      <c r="X73" s="173">
        <f t="shared" si="27"/>
        <v>1.9132876952782166E-2</v>
      </c>
      <c r="Y73" s="173">
        <f t="shared" si="28"/>
        <v>3.7914691943127965E-2</v>
      </c>
      <c r="Z73" s="173">
        <f t="shared" si="33"/>
        <v>1</v>
      </c>
      <c r="AA73" s="173">
        <f t="shared" si="34"/>
        <v>0.95927959404375673</v>
      </c>
      <c r="AB73" s="173">
        <f t="shared" si="35"/>
        <v>1.9382746859662257E-2</v>
      </c>
      <c r="AC73" s="173">
        <f t="shared" si="36"/>
        <v>2.1337659096580985E-2</v>
      </c>
      <c r="AE73" s="425">
        <v>159</v>
      </c>
      <c r="AF73" s="169">
        <v>214</v>
      </c>
      <c r="AG73" s="424">
        <f t="shared" si="40"/>
        <v>373</v>
      </c>
      <c r="AH73" s="168">
        <f t="shared" si="37"/>
        <v>2.7909426013691417E-2</v>
      </c>
      <c r="AI73" s="168">
        <f t="shared" si="38"/>
        <v>1.166530389751976E-2</v>
      </c>
      <c r="AJ73" s="426">
        <f t="shared" si="39"/>
        <v>1.5514516263206057E-2</v>
      </c>
    </row>
    <row r="74" spans="1:36" s="166" customFormat="1">
      <c r="A74" s="170" t="s">
        <v>175</v>
      </c>
      <c r="B74" s="532" t="s">
        <v>176</v>
      </c>
      <c r="C74" s="171" t="s">
        <v>278</v>
      </c>
      <c r="D74" s="172">
        <f t="shared" si="29"/>
        <v>14557</v>
      </c>
      <c r="E74" s="172">
        <v>13417</v>
      </c>
      <c r="F74" s="172">
        <v>828</v>
      </c>
      <c r="G74" s="172">
        <v>312</v>
      </c>
      <c r="H74" s="172">
        <f t="shared" si="30"/>
        <v>3933</v>
      </c>
      <c r="I74" s="172">
        <v>3430</v>
      </c>
      <c r="J74" s="172">
        <v>257</v>
      </c>
      <c r="K74" s="172">
        <v>246</v>
      </c>
      <c r="L74" s="172">
        <f t="shared" si="31"/>
        <v>18490</v>
      </c>
      <c r="M74" s="172">
        <f t="shared" si="31"/>
        <v>16847</v>
      </c>
      <c r="N74" s="172">
        <f t="shared" si="31"/>
        <v>1085</v>
      </c>
      <c r="O74" s="172">
        <f t="shared" si="20"/>
        <v>558</v>
      </c>
      <c r="P74" s="172">
        <f t="shared" si="32"/>
        <v>18490</v>
      </c>
      <c r="R74" s="173">
        <f t="shared" si="21"/>
        <v>0.78729042725797727</v>
      </c>
      <c r="S74" s="173">
        <f t="shared" si="22"/>
        <v>0.92168716081610225</v>
      </c>
      <c r="T74" s="173">
        <f t="shared" si="23"/>
        <v>5.6879851617778386E-2</v>
      </c>
      <c r="U74" s="173">
        <f t="shared" si="24"/>
        <v>2.1432987566119392E-2</v>
      </c>
      <c r="V74" s="173">
        <f t="shared" si="25"/>
        <v>0.21270957274202271</v>
      </c>
      <c r="W74" s="173">
        <f t="shared" si="26"/>
        <v>0.87210780574624969</v>
      </c>
      <c r="X74" s="173">
        <f t="shared" si="27"/>
        <v>6.5344520722095095E-2</v>
      </c>
      <c r="Y74" s="173">
        <f t="shared" si="28"/>
        <v>6.2547673531655232E-2</v>
      </c>
      <c r="Z74" s="173">
        <f t="shared" si="33"/>
        <v>1</v>
      </c>
      <c r="AA74" s="173">
        <f t="shared" si="34"/>
        <v>0.91114115738236889</v>
      </c>
      <c r="AB74" s="173">
        <f t="shared" si="35"/>
        <v>5.8680367766360195E-2</v>
      </c>
      <c r="AC74" s="173">
        <f t="shared" si="36"/>
        <v>3.0178474851270957E-2</v>
      </c>
      <c r="AE74" s="425">
        <v>194</v>
      </c>
      <c r="AF74" s="169">
        <v>250</v>
      </c>
      <c r="AG74" s="424">
        <f t="shared" si="40"/>
        <v>444</v>
      </c>
      <c r="AH74" s="168">
        <f t="shared" si="37"/>
        <v>4.9326214085939485E-2</v>
      </c>
      <c r="AI74" s="168">
        <f t="shared" si="38"/>
        <v>1.7173868242082845E-2</v>
      </c>
      <c r="AJ74" s="426">
        <f t="shared" si="39"/>
        <v>2.4012979989183343E-2</v>
      </c>
    </row>
    <row r="75" spans="1:36" s="166" customFormat="1">
      <c r="A75" s="170" t="s">
        <v>179</v>
      </c>
      <c r="B75" s="532" t="s">
        <v>180</v>
      </c>
      <c r="C75" s="171" t="s">
        <v>273</v>
      </c>
      <c r="D75" s="172">
        <f t="shared" si="29"/>
        <v>48623</v>
      </c>
      <c r="E75" s="172">
        <v>37034</v>
      </c>
      <c r="F75" s="172">
        <v>10731</v>
      </c>
      <c r="G75" s="172">
        <v>858</v>
      </c>
      <c r="H75" s="172">
        <f t="shared" si="30"/>
        <v>14883</v>
      </c>
      <c r="I75" s="172">
        <v>10884</v>
      </c>
      <c r="J75" s="172">
        <v>3287</v>
      </c>
      <c r="K75" s="172">
        <v>712</v>
      </c>
      <c r="L75" s="172">
        <f t="shared" si="31"/>
        <v>63506</v>
      </c>
      <c r="M75" s="172">
        <f t="shared" si="31"/>
        <v>47918</v>
      </c>
      <c r="N75" s="172">
        <f t="shared" si="31"/>
        <v>14018</v>
      </c>
      <c r="O75" s="172">
        <f t="shared" si="20"/>
        <v>1570</v>
      </c>
      <c r="P75" s="172">
        <f t="shared" si="32"/>
        <v>63506</v>
      </c>
      <c r="R75" s="173">
        <f t="shared" si="21"/>
        <v>0.76564419110005355</v>
      </c>
      <c r="S75" s="173">
        <f t="shared" si="22"/>
        <v>0.76165600641671638</v>
      </c>
      <c r="T75" s="173">
        <f t="shared" si="23"/>
        <v>0.22069802356909282</v>
      </c>
      <c r="U75" s="173">
        <f t="shared" si="24"/>
        <v>1.7645970014190816E-2</v>
      </c>
      <c r="V75" s="173">
        <f t="shared" si="25"/>
        <v>0.23435580889994645</v>
      </c>
      <c r="W75" s="173">
        <f t="shared" si="26"/>
        <v>0.73130417254585767</v>
      </c>
      <c r="X75" s="173">
        <f t="shared" si="27"/>
        <v>0.2208560102129947</v>
      </c>
      <c r="Y75" s="173">
        <f t="shared" si="28"/>
        <v>4.7839817241147616E-2</v>
      </c>
      <c r="Z75" s="173">
        <f t="shared" si="33"/>
        <v>1</v>
      </c>
      <c r="AA75" s="173">
        <f t="shared" si="34"/>
        <v>0.75454287783831453</v>
      </c>
      <c r="AB75" s="173">
        <f t="shared" si="35"/>
        <v>0.22073504865681984</v>
      </c>
      <c r="AC75" s="173">
        <f t="shared" si="36"/>
        <v>2.4722073504865681E-2</v>
      </c>
      <c r="AE75" s="425">
        <v>527</v>
      </c>
      <c r="AF75" s="169">
        <v>805</v>
      </c>
      <c r="AG75" s="424">
        <f t="shared" si="40"/>
        <v>1332</v>
      </c>
      <c r="AH75" s="168">
        <f t="shared" si="37"/>
        <v>3.5409527648995499E-2</v>
      </c>
      <c r="AI75" s="168">
        <f t="shared" si="38"/>
        <v>1.65559508874401E-2</v>
      </c>
      <c r="AJ75" s="426">
        <f t="shared" si="39"/>
        <v>2.0974396120051648E-2</v>
      </c>
    </row>
    <row r="76" spans="1:36" s="166" customFormat="1">
      <c r="A76" s="170" t="s">
        <v>183</v>
      </c>
      <c r="B76" s="532" t="s">
        <v>184</v>
      </c>
      <c r="C76" s="171" t="s">
        <v>275</v>
      </c>
      <c r="D76" s="172">
        <f t="shared" si="29"/>
        <v>20776</v>
      </c>
      <c r="E76" s="172">
        <v>17379</v>
      </c>
      <c r="F76" s="172">
        <v>3019</v>
      </c>
      <c r="G76" s="172">
        <v>378</v>
      </c>
      <c r="H76" s="172">
        <f t="shared" si="30"/>
        <v>7270</v>
      </c>
      <c r="I76" s="172">
        <v>6136</v>
      </c>
      <c r="J76" s="172">
        <v>803</v>
      </c>
      <c r="K76" s="172">
        <v>331</v>
      </c>
      <c r="L76" s="172">
        <f t="shared" si="31"/>
        <v>28046</v>
      </c>
      <c r="M76" s="172">
        <f t="shared" si="31"/>
        <v>23515</v>
      </c>
      <c r="N76" s="172">
        <f t="shared" si="31"/>
        <v>3822</v>
      </c>
      <c r="O76" s="172">
        <f t="shared" si="20"/>
        <v>709</v>
      </c>
      <c r="P76" s="172">
        <f t="shared" si="32"/>
        <v>28046</v>
      </c>
      <c r="R76" s="173">
        <f t="shared" si="21"/>
        <v>0.74078299935819725</v>
      </c>
      <c r="S76" s="173">
        <f t="shared" si="22"/>
        <v>0.8364940315748941</v>
      </c>
      <c r="T76" s="173">
        <f t="shared" si="23"/>
        <v>0.14531189834424335</v>
      </c>
      <c r="U76" s="173">
        <f t="shared" si="24"/>
        <v>1.8194070080862535E-2</v>
      </c>
      <c r="V76" s="173">
        <f t="shared" si="25"/>
        <v>0.25921700064180275</v>
      </c>
      <c r="W76" s="173">
        <f t="shared" si="26"/>
        <v>0.84401650618982116</v>
      </c>
      <c r="X76" s="173">
        <f t="shared" si="27"/>
        <v>0.11045392022008253</v>
      </c>
      <c r="Y76" s="173">
        <f t="shared" si="28"/>
        <v>4.5529573590096288E-2</v>
      </c>
      <c r="Z76" s="173">
        <f t="shared" si="33"/>
        <v>1</v>
      </c>
      <c r="AA76" s="173">
        <f t="shared" si="34"/>
        <v>0.83844398488197958</v>
      </c>
      <c r="AB76" s="173">
        <f t="shared" si="35"/>
        <v>0.13627611780646082</v>
      </c>
      <c r="AC76" s="173">
        <f t="shared" si="36"/>
        <v>2.5279897311559579E-2</v>
      </c>
      <c r="AE76" s="425">
        <v>191</v>
      </c>
      <c r="AF76" s="169">
        <v>311</v>
      </c>
      <c r="AG76" s="424">
        <f t="shared" si="40"/>
        <v>502</v>
      </c>
      <c r="AH76" s="168">
        <f t="shared" si="37"/>
        <v>2.6272352132049519E-2</v>
      </c>
      <c r="AI76" s="168">
        <f t="shared" si="38"/>
        <v>1.4969195225259916E-2</v>
      </c>
      <c r="AJ76" s="426">
        <f t="shared" si="39"/>
        <v>1.7899165656421592E-2</v>
      </c>
    </row>
    <row r="77" spans="1:36" s="166" customFormat="1">
      <c r="A77" s="170" t="s">
        <v>185</v>
      </c>
      <c r="B77" s="532" t="s">
        <v>186</v>
      </c>
      <c r="C77" s="171" t="s">
        <v>275</v>
      </c>
      <c r="D77" s="172">
        <f t="shared" si="29"/>
        <v>17176</v>
      </c>
      <c r="E77" s="172">
        <v>11075</v>
      </c>
      <c r="F77" s="172">
        <v>5609</v>
      </c>
      <c r="G77" s="172">
        <v>492</v>
      </c>
      <c r="H77" s="172">
        <f t="shared" si="30"/>
        <v>6192</v>
      </c>
      <c r="I77" s="172">
        <v>3721</v>
      </c>
      <c r="J77" s="172">
        <v>2147</v>
      </c>
      <c r="K77" s="172">
        <v>324</v>
      </c>
      <c r="L77" s="172">
        <f t="shared" si="31"/>
        <v>23368</v>
      </c>
      <c r="M77" s="172">
        <f t="shared" si="31"/>
        <v>14796</v>
      </c>
      <c r="N77" s="172">
        <f t="shared" si="31"/>
        <v>7756</v>
      </c>
      <c r="O77" s="172">
        <f t="shared" si="20"/>
        <v>816</v>
      </c>
      <c r="P77" s="172">
        <f t="shared" si="32"/>
        <v>23368</v>
      </c>
      <c r="R77" s="173">
        <f t="shared" si="21"/>
        <v>0.73502225265320098</v>
      </c>
      <c r="S77" s="173">
        <f t="shared" si="22"/>
        <v>0.64479506287843502</v>
      </c>
      <c r="T77" s="173">
        <f t="shared" si="23"/>
        <v>0.32656031672100605</v>
      </c>
      <c r="U77" s="173">
        <f t="shared" si="24"/>
        <v>2.8644620400558918E-2</v>
      </c>
      <c r="V77" s="173">
        <f t="shared" si="25"/>
        <v>0.26497774734679902</v>
      </c>
      <c r="W77" s="173">
        <f t="shared" si="26"/>
        <v>0.60093669250645998</v>
      </c>
      <c r="X77" s="173">
        <f t="shared" si="27"/>
        <v>0.3467377260981912</v>
      </c>
      <c r="Y77" s="173">
        <f t="shared" si="28"/>
        <v>5.232558139534884E-2</v>
      </c>
      <c r="Z77" s="173">
        <f t="shared" si="33"/>
        <v>1</v>
      </c>
      <c r="AA77" s="173">
        <f t="shared" si="34"/>
        <v>0.63317357069496749</v>
      </c>
      <c r="AB77" s="173">
        <f t="shared" si="35"/>
        <v>0.33190688120506678</v>
      </c>
      <c r="AC77" s="173">
        <f t="shared" si="36"/>
        <v>3.4919548099965766E-2</v>
      </c>
      <c r="AE77" s="425">
        <v>184</v>
      </c>
      <c r="AF77" s="169">
        <v>341</v>
      </c>
      <c r="AG77" s="424">
        <f t="shared" si="40"/>
        <v>525</v>
      </c>
      <c r="AH77" s="168">
        <f t="shared" si="37"/>
        <v>2.9715762273901807E-2</v>
      </c>
      <c r="AI77" s="168">
        <f t="shared" si="38"/>
        <v>1.9853283651606893E-2</v>
      </c>
      <c r="AJ77" s="426">
        <f t="shared" si="39"/>
        <v>2.2466621020198561E-2</v>
      </c>
    </row>
    <row r="78" spans="1:36" s="166" customFormat="1">
      <c r="A78" s="170" t="s">
        <v>187</v>
      </c>
      <c r="B78" s="532" t="s">
        <v>188</v>
      </c>
      <c r="C78" s="171" t="s">
        <v>272</v>
      </c>
      <c r="D78" s="172">
        <f t="shared" si="29"/>
        <v>26712</v>
      </c>
      <c r="E78" s="172">
        <v>16680</v>
      </c>
      <c r="F78" s="172">
        <v>8520</v>
      </c>
      <c r="G78" s="172">
        <v>1512</v>
      </c>
      <c r="H78" s="172">
        <f t="shared" si="30"/>
        <v>9013</v>
      </c>
      <c r="I78" s="172">
        <v>5165</v>
      </c>
      <c r="J78" s="172">
        <v>2909</v>
      </c>
      <c r="K78" s="172">
        <v>939</v>
      </c>
      <c r="L78" s="172">
        <f t="shared" si="31"/>
        <v>35725</v>
      </c>
      <c r="M78" s="172">
        <f t="shared" si="31"/>
        <v>21845</v>
      </c>
      <c r="N78" s="172">
        <f t="shared" si="31"/>
        <v>11429</v>
      </c>
      <c r="O78" s="172">
        <f t="shared" si="20"/>
        <v>2451</v>
      </c>
      <c r="P78" s="172">
        <f t="shared" si="32"/>
        <v>35725</v>
      </c>
      <c r="R78" s="173">
        <f t="shared" si="21"/>
        <v>0.74771168649405173</v>
      </c>
      <c r="S78" s="173">
        <f t="shared" si="22"/>
        <v>0.62443845462713388</v>
      </c>
      <c r="T78" s="173">
        <f t="shared" si="23"/>
        <v>0.31895777178796048</v>
      </c>
      <c r="U78" s="173">
        <f t="shared" si="24"/>
        <v>5.6603773584905662E-2</v>
      </c>
      <c r="V78" s="173">
        <f t="shared" si="25"/>
        <v>0.25228831350594821</v>
      </c>
      <c r="W78" s="173">
        <f t="shared" si="26"/>
        <v>0.57306113391767444</v>
      </c>
      <c r="X78" s="173">
        <f t="shared" si="27"/>
        <v>0.32275601908354601</v>
      </c>
      <c r="Y78" s="173">
        <f t="shared" si="28"/>
        <v>0.10418284699877954</v>
      </c>
      <c r="Z78" s="173">
        <f t="shared" si="33"/>
        <v>1</v>
      </c>
      <c r="AA78" s="173">
        <f t="shared" si="34"/>
        <v>0.61147655703289017</v>
      </c>
      <c r="AB78" s="173">
        <f t="shared" si="35"/>
        <v>0.31991602519244228</v>
      </c>
      <c r="AC78" s="173">
        <f t="shared" si="36"/>
        <v>6.8607417774667598E-2</v>
      </c>
      <c r="AE78" s="425">
        <v>723</v>
      </c>
      <c r="AF78" s="169">
        <v>1335</v>
      </c>
      <c r="AG78" s="424">
        <f t="shared" si="40"/>
        <v>2058</v>
      </c>
      <c r="AH78" s="168">
        <f t="shared" si="37"/>
        <v>8.0217463663597027E-2</v>
      </c>
      <c r="AI78" s="168">
        <f t="shared" si="38"/>
        <v>4.9977538185085352E-2</v>
      </c>
      <c r="AJ78" s="426">
        <f t="shared" si="39"/>
        <v>5.7606717984604622E-2</v>
      </c>
    </row>
    <row r="79" spans="1:36" s="166" customFormat="1">
      <c r="A79" s="170" t="s">
        <v>189</v>
      </c>
      <c r="B79" s="532" t="s">
        <v>190</v>
      </c>
      <c r="C79" s="171" t="s">
        <v>276</v>
      </c>
      <c r="D79" s="172">
        <f t="shared" si="29"/>
        <v>275852</v>
      </c>
      <c r="E79" s="172">
        <v>167010</v>
      </c>
      <c r="F79" s="172">
        <v>54493</v>
      </c>
      <c r="G79" s="172">
        <v>54349</v>
      </c>
      <c r="H79" s="172">
        <f t="shared" si="30"/>
        <v>126150</v>
      </c>
      <c r="I79" s="172">
        <v>65391</v>
      </c>
      <c r="J79" s="172">
        <v>26703</v>
      </c>
      <c r="K79" s="172">
        <v>34056</v>
      </c>
      <c r="L79" s="172">
        <f t="shared" si="31"/>
        <v>402002</v>
      </c>
      <c r="M79" s="172">
        <f t="shared" si="31"/>
        <v>232401</v>
      </c>
      <c r="N79" s="172">
        <f t="shared" si="31"/>
        <v>81196</v>
      </c>
      <c r="O79" s="172">
        <f t="shared" si="20"/>
        <v>88405</v>
      </c>
      <c r="P79" s="172">
        <f t="shared" si="32"/>
        <v>402002</v>
      </c>
      <c r="R79" s="173">
        <f t="shared" si="21"/>
        <v>0.68619559106671113</v>
      </c>
      <c r="S79" s="173">
        <f t="shared" si="22"/>
        <v>0.60543334831721363</v>
      </c>
      <c r="T79" s="173">
        <f t="shared" si="23"/>
        <v>0.19754433536824095</v>
      </c>
      <c r="U79" s="173">
        <f t="shared" si="24"/>
        <v>0.19702231631454548</v>
      </c>
      <c r="V79" s="173">
        <f t="shared" si="25"/>
        <v>0.31380440893328887</v>
      </c>
      <c r="W79" s="173">
        <f t="shared" si="26"/>
        <v>0.51835909631391197</v>
      </c>
      <c r="X79" s="173">
        <f t="shared" si="27"/>
        <v>0.21167657550535077</v>
      </c>
      <c r="Y79" s="173">
        <f t="shared" si="28"/>
        <v>0.26996432818073723</v>
      </c>
      <c r="Z79" s="173">
        <f t="shared" si="33"/>
        <v>1</v>
      </c>
      <c r="AA79" s="173">
        <f t="shared" si="34"/>
        <v>0.57810906413400931</v>
      </c>
      <c r="AB79" s="173">
        <f t="shared" si="35"/>
        <v>0.20197909463136998</v>
      </c>
      <c r="AC79" s="173">
        <f t="shared" si="36"/>
        <v>0.21991184123462074</v>
      </c>
      <c r="AE79" s="425">
        <v>31698</v>
      </c>
      <c r="AF79" s="169">
        <v>49762</v>
      </c>
      <c r="AG79" s="424">
        <f t="shared" si="40"/>
        <v>81460</v>
      </c>
      <c r="AH79" s="168">
        <f t="shared" si="37"/>
        <v>0.25127229488703923</v>
      </c>
      <c r="AI79" s="168">
        <f t="shared" si="38"/>
        <v>0.18039383437495468</v>
      </c>
      <c r="AJ79" s="426">
        <f t="shared" si="39"/>
        <v>0.20263580778205084</v>
      </c>
    </row>
    <row r="80" spans="1:36" s="166" customFormat="1">
      <c r="A80" s="170" t="s">
        <v>191</v>
      </c>
      <c r="B80" s="532" t="s">
        <v>192</v>
      </c>
      <c r="C80" s="171" t="s">
        <v>278</v>
      </c>
      <c r="D80" s="172">
        <f t="shared" si="29"/>
        <v>27306</v>
      </c>
      <c r="E80" s="172">
        <v>25504</v>
      </c>
      <c r="F80" s="172">
        <v>1344</v>
      </c>
      <c r="G80" s="172">
        <v>458</v>
      </c>
      <c r="H80" s="172">
        <f t="shared" si="30"/>
        <v>7566</v>
      </c>
      <c r="I80" s="172">
        <v>6746</v>
      </c>
      <c r="J80" s="172">
        <v>413</v>
      </c>
      <c r="K80" s="172">
        <v>407</v>
      </c>
      <c r="L80" s="172">
        <f t="shared" si="31"/>
        <v>34872</v>
      </c>
      <c r="M80" s="172">
        <f t="shared" si="31"/>
        <v>32250</v>
      </c>
      <c r="N80" s="172">
        <f t="shared" si="31"/>
        <v>1757</v>
      </c>
      <c r="O80" s="172">
        <f t="shared" si="20"/>
        <v>865</v>
      </c>
      <c r="P80" s="172">
        <f t="shared" si="32"/>
        <v>34872</v>
      </c>
      <c r="R80" s="173">
        <f t="shared" si="21"/>
        <v>0.78303509979353059</v>
      </c>
      <c r="S80" s="173">
        <f t="shared" si="22"/>
        <v>0.93400717790961696</v>
      </c>
      <c r="T80" s="173">
        <f t="shared" si="23"/>
        <v>4.9219951658976052E-2</v>
      </c>
      <c r="U80" s="173">
        <f t="shared" si="24"/>
        <v>1.6772870431407017E-2</v>
      </c>
      <c r="V80" s="173">
        <f t="shared" si="25"/>
        <v>0.21696490020646939</v>
      </c>
      <c r="W80" s="173">
        <f t="shared" si="26"/>
        <v>0.89162040708432466</v>
      </c>
      <c r="X80" s="173">
        <f t="shared" si="27"/>
        <v>5.4586307163626752E-2</v>
      </c>
      <c r="Y80" s="173">
        <f t="shared" si="28"/>
        <v>5.3793285752048642E-2</v>
      </c>
      <c r="Z80" s="173">
        <f t="shared" si="33"/>
        <v>1</v>
      </c>
      <c r="AA80" s="173">
        <f t="shared" si="34"/>
        <v>0.92481073640743294</v>
      </c>
      <c r="AB80" s="173">
        <f t="shared" si="35"/>
        <v>5.0384262445515027E-2</v>
      </c>
      <c r="AC80" s="173">
        <f t="shared" si="36"/>
        <v>2.4805001147052076E-2</v>
      </c>
      <c r="AE80" s="425">
        <v>177</v>
      </c>
      <c r="AF80" s="169">
        <v>255</v>
      </c>
      <c r="AG80" s="424">
        <f t="shared" si="40"/>
        <v>432</v>
      </c>
      <c r="AH80" s="168">
        <f t="shared" si="37"/>
        <v>2.3394131641554322E-2</v>
      </c>
      <c r="AI80" s="168">
        <f t="shared" si="38"/>
        <v>9.3386068995825085E-3</v>
      </c>
      <c r="AJ80" s="426">
        <f t="shared" si="39"/>
        <v>1.2388162422573986E-2</v>
      </c>
    </row>
    <row r="81" spans="1:36" s="166" customFormat="1">
      <c r="A81" s="170" t="s">
        <v>195</v>
      </c>
      <c r="B81" s="532" t="s">
        <v>196</v>
      </c>
      <c r="C81" s="171" t="s">
        <v>276</v>
      </c>
      <c r="D81" s="172">
        <f t="shared" si="29"/>
        <v>5749</v>
      </c>
      <c r="E81" s="172">
        <v>5360</v>
      </c>
      <c r="F81" s="172">
        <v>264</v>
      </c>
      <c r="G81" s="172">
        <v>125</v>
      </c>
      <c r="H81" s="172">
        <f t="shared" si="30"/>
        <v>1624</v>
      </c>
      <c r="I81" s="172">
        <v>1474</v>
      </c>
      <c r="J81" s="172">
        <v>57</v>
      </c>
      <c r="K81" s="172">
        <v>93</v>
      </c>
      <c r="L81" s="172">
        <f t="shared" si="31"/>
        <v>7373</v>
      </c>
      <c r="M81" s="172">
        <f t="shared" si="31"/>
        <v>6834</v>
      </c>
      <c r="N81" s="172">
        <f t="shared" si="31"/>
        <v>321</v>
      </c>
      <c r="O81" s="172">
        <f t="shared" si="20"/>
        <v>218</v>
      </c>
      <c r="P81" s="172">
        <f t="shared" si="32"/>
        <v>7373</v>
      </c>
      <c r="R81" s="173">
        <f t="shared" si="21"/>
        <v>0.77973687779736878</v>
      </c>
      <c r="S81" s="173">
        <f t="shared" si="22"/>
        <v>0.93233605844494694</v>
      </c>
      <c r="T81" s="173">
        <f t="shared" si="23"/>
        <v>4.5921029744303357E-2</v>
      </c>
      <c r="U81" s="173">
        <f t="shared" si="24"/>
        <v>2.1742911810749697E-2</v>
      </c>
      <c r="V81" s="173">
        <f t="shared" si="25"/>
        <v>0.22026312220263122</v>
      </c>
      <c r="W81" s="173">
        <f t="shared" si="26"/>
        <v>0.9076354679802956</v>
      </c>
      <c r="X81" s="173">
        <f t="shared" si="27"/>
        <v>3.5098522167487683E-2</v>
      </c>
      <c r="Y81" s="173">
        <f t="shared" si="28"/>
        <v>5.7266009852216748E-2</v>
      </c>
      <c r="Z81" s="173">
        <f t="shared" si="33"/>
        <v>1</v>
      </c>
      <c r="AA81" s="173">
        <f t="shared" si="34"/>
        <v>0.9268954292689543</v>
      </c>
      <c r="AB81" s="173">
        <f t="shared" si="35"/>
        <v>4.3537230435372304E-2</v>
      </c>
      <c r="AC81" s="173">
        <f t="shared" si="36"/>
        <v>2.9567340295673403E-2</v>
      </c>
      <c r="AE81" s="425">
        <v>91</v>
      </c>
      <c r="AF81" s="169">
        <v>137</v>
      </c>
      <c r="AG81" s="424">
        <f t="shared" si="40"/>
        <v>228</v>
      </c>
      <c r="AH81" s="168">
        <f t="shared" si="37"/>
        <v>5.6034482758620691E-2</v>
      </c>
      <c r="AI81" s="168">
        <f t="shared" si="38"/>
        <v>2.3830231344581666E-2</v>
      </c>
      <c r="AJ81" s="426">
        <f t="shared" si="39"/>
        <v>3.0923640309236403E-2</v>
      </c>
    </row>
    <row r="82" spans="1:36" s="166" customFormat="1">
      <c r="A82" s="170" t="s">
        <v>199</v>
      </c>
      <c r="B82" s="532" t="s">
        <v>200</v>
      </c>
      <c r="C82" s="171" t="s">
        <v>275</v>
      </c>
      <c r="D82" s="172">
        <f t="shared" si="29"/>
        <v>7463</v>
      </c>
      <c r="E82" s="172">
        <v>4879</v>
      </c>
      <c r="F82" s="172">
        <v>2347</v>
      </c>
      <c r="G82" s="172">
        <v>237</v>
      </c>
      <c r="H82" s="172">
        <f t="shared" si="30"/>
        <v>1791</v>
      </c>
      <c r="I82" s="172">
        <v>1122</v>
      </c>
      <c r="J82" s="172">
        <v>457</v>
      </c>
      <c r="K82" s="172">
        <v>212</v>
      </c>
      <c r="L82" s="172">
        <f t="shared" si="31"/>
        <v>9254</v>
      </c>
      <c r="M82" s="172">
        <f t="shared" si="31"/>
        <v>6001</v>
      </c>
      <c r="N82" s="172">
        <f t="shared" si="31"/>
        <v>2804</v>
      </c>
      <c r="O82" s="172">
        <f t="shared" si="20"/>
        <v>449</v>
      </c>
      <c r="P82" s="172">
        <f t="shared" si="32"/>
        <v>9254</v>
      </c>
      <c r="R82" s="173">
        <f t="shared" si="21"/>
        <v>0.80646207045601903</v>
      </c>
      <c r="S82" s="173">
        <f t="shared" si="22"/>
        <v>0.65375854214123008</v>
      </c>
      <c r="T82" s="173">
        <f t="shared" si="23"/>
        <v>0.31448479163875115</v>
      </c>
      <c r="U82" s="173">
        <f t="shared" si="24"/>
        <v>3.1756666220018756E-2</v>
      </c>
      <c r="V82" s="173">
        <f t="shared" si="25"/>
        <v>0.19353792954398097</v>
      </c>
      <c r="W82" s="173">
        <f t="shared" si="26"/>
        <v>0.62646566164154105</v>
      </c>
      <c r="X82" s="173">
        <f t="shared" si="27"/>
        <v>0.25516471245114464</v>
      </c>
      <c r="Y82" s="173">
        <f t="shared" si="28"/>
        <v>0.11836962590731435</v>
      </c>
      <c r="Z82" s="173">
        <f t="shared" si="33"/>
        <v>1</v>
      </c>
      <c r="AA82" s="173">
        <f t="shared" si="34"/>
        <v>0.648476334558029</v>
      </c>
      <c r="AB82" s="173">
        <f t="shared" si="35"/>
        <v>0.30300410633239683</v>
      </c>
      <c r="AC82" s="173">
        <f t="shared" si="36"/>
        <v>4.8519559109574235E-2</v>
      </c>
      <c r="AE82" s="425">
        <v>180</v>
      </c>
      <c r="AF82" s="169">
        <v>330</v>
      </c>
      <c r="AG82" s="424">
        <f t="shared" si="40"/>
        <v>510</v>
      </c>
      <c r="AH82" s="168">
        <f t="shared" si="37"/>
        <v>0.10050251256281408</v>
      </c>
      <c r="AI82" s="168">
        <f t="shared" si="38"/>
        <v>4.4218142838000803E-2</v>
      </c>
      <c r="AJ82" s="426">
        <f t="shared" si="39"/>
        <v>5.5111303220229092E-2</v>
      </c>
    </row>
    <row r="83" spans="1:36" s="166" customFormat="1">
      <c r="A83" s="170" t="s">
        <v>203</v>
      </c>
      <c r="B83" s="532" t="s">
        <v>204</v>
      </c>
      <c r="C83" s="171" t="s">
        <v>273</v>
      </c>
      <c r="D83" s="172">
        <f t="shared" si="29"/>
        <v>88737</v>
      </c>
      <c r="E83" s="172">
        <v>80837</v>
      </c>
      <c r="F83" s="172">
        <v>4495</v>
      </c>
      <c r="G83" s="172">
        <v>3405</v>
      </c>
      <c r="H83" s="172">
        <f t="shared" si="30"/>
        <v>28441</v>
      </c>
      <c r="I83" s="172">
        <v>24175</v>
      </c>
      <c r="J83" s="172">
        <v>1911</v>
      </c>
      <c r="K83" s="172">
        <v>2355</v>
      </c>
      <c r="L83" s="172">
        <f t="shared" si="31"/>
        <v>117178</v>
      </c>
      <c r="M83" s="172">
        <f t="shared" si="31"/>
        <v>105012</v>
      </c>
      <c r="N83" s="172">
        <f t="shared" si="31"/>
        <v>6406</v>
      </c>
      <c r="O83" s="172">
        <f t="shared" si="20"/>
        <v>5760</v>
      </c>
      <c r="P83" s="172">
        <f t="shared" si="32"/>
        <v>117178</v>
      </c>
      <c r="R83" s="173">
        <f t="shared" si="21"/>
        <v>0.75728379047261429</v>
      </c>
      <c r="S83" s="173">
        <f t="shared" si="22"/>
        <v>0.91097287489998535</v>
      </c>
      <c r="T83" s="173">
        <f t="shared" si="23"/>
        <v>5.0655307256274158E-2</v>
      </c>
      <c r="U83" s="173">
        <f t="shared" si="24"/>
        <v>3.837181784374049E-2</v>
      </c>
      <c r="V83" s="173">
        <f t="shared" si="25"/>
        <v>0.24271620952738568</v>
      </c>
      <c r="W83" s="173">
        <f t="shared" si="26"/>
        <v>0.85000527407615767</v>
      </c>
      <c r="X83" s="173">
        <f t="shared" si="27"/>
        <v>6.7191730248584783E-2</v>
      </c>
      <c r="Y83" s="173">
        <f t="shared" si="28"/>
        <v>8.2802995675257549E-2</v>
      </c>
      <c r="Z83" s="173">
        <f t="shared" si="33"/>
        <v>1</v>
      </c>
      <c r="AA83" s="173">
        <f t="shared" si="34"/>
        <v>0.89617504992404717</v>
      </c>
      <c r="AB83" s="173">
        <f t="shared" si="35"/>
        <v>5.4668965164109302E-2</v>
      </c>
      <c r="AC83" s="173">
        <f t="shared" si="36"/>
        <v>4.9155984911843517E-2</v>
      </c>
      <c r="AE83" s="425">
        <v>1031</v>
      </c>
      <c r="AF83" s="169">
        <v>1521</v>
      </c>
      <c r="AG83" s="424">
        <f t="shared" si="40"/>
        <v>2552</v>
      </c>
      <c r="AH83" s="168">
        <f t="shared" si="37"/>
        <v>3.625048345698112E-2</v>
      </c>
      <c r="AI83" s="168">
        <f t="shared" si="38"/>
        <v>1.7140538895838265E-2</v>
      </c>
      <c r="AJ83" s="426">
        <f t="shared" si="39"/>
        <v>2.1778832203997338E-2</v>
      </c>
    </row>
    <row r="84" spans="1:36" s="166" customFormat="1">
      <c r="A84" s="170" t="s">
        <v>205</v>
      </c>
      <c r="B84" s="532" t="s">
        <v>206</v>
      </c>
      <c r="C84" s="171" t="s">
        <v>273</v>
      </c>
      <c r="D84" s="172">
        <f t="shared" si="29"/>
        <v>27649</v>
      </c>
      <c r="E84" s="172">
        <v>25649</v>
      </c>
      <c r="F84" s="172">
        <v>1204</v>
      </c>
      <c r="G84" s="172">
        <v>796</v>
      </c>
      <c r="H84" s="172">
        <f t="shared" si="30"/>
        <v>8350</v>
      </c>
      <c r="I84" s="172">
        <v>7501</v>
      </c>
      <c r="J84" s="172">
        <v>417</v>
      </c>
      <c r="K84" s="172">
        <v>432</v>
      </c>
      <c r="L84" s="172">
        <f t="shared" si="31"/>
        <v>35999</v>
      </c>
      <c r="M84" s="172">
        <f t="shared" si="31"/>
        <v>33150</v>
      </c>
      <c r="N84" s="172">
        <f t="shared" si="31"/>
        <v>1621</v>
      </c>
      <c r="O84" s="172">
        <f t="shared" si="20"/>
        <v>1228</v>
      </c>
      <c r="P84" s="172">
        <f t="shared" si="32"/>
        <v>35999</v>
      </c>
      <c r="R84" s="173">
        <f t="shared" si="21"/>
        <v>0.76804911247534657</v>
      </c>
      <c r="S84" s="173">
        <f t="shared" si="22"/>
        <v>0.92766465333285109</v>
      </c>
      <c r="T84" s="173">
        <f t="shared" si="23"/>
        <v>4.3545878693623641E-2</v>
      </c>
      <c r="U84" s="173">
        <f t="shared" si="24"/>
        <v>2.8789467973525263E-2</v>
      </c>
      <c r="V84" s="173">
        <f t="shared" si="25"/>
        <v>0.23195088752465345</v>
      </c>
      <c r="W84" s="173">
        <f t="shared" si="26"/>
        <v>0.89832335329341317</v>
      </c>
      <c r="X84" s="173">
        <f t="shared" si="27"/>
        <v>4.9940119760479039E-2</v>
      </c>
      <c r="Y84" s="173">
        <f t="shared" si="28"/>
        <v>5.1736526946107787E-2</v>
      </c>
      <c r="Z84" s="173">
        <f t="shared" si="33"/>
        <v>1</v>
      </c>
      <c r="AA84" s="173">
        <f t="shared" si="34"/>
        <v>0.92085891274757636</v>
      </c>
      <c r="AB84" s="173">
        <f t="shared" si="35"/>
        <v>4.5029028584127335E-2</v>
      </c>
      <c r="AC84" s="173">
        <f t="shared" si="36"/>
        <v>3.4112058668296343E-2</v>
      </c>
      <c r="AE84" s="425">
        <v>246</v>
      </c>
      <c r="AF84" s="169">
        <v>424</v>
      </c>
      <c r="AG84" s="424">
        <f t="shared" si="40"/>
        <v>670</v>
      </c>
      <c r="AH84" s="168">
        <f t="shared" si="37"/>
        <v>2.9461077844311376E-2</v>
      </c>
      <c r="AI84" s="168">
        <f t="shared" si="38"/>
        <v>1.5335093493435568E-2</v>
      </c>
      <c r="AJ84" s="426">
        <f t="shared" si="39"/>
        <v>1.8611628100780576E-2</v>
      </c>
    </row>
    <row r="85" spans="1:36" s="166" customFormat="1">
      <c r="A85" s="170" t="s">
        <v>207</v>
      </c>
      <c r="B85" s="532" t="s">
        <v>208</v>
      </c>
      <c r="C85" s="171" t="s">
        <v>276</v>
      </c>
      <c r="D85" s="172">
        <f t="shared" si="29"/>
        <v>90850</v>
      </c>
      <c r="E85" s="172">
        <v>81269</v>
      </c>
      <c r="F85" s="172">
        <v>2958</v>
      </c>
      <c r="G85" s="172">
        <v>6623</v>
      </c>
      <c r="H85" s="172">
        <f t="shared" si="30"/>
        <v>34378</v>
      </c>
      <c r="I85" s="172">
        <v>28284</v>
      </c>
      <c r="J85" s="172">
        <v>1427</v>
      </c>
      <c r="K85" s="172">
        <v>4667</v>
      </c>
      <c r="L85" s="172">
        <f t="shared" si="31"/>
        <v>125228</v>
      </c>
      <c r="M85" s="172">
        <f t="shared" si="31"/>
        <v>109553</v>
      </c>
      <c r="N85" s="172">
        <f t="shared" si="31"/>
        <v>4385</v>
      </c>
      <c r="O85" s="172">
        <f t="shared" si="20"/>
        <v>11290</v>
      </c>
      <c r="P85" s="172">
        <f t="shared" si="32"/>
        <v>125228</v>
      </c>
      <c r="R85" s="173">
        <f t="shared" si="21"/>
        <v>0.72547673044367078</v>
      </c>
      <c r="S85" s="173">
        <f t="shared" si="22"/>
        <v>0.8945404512933407</v>
      </c>
      <c r="T85" s="173">
        <f t="shared" si="23"/>
        <v>3.2559163456246563E-2</v>
      </c>
      <c r="U85" s="173">
        <f t="shared" si="24"/>
        <v>7.2900385250412772E-2</v>
      </c>
      <c r="V85" s="173">
        <f t="shared" si="25"/>
        <v>0.27452326955632927</v>
      </c>
      <c r="W85" s="173">
        <f t="shared" si="26"/>
        <v>0.82273547035895045</v>
      </c>
      <c r="X85" s="173">
        <f t="shared" si="27"/>
        <v>4.1509104659956948E-2</v>
      </c>
      <c r="Y85" s="173">
        <f t="shared" si="28"/>
        <v>0.13575542498109255</v>
      </c>
      <c r="Z85" s="173">
        <f t="shared" si="33"/>
        <v>1</v>
      </c>
      <c r="AA85" s="173">
        <f t="shared" si="34"/>
        <v>0.87482831315680198</v>
      </c>
      <c r="AB85" s="173">
        <f t="shared" si="35"/>
        <v>3.5016130577826043E-2</v>
      </c>
      <c r="AC85" s="173">
        <f t="shared" si="36"/>
        <v>9.0155556265371958E-2</v>
      </c>
      <c r="AE85" s="425">
        <v>4871</v>
      </c>
      <c r="AF85" s="169">
        <v>6870</v>
      </c>
      <c r="AG85" s="424">
        <f t="shared" si="40"/>
        <v>11741</v>
      </c>
      <c r="AH85" s="168">
        <f t="shared" si="37"/>
        <v>0.14168945255686777</v>
      </c>
      <c r="AI85" s="168">
        <f t="shared" si="38"/>
        <v>7.5619152449091911E-2</v>
      </c>
      <c r="AJ85" s="426">
        <f t="shared" si="39"/>
        <v>9.3756987255246435E-2</v>
      </c>
    </row>
    <row r="86" spans="1:36" s="166" customFormat="1">
      <c r="A86" s="170" t="s">
        <v>209</v>
      </c>
      <c r="B86" s="532" t="s">
        <v>210</v>
      </c>
      <c r="C86" s="171" t="s">
        <v>278</v>
      </c>
      <c r="D86" s="172">
        <f t="shared" si="29"/>
        <v>22328</v>
      </c>
      <c r="E86" s="172">
        <v>21877</v>
      </c>
      <c r="F86" s="172">
        <v>186</v>
      </c>
      <c r="G86" s="172">
        <v>265</v>
      </c>
      <c r="H86" s="172">
        <f t="shared" si="30"/>
        <v>6569</v>
      </c>
      <c r="I86" s="172">
        <v>6393</v>
      </c>
      <c r="J86" s="172">
        <v>47</v>
      </c>
      <c r="K86" s="172">
        <v>129</v>
      </c>
      <c r="L86" s="172">
        <f t="shared" si="31"/>
        <v>28897</v>
      </c>
      <c r="M86" s="172">
        <f t="shared" si="31"/>
        <v>28270</v>
      </c>
      <c r="N86" s="172">
        <f t="shared" si="31"/>
        <v>233</v>
      </c>
      <c r="O86" s="172">
        <f t="shared" si="20"/>
        <v>394</v>
      </c>
      <c r="P86" s="172">
        <f t="shared" si="32"/>
        <v>28897</v>
      </c>
      <c r="R86" s="173">
        <f t="shared" si="21"/>
        <v>0.77267536422465999</v>
      </c>
      <c r="S86" s="173">
        <f t="shared" si="22"/>
        <v>0.97980114654245787</v>
      </c>
      <c r="T86" s="173">
        <f t="shared" si="23"/>
        <v>8.3303475456825513E-3</v>
      </c>
      <c r="U86" s="173">
        <f t="shared" si="24"/>
        <v>1.1868505911859549E-2</v>
      </c>
      <c r="V86" s="173">
        <f t="shared" si="25"/>
        <v>0.22732463577534001</v>
      </c>
      <c r="W86" s="173">
        <f t="shared" si="26"/>
        <v>0.97320748972446336</v>
      </c>
      <c r="X86" s="173">
        <f t="shared" si="27"/>
        <v>7.1548180849444363E-3</v>
      </c>
      <c r="Y86" s="173">
        <f t="shared" si="28"/>
        <v>1.9637692190592176E-2</v>
      </c>
      <c r="Z86" s="173">
        <f t="shared" si="33"/>
        <v>1</v>
      </c>
      <c r="AA86" s="173">
        <f t="shared" si="34"/>
        <v>0.97830224590787973</v>
      </c>
      <c r="AB86" s="173">
        <f t="shared" si="35"/>
        <v>8.0631207391770772E-3</v>
      </c>
      <c r="AC86" s="173">
        <f t="shared" si="36"/>
        <v>1.3634633352943211E-2</v>
      </c>
      <c r="AE86" s="425">
        <v>116</v>
      </c>
      <c r="AF86" s="169">
        <v>159</v>
      </c>
      <c r="AG86" s="424">
        <f t="shared" si="40"/>
        <v>275</v>
      </c>
      <c r="AH86" s="168">
        <f t="shared" si="37"/>
        <v>1.7658699954330948E-2</v>
      </c>
      <c r="AI86" s="168">
        <f t="shared" si="38"/>
        <v>7.1211035471157287E-3</v>
      </c>
      <c r="AJ86" s="426">
        <f t="shared" si="39"/>
        <v>9.5165588123334605E-3</v>
      </c>
    </row>
    <row r="87" spans="1:36" s="166" customFormat="1">
      <c r="A87" s="170" t="s">
        <v>211</v>
      </c>
      <c r="B87" s="532" t="s">
        <v>212</v>
      </c>
      <c r="C87" s="171" t="s">
        <v>278</v>
      </c>
      <c r="D87" s="172">
        <f t="shared" si="29"/>
        <v>18209</v>
      </c>
      <c r="E87" s="172">
        <v>17896</v>
      </c>
      <c r="F87" s="172">
        <v>100</v>
      </c>
      <c r="G87" s="172">
        <v>213</v>
      </c>
      <c r="H87" s="172">
        <f t="shared" si="30"/>
        <v>4968</v>
      </c>
      <c r="I87" s="172">
        <v>4804</v>
      </c>
      <c r="J87" s="172">
        <v>35</v>
      </c>
      <c r="K87" s="172">
        <v>129</v>
      </c>
      <c r="L87" s="172">
        <f t="shared" si="31"/>
        <v>23177</v>
      </c>
      <c r="M87" s="172">
        <f t="shared" si="31"/>
        <v>22700</v>
      </c>
      <c r="N87" s="172">
        <f t="shared" si="31"/>
        <v>135</v>
      </c>
      <c r="O87" s="172">
        <f t="shared" si="20"/>
        <v>342</v>
      </c>
      <c r="P87" s="172">
        <f t="shared" si="32"/>
        <v>23177</v>
      </c>
      <c r="R87" s="173">
        <f t="shared" si="21"/>
        <v>0.78564956638046335</v>
      </c>
      <c r="S87" s="173">
        <f t="shared" si="22"/>
        <v>0.98281069800648035</v>
      </c>
      <c r="T87" s="173">
        <f t="shared" si="23"/>
        <v>5.4917897742874401E-3</v>
      </c>
      <c r="U87" s="173">
        <f t="shared" si="24"/>
        <v>1.1697512219232247E-2</v>
      </c>
      <c r="V87" s="173">
        <f t="shared" si="25"/>
        <v>0.21435043361953662</v>
      </c>
      <c r="W87" s="173">
        <f t="shared" si="26"/>
        <v>0.96698872785829304</v>
      </c>
      <c r="X87" s="173">
        <f t="shared" si="27"/>
        <v>7.0450885668276973E-3</v>
      </c>
      <c r="Y87" s="173">
        <f t="shared" si="28"/>
        <v>2.5966183574879228E-2</v>
      </c>
      <c r="Z87" s="173">
        <f t="shared" si="33"/>
        <v>1</v>
      </c>
      <c r="AA87" s="173">
        <f t="shared" si="34"/>
        <v>0.97941925184450096</v>
      </c>
      <c r="AB87" s="173">
        <f t="shared" si="35"/>
        <v>5.8247400440091471E-3</v>
      </c>
      <c r="AC87" s="173">
        <f t="shared" si="36"/>
        <v>1.4756008111489839E-2</v>
      </c>
      <c r="AE87" s="425">
        <v>108</v>
      </c>
      <c r="AF87" s="169">
        <v>126</v>
      </c>
      <c r="AG87" s="424">
        <f t="shared" si="40"/>
        <v>234</v>
      </c>
      <c r="AH87" s="168">
        <f t="shared" si="37"/>
        <v>2.1739130434782608E-2</v>
      </c>
      <c r="AI87" s="168">
        <f t="shared" si="38"/>
        <v>6.9196551156021748E-3</v>
      </c>
      <c r="AJ87" s="426">
        <f t="shared" si="39"/>
        <v>1.0096216076282522E-2</v>
      </c>
    </row>
    <row r="88" spans="1:36" s="166" customFormat="1">
      <c r="A88" s="170" t="s">
        <v>213</v>
      </c>
      <c r="B88" s="532" t="s">
        <v>214</v>
      </c>
      <c r="C88" s="171" t="s">
        <v>276</v>
      </c>
      <c r="D88" s="172">
        <f t="shared" si="29"/>
        <v>31794</v>
      </c>
      <c r="E88" s="172">
        <v>30035</v>
      </c>
      <c r="F88" s="172">
        <v>519</v>
      </c>
      <c r="G88" s="172">
        <v>1240</v>
      </c>
      <c r="H88" s="172">
        <f t="shared" si="30"/>
        <v>10199</v>
      </c>
      <c r="I88" s="172">
        <v>9035</v>
      </c>
      <c r="J88" s="172">
        <v>215</v>
      </c>
      <c r="K88" s="172">
        <v>949</v>
      </c>
      <c r="L88" s="172">
        <f t="shared" si="31"/>
        <v>41993</v>
      </c>
      <c r="M88" s="172">
        <f t="shared" si="31"/>
        <v>39070</v>
      </c>
      <c r="N88" s="172">
        <f t="shared" si="31"/>
        <v>734</v>
      </c>
      <c r="O88" s="172">
        <f t="shared" si="20"/>
        <v>2189</v>
      </c>
      <c r="P88" s="172">
        <f t="shared" si="32"/>
        <v>41993</v>
      </c>
      <c r="R88" s="173">
        <f t="shared" si="21"/>
        <v>0.7571261876979497</v>
      </c>
      <c r="S88" s="173">
        <f t="shared" si="22"/>
        <v>0.94467509593004972</v>
      </c>
      <c r="T88" s="173">
        <f t="shared" si="23"/>
        <v>1.6323834685789771E-2</v>
      </c>
      <c r="U88" s="173">
        <f t="shared" si="24"/>
        <v>3.9001069384160536E-2</v>
      </c>
      <c r="V88" s="173">
        <f t="shared" si="25"/>
        <v>0.24287381230205035</v>
      </c>
      <c r="W88" s="173">
        <f t="shared" si="26"/>
        <v>0.88587116383959208</v>
      </c>
      <c r="X88" s="173">
        <f t="shared" si="27"/>
        <v>2.1080498088047846E-2</v>
      </c>
      <c r="Y88" s="173">
        <f t="shared" si="28"/>
        <v>9.3048338072360029E-2</v>
      </c>
      <c r="Z88" s="173">
        <f t="shared" si="33"/>
        <v>1</v>
      </c>
      <c r="AA88" s="173">
        <f t="shared" si="34"/>
        <v>0.93039316076488943</v>
      </c>
      <c r="AB88" s="173">
        <f t="shared" si="35"/>
        <v>1.7479103660133832E-2</v>
      </c>
      <c r="AC88" s="173">
        <f t="shared" si="36"/>
        <v>5.2127735574976783E-2</v>
      </c>
      <c r="AE88" s="425">
        <v>1123</v>
      </c>
      <c r="AF88" s="169">
        <v>1454</v>
      </c>
      <c r="AG88" s="424">
        <f t="shared" si="40"/>
        <v>2577</v>
      </c>
      <c r="AH88" s="168">
        <f t="shared" si="37"/>
        <v>0.11010883419943132</v>
      </c>
      <c r="AI88" s="168">
        <f t="shared" si="38"/>
        <v>4.5731899100459203E-2</v>
      </c>
      <c r="AJ88" s="426">
        <f t="shared" si="39"/>
        <v>6.1367370752268238E-2</v>
      </c>
    </row>
    <row r="89" spans="1:36" s="166" customFormat="1">
      <c r="A89" s="170" t="s">
        <v>215</v>
      </c>
      <c r="B89" s="532" t="s">
        <v>216</v>
      </c>
      <c r="C89" s="171" t="s">
        <v>278</v>
      </c>
      <c r="D89" s="172">
        <f t="shared" si="29"/>
        <v>24664</v>
      </c>
      <c r="E89" s="172">
        <v>23793</v>
      </c>
      <c r="F89" s="172">
        <v>469</v>
      </c>
      <c r="G89" s="172">
        <v>402</v>
      </c>
      <c r="H89" s="172">
        <f t="shared" si="30"/>
        <v>7544</v>
      </c>
      <c r="I89" s="172">
        <v>7054</v>
      </c>
      <c r="J89" s="172">
        <v>171</v>
      </c>
      <c r="K89" s="172">
        <v>319</v>
      </c>
      <c r="L89" s="172">
        <f t="shared" si="31"/>
        <v>32208</v>
      </c>
      <c r="M89" s="172">
        <f t="shared" si="31"/>
        <v>30847</v>
      </c>
      <c r="N89" s="172">
        <f t="shared" si="31"/>
        <v>640</v>
      </c>
      <c r="O89" s="172">
        <f t="shared" si="20"/>
        <v>721</v>
      </c>
      <c r="P89" s="172">
        <f t="shared" si="32"/>
        <v>32208</v>
      </c>
      <c r="R89" s="173">
        <f t="shared" si="21"/>
        <v>0.76577247888723299</v>
      </c>
      <c r="S89" s="173">
        <f t="shared" si="22"/>
        <v>0.96468537139150179</v>
      </c>
      <c r="T89" s="173">
        <f t="shared" si="23"/>
        <v>1.9015569250729808E-2</v>
      </c>
      <c r="U89" s="173">
        <f t="shared" si="24"/>
        <v>1.6299059357768406E-2</v>
      </c>
      <c r="V89" s="173">
        <f t="shared" si="25"/>
        <v>0.23422752111276701</v>
      </c>
      <c r="W89" s="173">
        <f t="shared" si="26"/>
        <v>0.93504772004241776</v>
      </c>
      <c r="X89" s="173">
        <f t="shared" si="27"/>
        <v>2.2667020148462353E-2</v>
      </c>
      <c r="Y89" s="173">
        <f t="shared" si="28"/>
        <v>4.2285259809119832E-2</v>
      </c>
      <c r="Z89" s="173">
        <f t="shared" si="33"/>
        <v>1</v>
      </c>
      <c r="AA89" s="173">
        <f t="shared" si="34"/>
        <v>0.95774341778440142</v>
      </c>
      <c r="AB89" s="173">
        <f t="shared" si="35"/>
        <v>1.987083954297069E-2</v>
      </c>
      <c r="AC89" s="173">
        <f t="shared" si="36"/>
        <v>2.2385742672627919E-2</v>
      </c>
      <c r="AE89" s="425">
        <v>226</v>
      </c>
      <c r="AF89" s="169">
        <v>301</v>
      </c>
      <c r="AG89" s="424">
        <f t="shared" si="40"/>
        <v>527</v>
      </c>
      <c r="AH89" s="168">
        <f t="shared" si="37"/>
        <v>2.9957582184517498E-2</v>
      </c>
      <c r="AI89" s="168">
        <f t="shared" si="38"/>
        <v>1.2204022056438535E-2</v>
      </c>
      <c r="AJ89" s="426">
        <f t="shared" si="39"/>
        <v>1.6362394436164929E-2</v>
      </c>
    </row>
    <row r="90" spans="1:36" s="166" customFormat="1">
      <c r="A90" s="170" t="s">
        <v>217</v>
      </c>
      <c r="B90" s="532" t="s">
        <v>218</v>
      </c>
      <c r="C90" s="171" t="s">
        <v>272</v>
      </c>
      <c r="D90" s="172">
        <f t="shared" si="29"/>
        <v>14227</v>
      </c>
      <c r="E90" s="172">
        <v>8642</v>
      </c>
      <c r="F90" s="172">
        <v>5364</v>
      </c>
      <c r="G90" s="172">
        <v>221</v>
      </c>
      <c r="H90" s="172">
        <f t="shared" si="30"/>
        <v>4343</v>
      </c>
      <c r="I90" s="172">
        <v>2573</v>
      </c>
      <c r="J90" s="172">
        <v>1552</v>
      </c>
      <c r="K90" s="172">
        <v>218</v>
      </c>
      <c r="L90" s="172">
        <f t="shared" si="31"/>
        <v>18570</v>
      </c>
      <c r="M90" s="172">
        <f t="shared" si="31"/>
        <v>11215</v>
      </c>
      <c r="N90" s="172">
        <f t="shared" si="31"/>
        <v>6916</v>
      </c>
      <c r="O90" s="172">
        <f t="shared" si="20"/>
        <v>439</v>
      </c>
      <c r="P90" s="172">
        <f t="shared" si="32"/>
        <v>18570</v>
      </c>
      <c r="R90" s="173">
        <f t="shared" si="21"/>
        <v>0.76612816370490033</v>
      </c>
      <c r="S90" s="173">
        <f t="shared" si="22"/>
        <v>0.60743656427918746</v>
      </c>
      <c r="T90" s="173">
        <f t="shared" si="23"/>
        <v>0.37702959162156463</v>
      </c>
      <c r="U90" s="173">
        <f t="shared" si="24"/>
        <v>1.5533844099247908E-2</v>
      </c>
      <c r="V90" s="173">
        <f t="shared" si="25"/>
        <v>0.23387183629509961</v>
      </c>
      <c r="W90" s="173">
        <f t="shared" si="26"/>
        <v>0.5924476168547087</v>
      </c>
      <c r="X90" s="173">
        <f t="shared" si="27"/>
        <v>0.35735666589914805</v>
      </c>
      <c r="Y90" s="173">
        <f t="shared" si="28"/>
        <v>5.0195717246143218E-2</v>
      </c>
      <c r="Z90" s="173">
        <f t="shared" si="33"/>
        <v>1</v>
      </c>
      <c r="AA90" s="173">
        <f t="shared" si="34"/>
        <v>0.60393107162089388</v>
      </c>
      <c r="AB90" s="173">
        <f t="shared" si="35"/>
        <v>0.37242864835756595</v>
      </c>
      <c r="AC90" s="173">
        <f t="shared" si="36"/>
        <v>2.364028002154012E-2</v>
      </c>
      <c r="AE90" s="425">
        <v>95</v>
      </c>
      <c r="AF90" s="169">
        <v>108</v>
      </c>
      <c r="AG90" s="424">
        <f t="shared" si="40"/>
        <v>203</v>
      </c>
      <c r="AH90" s="168">
        <f t="shared" si="37"/>
        <v>2.1874280451300944E-2</v>
      </c>
      <c r="AI90" s="168">
        <f t="shared" si="38"/>
        <v>7.5911998313066701E-3</v>
      </c>
      <c r="AJ90" s="426">
        <f t="shared" si="39"/>
        <v>1.0931610123855681E-2</v>
      </c>
    </row>
    <row r="91" spans="1:36" s="166" customFormat="1">
      <c r="A91" s="170" t="s">
        <v>219</v>
      </c>
      <c r="B91" s="532" t="s">
        <v>220</v>
      </c>
      <c r="C91" s="171" t="s">
        <v>276</v>
      </c>
      <c r="D91" s="172">
        <f t="shared" si="29"/>
        <v>85097</v>
      </c>
      <c r="E91" s="172">
        <v>66300</v>
      </c>
      <c r="F91" s="172">
        <v>12547</v>
      </c>
      <c r="G91" s="172">
        <v>6250</v>
      </c>
      <c r="H91" s="172">
        <f t="shared" si="30"/>
        <v>37300</v>
      </c>
      <c r="I91" s="172">
        <v>26152</v>
      </c>
      <c r="J91" s="172">
        <v>6124</v>
      </c>
      <c r="K91" s="172">
        <v>5024</v>
      </c>
      <c r="L91" s="172">
        <f t="shared" si="31"/>
        <v>122397</v>
      </c>
      <c r="M91" s="172">
        <f t="shared" si="31"/>
        <v>92452</v>
      </c>
      <c r="N91" s="172">
        <f t="shared" si="31"/>
        <v>18671</v>
      </c>
      <c r="O91" s="172">
        <f t="shared" si="20"/>
        <v>11274</v>
      </c>
      <c r="P91" s="172">
        <f t="shared" si="32"/>
        <v>122397</v>
      </c>
      <c r="R91" s="173">
        <f t="shared" si="21"/>
        <v>0.69525396864302225</v>
      </c>
      <c r="S91" s="173">
        <f t="shared" si="22"/>
        <v>0.77911089697639169</v>
      </c>
      <c r="T91" s="173">
        <f t="shared" si="23"/>
        <v>0.14744350564649752</v>
      </c>
      <c r="U91" s="173">
        <f t="shared" si="24"/>
        <v>7.344559737711083E-2</v>
      </c>
      <c r="V91" s="173">
        <f t="shared" si="25"/>
        <v>0.3047460313569777</v>
      </c>
      <c r="W91" s="173">
        <f t="shared" si="26"/>
        <v>0.70112600536193026</v>
      </c>
      <c r="X91" s="173">
        <f t="shared" si="27"/>
        <v>0.16418230563002681</v>
      </c>
      <c r="Y91" s="173">
        <f t="shared" si="28"/>
        <v>0.1346916890080429</v>
      </c>
      <c r="Z91" s="173">
        <f t="shared" si="33"/>
        <v>1</v>
      </c>
      <c r="AA91" s="173">
        <f t="shared" si="34"/>
        <v>0.75534531075108047</v>
      </c>
      <c r="AB91" s="173">
        <f t="shared" si="35"/>
        <v>0.15254458851115632</v>
      </c>
      <c r="AC91" s="173">
        <f t="shared" si="36"/>
        <v>9.2110100737763184E-2</v>
      </c>
      <c r="AE91" s="425">
        <v>3810</v>
      </c>
      <c r="AF91" s="169">
        <v>5468</v>
      </c>
      <c r="AG91" s="424">
        <f t="shared" si="40"/>
        <v>9278</v>
      </c>
      <c r="AH91" s="168">
        <f t="shared" si="37"/>
        <v>0.10214477211796247</v>
      </c>
      <c r="AI91" s="168">
        <f t="shared" si="38"/>
        <v>6.4256084233286714E-2</v>
      </c>
      <c r="AJ91" s="426">
        <f t="shared" si="39"/>
        <v>7.5802511499464861E-2</v>
      </c>
    </row>
    <row r="92" spans="1:36" s="166" customFormat="1">
      <c r="A92" s="170" t="s">
        <v>221</v>
      </c>
      <c r="B92" s="532" t="s">
        <v>222</v>
      </c>
      <c r="C92" s="171" t="s">
        <v>276</v>
      </c>
      <c r="D92" s="172">
        <f t="shared" si="29"/>
        <v>88329</v>
      </c>
      <c r="E92" s="172">
        <v>66374</v>
      </c>
      <c r="F92" s="172">
        <v>14403</v>
      </c>
      <c r="G92" s="172">
        <v>7552</v>
      </c>
      <c r="H92" s="172">
        <f t="shared" si="30"/>
        <v>40632</v>
      </c>
      <c r="I92" s="172">
        <v>27109</v>
      </c>
      <c r="J92" s="172">
        <v>7478</v>
      </c>
      <c r="K92" s="172">
        <v>6045</v>
      </c>
      <c r="L92" s="172">
        <f t="shared" si="31"/>
        <v>128961</v>
      </c>
      <c r="M92" s="172">
        <f t="shared" si="31"/>
        <v>93483</v>
      </c>
      <c r="N92" s="172">
        <f t="shared" si="31"/>
        <v>21881</v>
      </c>
      <c r="O92" s="172">
        <f t="shared" si="20"/>
        <v>13597</v>
      </c>
      <c r="P92" s="172">
        <f t="shared" si="32"/>
        <v>128961</v>
      </c>
      <c r="R92" s="173">
        <f t="shared" si="21"/>
        <v>0.68492800148882216</v>
      </c>
      <c r="S92" s="173">
        <f t="shared" si="22"/>
        <v>0.75144063671048011</v>
      </c>
      <c r="T92" s="173">
        <f t="shared" si="23"/>
        <v>0.16306082939917807</v>
      </c>
      <c r="U92" s="173">
        <f t="shared" si="24"/>
        <v>8.5498533890341788E-2</v>
      </c>
      <c r="V92" s="173">
        <f t="shared" si="25"/>
        <v>0.31507199851117779</v>
      </c>
      <c r="W92" s="173">
        <f t="shared" si="26"/>
        <v>0.66718350068911203</v>
      </c>
      <c r="X92" s="173">
        <f t="shared" si="27"/>
        <v>0.18404213427840127</v>
      </c>
      <c r="Y92" s="173">
        <f t="shared" si="28"/>
        <v>0.1487743650324867</v>
      </c>
      <c r="Z92" s="173">
        <f t="shared" si="33"/>
        <v>1</v>
      </c>
      <c r="AA92" s="173">
        <f t="shared" si="34"/>
        <v>0.72489357247539954</v>
      </c>
      <c r="AB92" s="173">
        <f t="shared" si="35"/>
        <v>0.16967145105884726</v>
      </c>
      <c r="AC92" s="173">
        <f t="shared" si="36"/>
        <v>0.10543497646575321</v>
      </c>
      <c r="AE92" s="425">
        <v>4980</v>
      </c>
      <c r="AF92" s="169">
        <v>6895</v>
      </c>
      <c r="AG92" s="424">
        <f t="shared" si="40"/>
        <v>11875</v>
      </c>
      <c r="AH92" s="168">
        <f t="shared" si="37"/>
        <v>0.12256349675132901</v>
      </c>
      <c r="AI92" s="168">
        <f t="shared" si="38"/>
        <v>7.8060433153324504E-2</v>
      </c>
      <c r="AJ92" s="426">
        <f t="shared" si="39"/>
        <v>9.2082102341017824E-2</v>
      </c>
    </row>
    <row r="93" spans="1:36" s="166" customFormat="1">
      <c r="A93" s="170" t="s">
        <v>225</v>
      </c>
      <c r="B93" s="532" t="s">
        <v>226</v>
      </c>
      <c r="C93" s="171" t="s">
        <v>272</v>
      </c>
      <c r="D93" s="172">
        <f t="shared" si="29"/>
        <v>5398</v>
      </c>
      <c r="E93" s="172">
        <v>2841</v>
      </c>
      <c r="F93" s="172">
        <v>2441</v>
      </c>
      <c r="G93" s="172">
        <v>116</v>
      </c>
      <c r="H93" s="172">
        <f t="shared" si="30"/>
        <v>1660</v>
      </c>
      <c r="I93" s="172">
        <v>777</v>
      </c>
      <c r="J93" s="172">
        <v>813</v>
      </c>
      <c r="K93" s="172">
        <v>70</v>
      </c>
      <c r="L93" s="172">
        <f t="shared" si="31"/>
        <v>7058</v>
      </c>
      <c r="M93" s="172">
        <f t="shared" si="31"/>
        <v>3618</v>
      </c>
      <c r="N93" s="172">
        <f t="shared" si="31"/>
        <v>3254</v>
      </c>
      <c r="O93" s="172">
        <f t="shared" si="20"/>
        <v>186</v>
      </c>
      <c r="P93" s="172">
        <f t="shared" si="32"/>
        <v>7058</v>
      </c>
      <c r="R93" s="173">
        <f t="shared" si="21"/>
        <v>0.7648058940209691</v>
      </c>
      <c r="S93" s="173">
        <f t="shared" si="22"/>
        <v>0.52630603927380515</v>
      </c>
      <c r="T93" s="173">
        <f t="shared" si="23"/>
        <v>0.45220452019266394</v>
      </c>
      <c r="U93" s="173">
        <f t="shared" si="24"/>
        <v>2.1489440533530937E-2</v>
      </c>
      <c r="V93" s="173">
        <f t="shared" si="25"/>
        <v>0.2351941059790309</v>
      </c>
      <c r="W93" s="173">
        <f t="shared" si="26"/>
        <v>0.46807228915662652</v>
      </c>
      <c r="X93" s="173">
        <f t="shared" si="27"/>
        <v>0.48975903614457833</v>
      </c>
      <c r="Y93" s="173">
        <f t="shared" si="28"/>
        <v>4.2168674698795178E-2</v>
      </c>
      <c r="Z93" s="173">
        <f t="shared" si="33"/>
        <v>1</v>
      </c>
      <c r="AA93" s="173">
        <f t="shared" si="34"/>
        <v>0.51260980447718896</v>
      </c>
      <c r="AB93" s="173">
        <f t="shared" si="35"/>
        <v>0.4610371209974497</v>
      </c>
      <c r="AC93" s="173">
        <f t="shared" si="36"/>
        <v>2.6353074525361293E-2</v>
      </c>
      <c r="AE93" s="425">
        <v>26</v>
      </c>
      <c r="AF93" s="169">
        <v>60</v>
      </c>
      <c r="AG93" s="424">
        <f t="shared" si="40"/>
        <v>86</v>
      </c>
      <c r="AH93" s="168">
        <f t="shared" si="37"/>
        <v>1.566265060240964E-2</v>
      </c>
      <c r="AI93" s="168">
        <f t="shared" si="38"/>
        <v>1.1115227862171175E-2</v>
      </c>
      <c r="AJ93" s="426">
        <f t="shared" si="39"/>
        <v>1.2184754888070274E-2</v>
      </c>
    </row>
    <row r="94" spans="1:36" s="166" customFormat="1">
      <c r="A94" s="170" t="s">
        <v>227</v>
      </c>
      <c r="B94" s="532" t="s">
        <v>228</v>
      </c>
      <c r="C94" s="171" t="s">
        <v>272</v>
      </c>
      <c r="D94" s="172">
        <f t="shared" si="29"/>
        <v>9797</v>
      </c>
      <c r="E94" s="172">
        <v>3886</v>
      </c>
      <c r="F94" s="172">
        <v>5698</v>
      </c>
      <c r="G94" s="172">
        <v>213</v>
      </c>
      <c r="H94" s="172">
        <f t="shared" si="30"/>
        <v>2290</v>
      </c>
      <c r="I94" s="172">
        <v>861</v>
      </c>
      <c r="J94" s="172">
        <v>1325</v>
      </c>
      <c r="K94" s="172">
        <v>104</v>
      </c>
      <c r="L94" s="172">
        <f t="shared" si="31"/>
        <v>12087</v>
      </c>
      <c r="M94" s="172">
        <f t="shared" si="31"/>
        <v>4747</v>
      </c>
      <c r="N94" s="172">
        <f t="shared" si="31"/>
        <v>7023</v>
      </c>
      <c r="O94" s="172">
        <f t="shared" si="20"/>
        <v>317</v>
      </c>
      <c r="P94" s="172">
        <f t="shared" si="32"/>
        <v>12087</v>
      </c>
      <c r="R94" s="173">
        <f t="shared" si="21"/>
        <v>0.81054024985521633</v>
      </c>
      <c r="S94" s="173">
        <f t="shared" si="22"/>
        <v>0.39665203633765439</v>
      </c>
      <c r="T94" s="173">
        <f t="shared" si="23"/>
        <v>0.58160661426967442</v>
      </c>
      <c r="U94" s="173">
        <f t="shared" si="24"/>
        <v>2.1741349392671225E-2</v>
      </c>
      <c r="V94" s="173">
        <f t="shared" si="25"/>
        <v>0.18945975014478364</v>
      </c>
      <c r="W94" s="173">
        <f t="shared" si="26"/>
        <v>0.37598253275109172</v>
      </c>
      <c r="X94" s="173">
        <f t="shared" si="27"/>
        <v>0.57860262008733621</v>
      </c>
      <c r="Y94" s="173">
        <f t="shared" si="28"/>
        <v>4.5414847161572056E-2</v>
      </c>
      <c r="Z94" s="173">
        <f t="shared" si="33"/>
        <v>1</v>
      </c>
      <c r="AA94" s="173">
        <f t="shared" si="34"/>
        <v>0.39273599735252751</v>
      </c>
      <c r="AB94" s="173">
        <f t="shared" si="35"/>
        <v>0.58103747828245222</v>
      </c>
      <c r="AC94" s="173">
        <f t="shared" si="36"/>
        <v>2.6226524365020269E-2</v>
      </c>
      <c r="AE94" s="425">
        <v>83</v>
      </c>
      <c r="AF94" s="169">
        <v>185</v>
      </c>
      <c r="AG94" s="424">
        <f t="shared" si="40"/>
        <v>268</v>
      </c>
      <c r="AH94" s="168">
        <f t="shared" si="37"/>
        <v>3.6244541484716154E-2</v>
      </c>
      <c r="AI94" s="168">
        <f t="shared" si="38"/>
        <v>1.8883331632132284E-2</v>
      </c>
      <c r="AJ94" s="426">
        <f t="shared" si="39"/>
        <v>2.2172582113013983E-2</v>
      </c>
    </row>
    <row r="95" spans="1:36" s="166" customFormat="1">
      <c r="A95" s="170" t="s">
        <v>229</v>
      </c>
      <c r="B95" s="532" t="s">
        <v>230</v>
      </c>
      <c r="C95" s="171" t="s">
        <v>278</v>
      </c>
      <c r="D95" s="172">
        <f t="shared" si="29"/>
        <v>34812</v>
      </c>
      <c r="E95" s="172">
        <v>33198</v>
      </c>
      <c r="F95" s="172">
        <v>1086</v>
      </c>
      <c r="G95" s="172">
        <v>528</v>
      </c>
      <c r="H95" s="172">
        <f t="shared" si="30"/>
        <v>10266</v>
      </c>
      <c r="I95" s="172">
        <v>9670</v>
      </c>
      <c r="J95" s="172">
        <v>247</v>
      </c>
      <c r="K95" s="172">
        <v>349</v>
      </c>
      <c r="L95" s="172">
        <f t="shared" si="31"/>
        <v>45078</v>
      </c>
      <c r="M95" s="172">
        <f t="shared" si="31"/>
        <v>42868</v>
      </c>
      <c r="N95" s="172">
        <f t="shared" si="31"/>
        <v>1333</v>
      </c>
      <c r="O95" s="172">
        <f t="shared" si="20"/>
        <v>877</v>
      </c>
      <c r="P95" s="172">
        <f t="shared" si="32"/>
        <v>45078</v>
      </c>
      <c r="R95" s="173">
        <f t="shared" si="21"/>
        <v>0.7722614135498469</v>
      </c>
      <c r="S95" s="173">
        <f t="shared" si="22"/>
        <v>0.95363667700792831</v>
      </c>
      <c r="T95" s="173">
        <f t="shared" si="23"/>
        <v>3.1196139262323338E-2</v>
      </c>
      <c r="U95" s="173">
        <f t="shared" si="24"/>
        <v>1.5167183729748363E-2</v>
      </c>
      <c r="V95" s="173">
        <f t="shared" si="25"/>
        <v>0.22773858645015307</v>
      </c>
      <c r="W95" s="173">
        <f t="shared" si="26"/>
        <v>0.94194428209624004</v>
      </c>
      <c r="X95" s="173">
        <f t="shared" si="27"/>
        <v>2.4060003896356905E-2</v>
      </c>
      <c r="Y95" s="173">
        <f t="shared" si="28"/>
        <v>3.3995714007403081E-2</v>
      </c>
      <c r="Z95" s="173">
        <f t="shared" si="33"/>
        <v>1</v>
      </c>
      <c r="AA95" s="173">
        <f t="shared" si="34"/>
        <v>0.95097386751852342</v>
      </c>
      <c r="AB95" s="173">
        <f t="shared" si="35"/>
        <v>2.9570965881361197E-2</v>
      </c>
      <c r="AC95" s="173">
        <f t="shared" si="36"/>
        <v>1.9455166600115356E-2</v>
      </c>
      <c r="AE95" s="425">
        <v>97</v>
      </c>
      <c r="AF95" s="169">
        <v>199</v>
      </c>
      <c r="AG95" s="424">
        <f t="shared" si="40"/>
        <v>296</v>
      </c>
      <c r="AH95" s="168">
        <f t="shared" si="37"/>
        <v>9.4486654977595941E-3</v>
      </c>
      <c r="AI95" s="168">
        <f t="shared" si="38"/>
        <v>5.7164196254165228E-3</v>
      </c>
      <c r="AJ95" s="426">
        <f t="shared" si="39"/>
        <v>6.5663960246683528E-3</v>
      </c>
    </row>
    <row r="96" spans="1:36" s="166" customFormat="1">
      <c r="A96" s="170" t="s">
        <v>233</v>
      </c>
      <c r="B96" s="532" t="s">
        <v>234</v>
      </c>
      <c r="C96" s="171" t="s">
        <v>276</v>
      </c>
      <c r="D96" s="172">
        <f t="shared" si="29"/>
        <v>27432</v>
      </c>
      <c r="E96" s="172">
        <v>25258</v>
      </c>
      <c r="F96" s="172">
        <v>1261</v>
      </c>
      <c r="G96" s="172">
        <v>913</v>
      </c>
      <c r="H96" s="172">
        <f t="shared" si="30"/>
        <v>10143</v>
      </c>
      <c r="I96" s="172">
        <v>8886</v>
      </c>
      <c r="J96" s="172">
        <v>475</v>
      </c>
      <c r="K96" s="172">
        <v>782</v>
      </c>
      <c r="L96" s="172">
        <f t="shared" si="31"/>
        <v>37575</v>
      </c>
      <c r="M96" s="172">
        <f t="shared" si="31"/>
        <v>34144</v>
      </c>
      <c r="N96" s="172">
        <f t="shared" si="31"/>
        <v>1736</v>
      </c>
      <c r="O96" s="172">
        <f t="shared" si="20"/>
        <v>1695</v>
      </c>
      <c r="P96" s="172">
        <f t="shared" si="32"/>
        <v>37575</v>
      </c>
      <c r="R96" s="173">
        <f t="shared" si="21"/>
        <v>0.73005988023952095</v>
      </c>
      <c r="S96" s="173">
        <f t="shared" si="22"/>
        <v>0.92074948964712744</v>
      </c>
      <c r="T96" s="173">
        <f t="shared" si="23"/>
        <v>4.5968212306794987E-2</v>
      </c>
      <c r="U96" s="173">
        <f t="shared" si="24"/>
        <v>3.3282298046077574E-2</v>
      </c>
      <c r="V96" s="173">
        <f t="shared" si="25"/>
        <v>0.26994011976047905</v>
      </c>
      <c r="W96" s="173">
        <f t="shared" si="26"/>
        <v>0.87607216799763388</v>
      </c>
      <c r="X96" s="173">
        <f t="shared" si="27"/>
        <v>4.6830326333431926E-2</v>
      </c>
      <c r="Y96" s="173">
        <f t="shared" si="28"/>
        <v>7.7097505668934238E-2</v>
      </c>
      <c r="Z96" s="173">
        <f t="shared" si="33"/>
        <v>1</v>
      </c>
      <c r="AA96" s="173">
        <f t="shared" si="34"/>
        <v>0.90868928809048566</v>
      </c>
      <c r="AB96" s="173">
        <f t="shared" si="35"/>
        <v>4.6200931470392545E-2</v>
      </c>
      <c r="AC96" s="173">
        <f t="shared" si="36"/>
        <v>4.5109780439121755E-2</v>
      </c>
      <c r="AE96" s="425">
        <v>553</v>
      </c>
      <c r="AF96" s="169">
        <v>765</v>
      </c>
      <c r="AG96" s="424">
        <f t="shared" si="40"/>
        <v>1318</v>
      </c>
      <c r="AH96" s="168">
        <f t="shared" si="37"/>
        <v>5.4520358868184952E-2</v>
      </c>
      <c r="AI96" s="168">
        <f t="shared" si="38"/>
        <v>2.788713910761155E-2</v>
      </c>
      <c r="AJ96" s="426">
        <f t="shared" si="39"/>
        <v>3.5076513639387893E-2</v>
      </c>
    </row>
    <row r="97" spans="1:36" s="166" customFormat="1">
      <c r="A97" s="170" t="s">
        <v>235</v>
      </c>
      <c r="B97" s="532" t="s">
        <v>236</v>
      </c>
      <c r="C97" s="171" t="s">
        <v>278</v>
      </c>
      <c r="D97" s="172">
        <f t="shared" si="29"/>
        <v>42710</v>
      </c>
      <c r="E97" s="172">
        <v>41596</v>
      </c>
      <c r="F97" s="172">
        <v>509</v>
      </c>
      <c r="G97" s="172">
        <v>605</v>
      </c>
      <c r="H97" s="172">
        <f t="shared" si="30"/>
        <v>12166</v>
      </c>
      <c r="I97" s="172">
        <v>11653</v>
      </c>
      <c r="J97" s="172">
        <v>181</v>
      </c>
      <c r="K97" s="172">
        <v>332</v>
      </c>
      <c r="L97" s="172">
        <f t="shared" si="31"/>
        <v>54876</v>
      </c>
      <c r="M97" s="172">
        <f t="shared" si="31"/>
        <v>53249</v>
      </c>
      <c r="N97" s="172">
        <f t="shared" si="31"/>
        <v>690</v>
      </c>
      <c r="O97" s="172">
        <f t="shared" si="20"/>
        <v>937</v>
      </c>
      <c r="P97" s="172">
        <f t="shared" si="32"/>
        <v>54876</v>
      </c>
      <c r="R97" s="173">
        <f t="shared" si="21"/>
        <v>0.77830016765070342</v>
      </c>
      <c r="S97" s="173">
        <f t="shared" si="22"/>
        <v>0.97391711542964177</v>
      </c>
      <c r="T97" s="173">
        <f t="shared" si="23"/>
        <v>1.1917583704050574E-2</v>
      </c>
      <c r="U97" s="173">
        <f t="shared" si="24"/>
        <v>1.4165300866307656E-2</v>
      </c>
      <c r="V97" s="173">
        <f t="shared" si="25"/>
        <v>0.2216998323492966</v>
      </c>
      <c r="W97" s="173">
        <f t="shared" si="26"/>
        <v>0.95783330593457172</v>
      </c>
      <c r="X97" s="173">
        <f t="shared" si="27"/>
        <v>1.4877527535755384E-2</v>
      </c>
      <c r="Y97" s="173">
        <f t="shared" si="28"/>
        <v>2.7289166529672858E-2</v>
      </c>
      <c r="Z97" s="173">
        <f t="shared" si="33"/>
        <v>1</v>
      </c>
      <c r="AA97" s="173">
        <f t="shared" si="34"/>
        <v>0.97035133756104675</v>
      </c>
      <c r="AB97" s="173">
        <f t="shared" si="35"/>
        <v>1.2573802755302864E-2</v>
      </c>
      <c r="AC97" s="173">
        <f t="shared" si="36"/>
        <v>1.7074859683650412E-2</v>
      </c>
      <c r="AE97" s="425">
        <v>250</v>
      </c>
      <c r="AF97" s="169">
        <v>474</v>
      </c>
      <c r="AG97" s="424">
        <f t="shared" si="40"/>
        <v>724</v>
      </c>
      <c r="AH97" s="168">
        <f t="shared" si="37"/>
        <v>2.0549071181982573E-2</v>
      </c>
      <c r="AI97" s="168">
        <f t="shared" si="38"/>
        <v>1.1098103488644345E-2</v>
      </c>
      <c r="AJ97" s="426">
        <f t="shared" si="39"/>
        <v>1.319338144179605E-2</v>
      </c>
    </row>
    <row r="98" spans="1:36" s="166" customFormat="1">
      <c r="A98" s="170" t="s">
        <v>237</v>
      </c>
      <c r="B98" s="532" t="s">
        <v>238</v>
      </c>
      <c r="C98" s="171" t="s">
        <v>275</v>
      </c>
      <c r="D98" s="172">
        <f t="shared" si="29"/>
        <v>13587</v>
      </c>
      <c r="E98" s="172">
        <v>9418</v>
      </c>
      <c r="F98" s="172">
        <v>3564</v>
      </c>
      <c r="G98" s="172">
        <v>605</v>
      </c>
      <c r="H98" s="172">
        <f t="shared" si="30"/>
        <v>3867</v>
      </c>
      <c r="I98" s="172">
        <v>2083</v>
      </c>
      <c r="J98" s="172">
        <v>1327</v>
      </c>
      <c r="K98" s="172">
        <v>457</v>
      </c>
      <c r="L98" s="172">
        <f t="shared" si="31"/>
        <v>17454</v>
      </c>
      <c r="M98" s="172">
        <f t="shared" si="31"/>
        <v>11501</v>
      </c>
      <c r="N98" s="172">
        <f t="shared" si="31"/>
        <v>4891</v>
      </c>
      <c r="O98" s="172">
        <f t="shared" si="20"/>
        <v>1062</v>
      </c>
      <c r="P98" s="172">
        <f t="shared" si="32"/>
        <v>17454</v>
      </c>
      <c r="R98" s="173">
        <f t="shared" si="21"/>
        <v>0.77844620144379517</v>
      </c>
      <c r="S98" s="173">
        <f t="shared" si="22"/>
        <v>0.693162581879738</v>
      </c>
      <c r="T98" s="173">
        <f t="shared" si="23"/>
        <v>0.26230956060940602</v>
      </c>
      <c r="U98" s="173">
        <f t="shared" si="24"/>
        <v>4.4527857510855966E-2</v>
      </c>
      <c r="V98" s="173">
        <f t="shared" si="25"/>
        <v>0.22155379855620488</v>
      </c>
      <c r="W98" s="173">
        <f t="shared" si="26"/>
        <v>0.53866046030514614</v>
      </c>
      <c r="X98" s="173">
        <f t="shared" si="27"/>
        <v>0.34316007240755109</v>
      </c>
      <c r="Y98" s="173">
        <f t="shared" si="28"/>
        <v>0.11817946728730282</v>
      </c>
      <c r="Z98" s="173">
        <f t="shared" si="33"/>
        <v>1</v>
      </c>
      <c r="AA98" s="173">
        <f t="shared" si="34"/>
        <v>0.65893204995989463</v>
      </c>
      <c r="AB98" s="173">
        <f t="shared" si="35"/>
        <v>0.28022229861349834</v>
      </c>
      <c r="AC98" s="173">
        <f t="shared" si="36"/>
        <v>6.0845651426607084E-2</v>
      </c>
      <c r="AE98" s="425">
        <v>410</v>
      </c>
      <c r="AF98" s="169">
        <v>592</v>
      </c>
      <c r="AG98" s="424">
        <f t="shared" si="40"/>
        <v>1002</v>
      </c>
      <c r="AH98" s="168">
        <f t="shared" si="37"/>
        <v>0.10602534264287561</v>
      </c>
      <c r="AI98" s="168">
        <f t="shared" si="38"/>
        <v>4.3571060572606166E-2</v>
      </c>
      <c r="AJ98" s="426">
        <f t="shared" si="39"/>
        <v>5.7408044001375044E-2</v>
      </c>
    </row>
    <row r="99" spans="1:36" s="166" customFormat="1">
      <c r="A99" s="170" t="s">
        <v>243</v>
      </c>
      <c r="B99" s="532" t="s">
        <v>244</v>
      </c>
      <c r="C99" s="171" t="s">
        <v>278</v>
      </c>
      <c r="D99" s="172">
        <f t="shared" si="29"/>
        <v>31455</v>
      </c>
      <c r="E99" s="172">
        <v>29106</v>
      </c>
      <c r="F99" s="172">
        <v>1873</v>
      </c>
      <c r="G99" s="172">
        <v>476</v>
      </c>
      <c r="H99" s="172">
        <f t="shared" si="30"/>
        <v>9997</v>
      </c>
      <c r="I99" s="172">
        <v>9455</v>
      </c>
      <c r="J99" s="172">
        <v>264</v>
      </c>
      <c r="K99" s="172">
        <v>278</v>
      </c>
      <c r="L99" s="172">
        <f t="shared" si="31"/>
        <v>41452</v>
      </c>
      <c r="M99" s="172">
        <f t="shared" si="31"/>
        <v>38561</v>
      </c>
      <c r="N99" s="172">
        <f t="shared" si="31"/>
        <v>2137</v>
      </c>
      <c r="O99" s="172">
        <f t="shared" si="20"/>
        <v>754</v>
      </c>
      <c r="P99" s="172">
        <f t="shared" si="32"/>
        <v>41452</v>
      </c>
      <c r="R99" s="173">
        <f t="shared" si="21"/>
        <v>0.75882948953005891</v>
      </c>
      <c r="S99" s="173">
        <f t="shared" si="22"/>
        <v>0.92532188841201712</v>
      </c>
      <c r="T99" s="173">
        <f t="shared" si="23"/>
        <v>5.9545382292163405E-2</v>
      </c>
      <c r="U99" s="173">
        <f t="shared" si="24"/>
        <v>1.5132729295819424E-2</v>
      </c>
      <c r="V99" s="173">
        <f t="shared" si="25"/>
        <v>0.24117051046994115</v>
      </c>
      <c r="W99" s="173">
        <f t="shared" si="26"/>
        <v>0.94578373512053615</v>
      </c>
      <c r="X99" s="173">
        <f t="shared" si="27"/>
        <v>2.6407922376713015E-2</v>
      </c>
      <c r="Y99" s="173">
        <f t="shared" si="28"/>
        <v>2.7808342502750827E-2</v>
      </c>
      <c r="Z99" s="173">
        <f t="shared" si="33"/>
        <v>1</v>
      </c>
      <c r="AA99" s="173">
        <f t="shared" si="34"/>
        <v>0.93025668242786841</v>
      </c>
      <c r="AB99" s="173">
        <f t="shared" si="35"/>
        <v>5.1553604168677027E-2</v>
      </c>
      <c r="AC99" s="173">
        <f t="shared" si="36"/>
        <v>1.8189713403454599E-2</v>
      </c>
      <c r="AE99" s="425">
        <v>173</v>
      </c>
      <c r="AF99" s="169">
        <v>298</v>
      </c>
      <c r="AG99" s="424">
        <f t="shared" si="40"/>
        <v>471</v>
      </c>
      <c r="AH99" s="168">
        <f t="shared" si="37"/>
        <v>1.730519155746724E-2</v>
      </c>
      <c r="AI99" s="168">
        <f t="shared" si="38"/>
        <v>9.4738515339373702E-3</v>
      </c>
      <c r="AJ99" s="426">
        <f t="shared" si="39"/>
        <v>1.136253980507575E-2</v>
      </c>
    </row>
    <row r="100" spans="1:36" s="166" customFormat="1">
      <c r="A100" s="170" t="s">
        <v>245</v>
      </c>
      <c r="B100" s="532" t="s">
        <v>246</v>
      </c>
      <c r="C100" s="171" t="s">
        <v>278</v>
      </c>
      <c r="D100" s="172">
        <f t="shared" si="29"/>
        <v>22514</v>
      </c>
      <c r="E100" s="172">
        <v>21576</v>
      </c>
      <c r="F100" s="172">
        <v>598</v>
      </c>
      <c r="G100" s="172">
        <v>340</v>
      </c>
      <c r="H100" s="172">
        <f t="shared" si="30"/>
        <v>6721</v>
      </c>
      <c r="I100" s="172">
        <v>6214</v>
      </c>
      <c r="J100" s="172">
        <v>220</v>
      </c>
      <c r="K100" s="172">
        <v>287</v>
      </c>
      <c r="L100" s="172">
        <f t="shared" si="31"/>
        <v>29235</v>
      </c>
      <c r="M100" s="172">
        <f t="shared" si="31"/>
        <v>27790</v>
      </c>
      <c r="N100" s="172">
        <f t="shared" si="31"/>
        <v>818</v>
      </c>
      <c r="O100" s="172">
        <f t="shared" si="20"/>
        <v>627</v>
      </c>
      <c r="P100" s="172">
        <f t="shared" si="32"/>
        <v>29235</v>
      </c>
      <c r="R100" s="173">
        <f t="shared" si="21"/>
        <v>0.77010432700530185</v>
      </c>
      <c r="S100" s="173">
        <f t="shared" si="22"/>
        <v>0.95833703473394327</v>
      </c>
      <c r="T100" s="173">
        <f t="shared" si="23"/>
        <v>2.6561250777294126E-2</v>
      </c>
      <c r="U100" s="173">
        <f t="shared" si="24"/>
        <v>1.5101714488762548E-2</v>
      </c>
      <c r="V100" s="173">
        <f t="shared" si="25"/>
        <v>0.22989567299469812</v>
      </c>
      <c r="W100" s="173">
        <f t="shared" si="26"/>
        <v>0.92456479690522242</v>
      </c>
      <c r="X100" s="173">
        <f t="shared" si="27"/>
        <v>3.2733224222585927E-2</v>
      </c>
      <c r="Y100" s="173">
        <f t="shared" si="28"/>
        <v>4.270197887219164E-2</v>
      </c>
      <c r="Z100" s="173">
        <f t="shared" si="33"/>
        <v>1</v>
      </c>
      <c r="AA100" s="173">
        <f t="shared" si="34"/>
        <v>0.9505729433897725</v>
      </c>
      <c r="AB100" s="173">
        <f t="shared" si="35"/>
        <v>2.7980160766204892E-2</v>
      </c>
      <c r="AC100" s="173">
        <f t="shared" si="36"/>
        <v>2.1446895844022575E-2</v>
      </c>
      <c r="AE100" s="425">
        <v>111</v>
      </c>
      <c r="AF100" s="169">
        <v>169</v>
      </c>
      <c r="AG100" s="424">
        <f t="shared" si="40"/>
        <v>280</v>
      </c>
      <c r="AH100" s="168">
        <f t="shared" si="37"/>
        <v>1.6515399494122899E-2</v>
      </c>
      <c r="AI100" s="168">
        <f t="shared" si="38"/>
        <v>7.5064404370613841E-3</v>
      </c>
      <c r="AJ100" s="426">
        <f t="shared" si="39"/>
        <v>9.5775611424662212E-3</v>
      </c>
    </row>
    <row r="101" spans="1:36" s="166" customFormat="1">
      <c r="A101" s="170" t="s">
        <v>247</v>
      </c>
      <c r="B101" s="532" t="s">
        <v>248</v>
      </c>
      <c r="C101" s="171" t="s">
        <v>272</v>
      </c>
      <c r="D101" s="172">
        <f t="shared" si="29"/>
        <v>55340</v>
      </c>
      <c r="E101" s="172">
        <v>44871</v>
      </c>
      <c r="F101" s="172">
        <v>6246</v>
      </c>
      <c r="G101" s="172">
        <v>4223</v>
      </c>
      <c r="H101" s="172">
        <f t="shared" si="30"/>
        <v>22274</v>
      </c>
      <c r="I101" s="172">
        <v>16717</v>
      </c>
      <c r="J101" s="172">
        <v>2583</v>
      </c>
      <c r="K101" s="172">
        <v>2974</v>
      </c>
      <c r="L101" s="172">
        <f t="shared" si="31"/>
        <v>77614</v>
      </c>
      <c r="M101" s="172">
        <f t="shared" si="31"/>
        <v>61588</v>
      </c>
      <c r="N101" s="172">
        <f t="shared" si="31"/>
        <v>8829</v>
      </c>
      <c r="O101" s="172">
        <f t="shared" si="20"/>
        <v>7197</v>
      </c>
      <c r="P101" s="172">
        <f t="shared" si="32"/>
        <v>77614</v>
      </c>
      <c r="R101" s="173">
        <f t="shared" si="21"/>
        <v>0.71301569304506918</v>
      </c>
      <c r="S101" s="173">
        <f t="shared" si="22"/>
        <v>0.81082399710878206</v>
      </c>
      <c r="T101" s="173">
        <f t="shared" si="23"/>
        <v>0.11286591976870257</v>
      </c>
      <c r="U101" s="173">
        <f t="shared" si="24"/>
        <v>7.631008312251536E-2</v>
      </c>
      <c r="V101" s="173">
        <f t="shared" si="25"/>
        <v>0.28698430695493082</v>
      </c>
      <c r="W101" s="173">
        <f t="shared" si="26"/>
        <v>0.75051629702792488</v>
      </c>
      <c r="X101" s="173">
        <f t="shared" si="27"/>
        <v>0.11596480201131364</v>
      </c>
      <c r="Y101" s="173">
        <f t="shared" si="28"/>
        <v>0.13351890096076144</v>
      </c>
      <c r="Z101" s="173">
        <f t="shared" si="33"/>
        <v>1</v>
      </c>
      <c r="AA101" s="173">
        <f t="shared" si="34"/>
        <v>0.79351663359703151</v>
      </c>
      <c r="AB101" s="173">
        <f t="shared" si="35"/>
        <v>0.11375525034143324</v>
      </c>
      <c r="AC101" s="173">
        <f t="shared" si="36"/>
        <v>9.272811606153529E-2</v>
      </c>
      <c r="AE101" s="425">
        <v>1368</v>
      </c>
      <c r="AF101" s="169">
        <v>1745</v>
      </c>
      <c r="AG101" s="424">
        <f t="shared" si="40"/>
        <v>3113</v>
      </c>
      <c r="AH101" s="168">
        <f t="shared" si="37"/>
        <v>6.141689862620095E-2</v>
      </c>
      <c r="AI101" s="168">
        <f t="shared" si="38"/>
        <v>3.1532345500542104E-2</v>
      </c>
      <c r="AJ101" s="426">
        <f t="shared" si="39"/>
        <v>4.0108743267967116E-2</v>
      </c>
    </row>
    <row r="102" spans="1:36" s="166" customFormat="1">
      <c r="A102" s="170" t="s">
        <v>14</v>
      </c>
      <c r="B102" s="532" t="s">
        <v>15</v>
      </c>
      <c r="C102" s="171" t="s">
        <v>276</v>
      </c>
      <c r="D102" s="172">
        <f t="shared" si="29"/>
        <v>114065</v>
      </c>
      <c r="E102" s="172">
        <v>72373</v>
      </c>
      <c r="F102" s="172">
        <v>23557</v>
      </c>
      <c r="G102" s="172">
        <v>18135</v>
      </c>
      <c r="H102" s="172">
        <f t="shared" si="30"/>
        <v>25901</v>
      </c>
      <c r="I102" s="172">
        <v>12813</v>
      </c>
      <c r="J102" s="172">
        <v>6934</v>
      </c>
      <c r="K102" s="172">
        <v>6154</v>
      </c>
      <c r="L102" s="172">
        <f t="shared" si="31"/>
        <v>139966</v>
      </c>
      <c r="M102" s="172">
        <f t="shared" si="31"/>
        <v>85186</v>
      </c>
      <c r="N102" s="172">
        <f t="shared" si="31"/>
        <v>30491</v>
      </c>
      <c r="O102" s="172">
        <f t="shared" si="20"/>
        <v>24289</v>
      </c>
      <c r="P102" s="172">
        <f t="shared" si="32"/>
        <v>139966</v>
      </c>
      <c r="R102" s="173">
        <f t="shared" si="21"/>
        <v>0.81494791592243832</v>
      </c>
      <c r="S102" s="173">
        <f t="shared" si="22"/>
        <v>0.63448910708806383</v>
      </c>
      <c r="T102" s="173">
        <f t="shared" si="23"/>
        <v>0.2065225967650024</v>
      </c>
      <c r="U102" s="173">
        <f t="shared" si="24"/>
        <v>0.15898829614693377</v>
      </c>
      <c r="V102" s="173">
        <f t="shared" si="25"/>
        <v>0.18505208407756168</v>
      </c>
      <c r="W102" s="173">
        <f t="shared" si="26"/>
        <v>0.49469132465927956</v>
      </c>
      <c r="X102" s="173">
        <f t="shared" si="27"/>
        <v>0.26771167136404</v>
      </c>
      <c r="Y102" s="173">
        <f t="shared" si="28"/>
        <v>0.23759700397668043</v>
      </c>
      <c r="Z102" s="173">
        <f t="shared" si="33"/>
        <v>1</v>
      </c>
      <c r="AA102" s="173">
        <f t="shared" si="34"/>
        <v>0.60861923610019575</v>
      </c>
      <c r="AB102" s="173">
        <f t="shared" si="35"/>
        <v>0.21784576254233171</v>
      </c>
      <c r="AC102" s="173">
        <f t="shared" si="36"/>
        <v>0.17353500135747252</v>
      </c>
      <c r="AE102" s="425">
        <v>6221</v>
      </c>
      <c r="AF102" s="169">
        <v>16303</v>
      </c>
      <c r="AG102" s="424">
        <f t="shared" si="40"/>
        <v>22524</v>
      </c>
      <c r="AH102" s="168">
        <f t="shared" si="37"/>
        <v>0.24018377668815877</v>
      </c>
      <c r="AI102" s="168">
        <f t="shared" si="38"/>
        <v>0.14292727830622889</v>
      </c>
      <c r="AJ102" s="426">
        <f t="shared" si="39"/>
        <v>0.16092479602189103</v>
      </c>
    </row>
    <row r="103" spans="1:36" s="166" customFormat="1">
      <c r="A103" s="170" t="s">
        <v>35</v>
      </c>
      <c r="B103" s="532" t="s">
        <v>36</v>
      </c>
      <c r="C103" s="171" t="s">
        <v>278</v>
      </c>
      <c r="D103" s="172">
        <f t="shared" si="29"/>
        <v>13619</v>
      </c>
      <c r="E103" s="172">
        <v>12614</v>
      </c>
      <c r="F103" s="172">
        <v>696</v>
      </c>
      <c r="G103" s="172">
        <v>309</v>
      </c>
      <c r="H103" s="172">
        <f t="shared" si="30"/>
        <v>4216</v>
      </c>
      <c r="I103" s="172">
        <v>3600</v>
      </c>
      <c r="J103" s="172">
        <v>313</v>
      </c>
      <c r="K103" s="172">
        <v>303</v>
      </c>
      <c r="L103" s="172">
        <f t="shared" si="31"/>
        <v>17835</v>
      </c>
      <c r="M103" s="172">
        <f t="shared" si="31"/>
        <v>16214</v>
      </c>
      <c r="N103" s="172">
        <f t="shared" si="31"/>
        <v>1009</v>
      </c>
      <c r="O103" s="172">
        <f t="shared" si="20"/>
        <v>612</v>
      </c>
      <c r="P103" s="172">
        <f t="shared" si="32"/>
        <v>17835</v>
      </c>
      <c r="R103" s="173">
        <f t="shared" si="21"/>
        <v>0.7636108774880852</v>
      </c>
      <c r="S103" s="173">
        <f t="shared" si="22"/>
        <v>0.92620603568543947</v>
      </c>
      <c r="T103" s="173">
        <f t="shared" si="23"/>
        <v>5.1105073793964312E-2</v>
      </c>
      <c r="U103" s="173">
        <f t="shared" si="24"/>
        <v>2.2688890520596226E-2</v>
      </c>
      <c r="V103" s="173">
        <f t="shared" si="25"/>
        <v>0.23638912251191477</v>
      </c>
      <c r="W103" s="173">
        <f t="shared" si="26"/>
        <v>0.85388994307400379</v>
      </c>
      <c r="X103" s="173">
        <f t="shared" si="27"/>
        <v>7.4240986717267546E-2</v>
      </c>
      <c r="Y103" s="173">
        <f t="shared" si="28"/>
        <v>7.1869070208728653E-2</v>
      </c>
      <c r="Z103" s="173">
        <f t="shared" si="33"/>
        <v>1</v>
      </c>
      <c r="AA103" s="173">
        <f t="shared" si="34"/>
        <v>0.90911129800953183</v>
      </c>
      <c r="AB103" s="173">
        <f t="shared" si="35"/>
        <v>5.6574151948416036E-2</v>
      </c>
      <c r="AC103" s="173">
        <f t="shared" si="36"/>
        <v>3.4314550042052146E-2</v>
      </c>
      <c r="AE103" s="425">
        <v>90</v>
      </c>
      <c r="AF103" s="169">
        <v>131</v>
      </c>
      <c r="AG103" s="424">
        <f t="shared" si="40"/>
        <v>221</v>
      </c>
      <c r="AH103" s="168">
        <f t="shared" si="37"/>
        <v>2.1347248576850095E-2</v>
      </c>
      <c r="AI103" s="168">
        <f t="shared" si="38"/>
        <v>9.6189147514501791E-3</v>
      </c>
      <c r="AJ103" s="426">
        <f t="shared" si="39"/>
        <v>1.2391365292963275E-2</v>
      </c>
    </row>
    <row r="104" spans="1:36" s="166" customFormat="1">
      <c r="A104" s="170" t="s">
        <v>53</v>
      </c>
      <c r="B104" s="532" t="s">
        <v>54</v>
      </c>
      <c r="C104" s="171" t="s">
        <v>273</v>
      </c>
      <c r="D104" s="172">
        <f t="shared" si="29"/>
        <v>35318</v>
      </c>
      <c r="E104" s="172">
        <v>25540</v>
      </c>
      <c r="F104" s="172">
        <v>6005</v>
      </c>
      <c r="G104" s="172">
        <v>3773</v>
      </c>
      <c r="H104" s="172">
        <f t="shared" si="30"/>
        <v>8157</v>
      </c>
      <c r="I104" s="172">
        <v>4491</v>
      </c>
      <c r="J104" s="172">
        <v>2432</v>
      </c>
      <c r="K104" s="172">
        <v>1234</v>
      </c>
      <c r="L104" s="172">
        <f t="shared" si="31"/>
        <v>43475</v>
      </c>
      <c r="M104" s="172">
        <f t="shared" si="31"/>
        <v>30031</v>
      </c>
      <c r="N104" s="172">
        <f t="shared" si="31"/>
        <v>8437</v>
      </c>
      <c r="O104" s="172">
        <f t="shared" si="20"/>
        <v>5007</v>
      </c>
      <c r="P104" s="172">
        <f t="shared" si="32"/>
        <v>43475</v>
      </c>
      <c r="R104" s="173">
        <f t="shared" si="21"/>
        <v>0.81237492811960899</v>
      </c>
      <c r="S104" s="173">
        <f t="shared" si="22"/>
        <v>0.72314400588934824</v>
      </c>
      <c r="T104" s="173">
        <f t="shared" si="23"/>
        <v>0.170026615323631</v>
      </c>
      <c r="U104" s="173">
        <f t="shared" si="24"/>
        <v>0.10682937878702078</v>
      </c>
      <c r="V104" s="173">
        <f t="shared" si="25"/>
        <v>0.18762507188039104</v>
      </c>
      <c r="W104" s="173">
        <f t="shared" si="26"/>
        <v>0.55057006252298635</v>
      </c>
      <c r="X104" s="173">
        <f t="shared" si="27"/>
        <v>0.29814882922643127</v>
      </c>
      <c r="Y104" s="173">
        <f t="shared" si="28"/>
        <v>0.15128110825058233</v>
      </c>
      <c r="Z104" s="173">
        <f t="shared" si="33"/>
        <v>1</v>
      </c>
      <c r="AA104" s="173">
        <f t="shared" si="34"/>
        <v>0.69076480736055201</v>
      </c>
      <c r="AB104" s="173">
        <f t="shared" si="35"/>
        <v>0.19406555491661875</v>
      </c>
      <c r="AC104" s="173">
        <f t="shared" si="36"/>
        <v>0.11516963772282922</v>
      </c>
      <c r="AE104" s="425">
        <v>617</v>
      </c>
      <c r="AF104" s="169">
        <v>1606</v>
      </c>
      <c r="AG104" s="424">
        <f t="shared" si="40"/>
        <v>2223</v>
      </c>
      <c r="AH104" s="168">
        <f t="shared" si="37"/>
        <v>7.5640554125291165E-2</v>
      </c>
      <c r="AI104" s="168">
        <f t="shared" si="38"/>
        <v>4.5472563565320798E-2</v>
      </c>
      <c r="AJ104" s="426">
        <f t="shared" si="39"/>
        <v>5.1132834962622199E-2</v>
      </c>
    </row>
    <row r="105" spans="1:36" s="166" customFormat="1">
      <c r="A105" s="170" t="s">
        <v>55</v>
      </c>
      <c r="B105" s="532" t="s">
        <v>56</v>
      </c>
      <c r="C105" s="171" t="s">
        <v>272</v>
      </c>
      <c r="D105" s="172">
        <f t="shared" si="29"/>
        <v>158543</v>
      </c>
      <c r="E105" s="172">
        <v>102429</v>
      </c>
      <c r="F105" s="172">
        <v>46020</v>
      </c>
      <c r="G105" s="172">
        <v>10094</v>
      </c>
      <c r="H105" s="172">
        <f t="shared" si="30"/>
        <v>63666</v>
      </c>
      <c r="I105" s="172">
        <v>36583</v>
      </c>
      <c r="J105" s="172">
        <v>20217</v>
      </c>
      <c r="K105" s="172">
        <v>6866</v>
      </c>
      <c r="L105" s="172">
        <f t="shared" si="31"/>
        <v>222209</v>
      </c>
      <c r="M105" s="172">
        <f t="shared" si="31"/>
        <v>139012</v>
      </c>
      <c r="N105" s="172">
        <f t="shared" si="31"/>
        <v>66237</v>
      </c>
      <c r="O105" s="172">
        <f t="shared" si="20"/>
        <v>16960</v>
      </c>
      <c r="P105" s="172">
        <f t="shared" si="32"/>
        <v>222209</v>
      </c>
      <c r="R105" s="173">
        <f t="shared" si="21"/>
        <v>0.71348595241416868</v>
      </c>
      <c r="S105" s="173">
        <f t="shared" si="22"/>
        <v>0.64606447462202687</v>
      </c>
      <c r="T105" s="173">
        <f t="shared" si="23"/>
        <v>0.29026825529982403</v>
      </c>
      <c r="U105" s="173">
        <f t="shared" si="24"/>
        <v>6.3667270078149152E-2</v>
      </c>
      <c r="V105" s="173">
        <f t="shared" si="25"/>
        <v>0.28651404758583138</v>
      </c>
      <c r="W105" s="173">
        <f t="shared" si="26"/>
        <v>0.57460811107969711</v>
      </c>
      <c r="X105" s="173">
        <f t="shared" si="27"/>
        <v>0.31754782772594475</v>
      </c>
      <c r="Y105" s="173">
        <f t="shared" si="28"/>
        <v>0.10784406119435806</v>
      </c>
      <c r="Z105" s="173">
        <f t="shared" si="33"/>
        <v>1</v>
      </c>
      <c r="AA105" s="173">
        <f t="shared" si="34"/>
        <v>0.62559122267774936</v>
      </c>
      <c r="AB105" s="173">
        <f t="shared" si="35"/>
        <v>0.2980842360120427</v>
      </c>
      <c r="AC105" s="173">
        <f t="shared" si="36"/>
        <v>7.6324541310207952E-2</v>
      </c>
      <c r="AE105" s="425">
        <v>3971</v>
      </c>
      <c r="AF105" s="169">
        <v>5735</v>
      </c>
      <c r="AG105" s="424">
        <f t="shared" si="40"/>
        <v>9706</v>
      </c>
      <c r="AH105" s="168">
        <f t="shared" si="37"/>
        <v>6.2372380862626836E-2</v>
      </c>
      <c r="AI105" s="168">
        <f t="shared" si="38"/>
        <v>3.6173151763244038E-2</v>
      </c>
      <c r="AJ105" s="426">
        <f t="shared" si="39"/>
        <v>4.3679598936136703E-2</v>
      </c>
    </row>
    <row r="106" spans="1:36" s="166" customFormat="1">
      <c r="A106" s="170" t="s">
        <v>67</v>
      </c>
      <c r="B106" s="532" t="s">
        <v>68</v>
      </c>
      <c r="C106" s="171" t="s">
        <v>273</v>
      </c>
      <c r="D106" s="172">
        <f t="shared" si="29"/>
        <v>32578</v>
      </c>
      <c r="E106" s="172">
        <v>17186</v>
      </c>
      <c r="F106" s="172">
        <v>14404</v>
      </c>
      <c r="G106" s="172">
        <v>988</v>
      </c>
      <c r="H106" s="172">
        <f t="shared" si="30"/>
        <v>10477</v>
      </c>
      <c r="I106" s="172">
        <v>3345</v>
      </c>
      <c r="J106" s="172">
        <v>6391</v>
      </c>
      <c r="K106" s="172">
        <v>741</v>
      </c>
      <c r="L106" s="172">
        <f t="shared" si="31"/>
        <v>43055</v>
      </c>
      <c r="M106" s="172">
        <f t="shared" si="31"/>
        <v>20531</v>
      </c>
      <c r="N106" s="172">
        <f t="shared" si="31"/>
        <v>20795</v>
      </c>
      <c r="O106" s="172">
        <f t="shared" si="20"/>
        <v>1729</v>
      </c>
      <c r="P106" s="172">
        <f t="shared" si="32"/>
        <v>43055</v>
      </c>
      <c r="R106" s="173">
        <f t="shared" si="21"/>
        <v>0.75666008593659273</v>
      </c>
      <c r="S106" s="173">
        <f t="shared" si="22"/>
        <v>0.52753391859537113</v>
      </c>
      <c r="T106" s="173">
        <f t="shared" si="23"/>
        <v>0.44213886671987229</v>
      </c>
      <c r="U106" s="173">
        <f t="shared" si="24"/>
        <v>3.0327214684756583E-2</v>
      </c>
      <c r="V106" s="173">
        <f t="shared" si="25"/>
        <v>0.24333991406340727</v>
      </c>
      <c r="W106" s="173">
        <f t="shared" si="26"/>
        <v>0.31927078362126565</v>
      </c>
      <c r="X106" s="173">
        <f t="shared" si="27"/>
        <v>0.61000286341509979</v>
      </c>
      <c r="Y106" s="173">
        <f t="shared" si="28"/>
        <v>7.0726352963634623E-2</v>
      </c>
      <c r="Z106" s="173">
        <f t="shared" si="33"/>
        <v>1</v>
      </c>
      <c r="AA106" s="173">
        <f t="shared" si="34"/>
        <v>0.47685518522819648</v>
      </c>
      <c r="AB106" s="173">
        <f t="shared" si="35"/>
        <v>0.48298687725002903</v>
      </c>
      <c r="AC106" s="173">
        <f t="shared" si="36"/>
        <v>4.0157937521774476E-2</v>
      </c>
      <c r="AE106" s="425">
        <v>510</v>
      </c>
      <c r="AF106" s="169">
        <v>735</v>
      </c>
      <c r="AG106" s="424">
        <f t="shared" si="40"/>
        <v>1245</v>
      </c>
      <c r="AH106" s="168">
        <f t="shared" si="37"/>
        <v>4.8678056695618976E-2</v>
      </c>
      <c r="AI106" s="168">
        <f t="shared" si="38"/>
        <v>2.2561237645036529E-2</v>
      </c>
      <c r="AJ106" s="426">
        <f t="shared" si="39"/>
        <v>2.8916502148414819E-2</v>
      </c>
    </row>
    <row r="107" spans="1:36" s="166" customFormat="1">
      <c r="A107" s="170" t="s">
        <v>83</v>
      </c>
      <c r="B107" s="532" t="s">
        <v>390</v>
      </c>
      <c r="C107" s="171" t="s">
        <v>272</v>
      </c>
      <c r="D107" s="172">
        <f t="shared" si="29"/>
        <v>6287</v>
      </c>
      <c r="E107" s="172">
        <v>2758</v>
      </c>
      <c r="F107" s="172">
        <v>3367</v>
      </c>
      <c r="G107" s="172">
        <v>162</v>
      </c>
      <c r="H107" s="172">
        <f t="shared" si="30"/>
        <v>2295</v>
      </c>
      <c r="I107" s="172">
        <v>622</v>
      </c>
      <c r="J107" s="172">
        <v>1517</v>
      </c>
      <c r="K107" s="172">
        <v>156</v>
      </c>
      <c r="L107" s="172">
        <f t="shared" si="31"/>
        <v>8582</v>
      </c>
      <c r="M107" s="172">
        <f t="shared" si="31"/>
        <v>3380</v>
      </c>
      <c r="N107" s="172">
        <f t="shared" si="31"/>
        <v>4884</v>
      </c>
      <c r="O107" s="172">
        <f t="shared" si="20"/>
        <v>318</v>
      </c>
      <c r="P107" s="172">
        <f t="shared" si="32"/>
        <v>8582</v>
      </c>
      <c r="R107" s="173">
        <f t="shared" si="21"/>
        <v>0.73257981822419016</v>
      </c>
      <c r="S107" s="173">
        <f t="shared" si="22"/>
        <v>0.43868299665977412</v>
      </c>
      <c r="T107" s="173">
        <f t="shared" si="23"/>
        <v>0.53554954668363286</v>
      </c>
      <c r="U107" s="173">
        <f t="shared" si="24"/>
        <v>2.5767456656592969E-2</v>
      </c>
      <c r="V107" s="173">
        <f t="shared" si="25"/>
        <v>0.26742018177580984</v>
      </c>
      <c r="W107" s="173">
        <f t="shared" si="26"/>
        <v>0.2710239651416122</v>
      </c>
      <c r="X107" s="173">
        <f t="shared" si="27"/>
        <v>0.66100217864923749</v>
      </c>
      <c r="Y107" s="173">
        <f t="shared" si="28"/>
        <v>6.7973856209150321E-2</v>
      </c>
      <c r="Z107" s="173">
        <f t="shared" si="33"/>
        <v>1</v>
      </c>
      <c r="AA107" s="173">
        <f t="shared" si="34"/>
        <v>0.39384758797483105</v>
      </c>
      <c r="AB107" s="173">
        <f t="shared" si="35"/>
        <v>0.56909811232812868</v>
      </c>
      <c r="AC107" s="173">
        <f t="shared" si="36"/>
        <v>3.705429969704032E-2</v>
      </c>
      <c r="AE107" s="425">
        <v>66</v>
      </c>
      <c r="AF107" s="169">
        <v>75</v>
      </c>
      <c r="AG107" s="424">
        <f t="shared" si="40"/>
        <v>141</v>
      </c>
      <c r="AH107" s="168">
        <f t="shared" si="37"/>
        <v>2.8758169934640521E-2</v>
      </c>
      <c r="AI107" s="168">
        <f t="shared" si="38"/>
        <v>1.1929378081756004E-2</v>
      </c>
      <c r="AJ107" s="426">
        <f t="shared" si="39"/>
        <v>1.6429736658121651E-2</v>
      </c>
    </row>
    <row r="108" spans="1:36" s="166" customFormat="1">
      <c r="A108" s="170" t="s">
        <v>89</v>
      </c>
      <c r="B108" s="532" t="s">
        <v>90</v>
      </c>
      <c r="C108" s="171" t="s">
        <v>276</v>
      </c>
      <c r="D108" s="172">
        <f t="shared" si="29"/>
        <v>17806</v>
      </c>
      <c r="E108" s="172">
        <v>12216</v>
      </c>
      <c r="F108" s="172">
        <v>3616</v>
      </c>
      <c r="G108" s="172">
        <v>1974</v>
      </c>
      <c r="H108" s="172">
        <f t="shared" si="30"/>
        <v>6480</v>
      </c>
      <c r="I108" s="172">
        <v>3380</v>
      </c>
      <c r="J108" s="172">
        <v>1882</v>
      </c>
      <c r="K108" s="172">
        <v>1218</v>
      </c>
      <c r="L108" s="172">
        <f t="shared" si="31"/>
        <v>24286</v>
      </c>
      <c r="M108" s="172">
        <f t="shared" si="31"/>
        <v>15596</v>
      </c>
      <c r="N108" s="172">
        <f t="shared" si="31"/>
        <v>5498</v>
      </c>
      <c r="O108" s="172">
        <f t="shared" si="20"/>
        <v>3192</v>
      </c>
      <c r="P108" s="172">
        <f t="shared" si="32"/>
        <v>24286</v>
      </c>
      <c r="R108" s="173">
        <f t="shared" si="21"/>
        <v>0.73317960965165119</v>
      </c>
      <c r="S108" s="173">
        <f t="shared" si="22"/>
        <v>0.68606087835561047</v>
      </c>
      <c r="T108" s="173">
        <f t="shared" si="23"/>
        <v>0.20307761428731888</v>
      </c>
      <c r="U108" s="173">
        <f t="shared" si="24"/>
        <v>0.11086150735707065</v>
      </c>
      <c r="V108" s="173">
        <f t="shared" si="25"/>
        <v>0.26682039034834887</v>
      </c>
      <c r="W108" s="173">
        <f t="shared" si="26"/>
        <v>0.52160493827160492</v>
      </c>
      <c r="X108" s="173">
        <f t="shared" si="27"/>
        <v>0.29043209876543208</v>
      </c>
      <c r="Y108" s="173">
        <f t="shared" si="28"/>
        <v>0.18796296296296297</v>
      </c>
      <c r="Z108" s="173">
        <f t="shared" si="33"/>
        <v>1</v>
      </c>
      <c r="AA108" s="173">
        <f t="shared" si="34"/>
        <v>0.64218068022729147</v>
      </c>
      <c r="AB108" s="173">
        <f t="shared" si="35"/>
        <v>0.22638557193444783</v>
      </c>
      <c r="AC108" s="173">
        <f t="shared" si="36"/>
        <v>0.13143374783826073</v>
      </c>
      <c r="AE108" s="425">
        <v>956</v>
      </c>
      <c r="AF108" s="169">
        <v>1651</v>
      </c>
      <c r="AG108" s="424">
        <f t="shared" si="40"/>
        <v>2607</v>
      </c>
      <c r="AH108" s="168">
        <f t="shared" si="37"/>
        <v>0.14753086419753086</v>
      </c>
      <c r="AI108" s="168">
        <f t="shared" si="38"/>
        <v>9.2721554532180159E-2</v>
      </c>
      <c r="AJ108" s="426">
        <f t="shared" si="39"/>
        <v>0.10734579593181257</v>
      </c>
    </row>
    <row r="109" spans="1:36" s="166" customFormat="1">
      <c r="A109" s="170" t="s">
        <v>91</v>
      </c>
      <c r="B109" s="532" t="s">
        <v>92</v>
      </c>
      <c r="C109" s="171" t="s">
        <v>278</v>
      </c>
      <c r="D109" s="172">
        <f t="shared" si="29"/>
        <v>5346</v>
      </c>
      <c r="E109" s="172">
        <v>4756</v>
      </c>
      <c r="F109" s="172">
        <v>298</v>
      </c>
      <c r="G109" s="172">
        <v>292</v>
      </c>
      <c r="H109" s="172">
        <f t="shared" si="30"/>
        <v>1696</v>
      </c>
      <c r="I109" s="172">
        <v>1288</v>
      </c>
      <c r="J109" s="172">
        <v>141</v>
      </c>
      <c r="K109" s="172">
        <v>267</v>
      </c>
      <c r="L109" s="172">
        <f t="shared" si="31"/>
        <v>7042</v>
      </c>
      <c r="M109" s="172">
        <f t="shared" si="31"/>
        <v>6044</v>
      </c>
      <c r="N109" s="172">
        <f t="shared" si="31"/>
        <v>439</v>
      </c>
      <c r="O109" s="172">
        <f t="shared" si="20"/>
        <v>559</v>
      </c>
      <c r="P109" s="172">
        <f t="shared" si="32"/>
        <v>7042</v>
      </c>
      <c r="R109" s="173">
        <f t="shared" si="21"/>
        <v>0.75915932973587053</v>
      </c>
      <c r="S109" s="173">
        <f t="shared" si="22"/>
        <v>0.88963711185933403</v>
      </c>
      <c r="T109" s="173">
        <f t="shared" si="23"/>
        <v>5.5742611298166857E-2</v>
      </c>
      <c r="U109" s="173">
        <f t="shared" si="24"/>
        <v>5.4620276842499066E-2</v>
      </c>
      <c r="V109" s="173">
        <f t="shared" si="25"/>
        <v>0.2408406702641295</v>
      </c>
      <c r="W109" s="173">
        <f t="shared" si="26"/>
        <v>0.75943396226415094</v>
      </c>
      <c r="X109" s="173">
        <f t="shared" si="27"/>
        <v>8.3136792452830191E-2</v>
      </c>
      <c r="Y109" s="173">
        <f t="shared" si="28"/>
        <v>0.15742924528301888</v>
      </c>
      <c r="Z109" s="173">
        <f t="shared" si="33"/>
        <v>1</v>
      </c>
      <c r="AA109" s="173">
        <f t="shared" si="34"/>
        <v>0.85827889804032942</v>
      </c>
      <c r="AB109" s="173">
        <f t="shared" si="35"/>
        <v>6.2340244248792955E-2</v>
      </c>
      <c r="AC109" s="173">
        <f t="shared" si="36"/>
        <v>7.9380857710877592E-2</v>
      </c>
      <c r="AE109" s="425">
        <v>474</v>
      </c>
      <c r="AF109" s="169">
        <v>515</v>
      </c>
      <c r="AG109" s="424">
        <f t="shared" si="40"/>
        <v>989</v>
      </c>
      <c r="AH109" s="168">
        <f t="shared" si="37"/>
        <v>0.27948113207547171</v>
      </c>
      <c r="AI109" s="168">
        <f t="shared" si="38"/>
        <v>9.6333707444818562E-2</v>
      </c>
      <c r="AJ109" s="426">
        <f t="shared" si="39"/>
        <v>0.14044305595001419</v>
      </c>
    </row>
    <row r="110" spans="1:36" s="166" customFormat="1">
      <c r="A110" s="170" t="s">
        <v>107</v>
      </c>
      <c r="B110" s="532" t="s">
        <v>108</v>
      </c>
      <c r="C110" s="171" t="s">
        <v>272</v>
      </c>
      <c r="D110" s="172">
        <f t="shared" si="29"/>
        <v>101293</v>
      </c>
      <c r="E110" s="172">
        <v>46802</v>
      </c>
      <c r="F110" s="172">
        <v>47864</v>
      </c>
      <c r="G110" s="172">
        <v>6627</v>
      </c>
      <c r="H110" s="172">
        <f t="shared" si="30"/>
        <v>36143</v>
      </c>
      <c r="I110" s="172">
        <v>11840</v>
      </c>
      <c r="J110" s="172">
        <v>20240</v>
      </c>
      <c r="K110" s="172">
        <v>4063</v>
      </c>
      <c r="L110" s="172">
        <f t="shared" si="31"/>
        <v>137436</v>
      </c>
      <c r="M110" s="172">
        <f t="shared" si="31"/>
        <v>58642</v>
      </c>
      <c r="N110" s="172">
        <f t="shared" si="31"/>
        <v>68104</v>
      </c>
      <c r="O110" s="172">
        <f t="shared" si="20"/>
        <v>10690</v>
      </c>
      <c r="P110" s="172">
        <f t="shared" si="32"/>
        <v>137436</v>
      </c>
      <c r="R110" s="173">
        <f t="shared" si="21"/>
        <v>0.73701941267208004</v>
      </c>
      <c r="S110" s="173">
        <f t="shared" si="22"/>
        <v>0.46204574847225377</v>
      </c>
      <c r="T110" s="173">
        <f t="shared" si="23"/>
        <v>0.47253018471167801</v>
      </c>
      <c r="U110" s="173">
        <f t="shared" si="24"/>
        <v>6.5424066816068244E-2</v>
      </c>
      <c r="V110" s="173">
        <f t="shared" si="25"/>
        <v>0.2629805873279199</v>
      </c>
      <c r="W110" s="173">
        <f t="shared" si="26"/>
        <v>0.32758763799352569</v>
      </c>
      <c r="X110" s="173">
        <f t="shared" si="27"/>
        <v>0.55999778657001353</v>
      </c>
      <c r="Y110" s="173">
        <f t="shared" si="28"/>
        <v>0.11241457543646073</v>
      </c>
      <c r="Z110" s="173">
        <f t="shared" si="33"/>
        <v>1</v>
      </c>
      <c r="AA110" s="173">
        <f t="shared" si="34"/>
        <v>0.4266858756075555</v>
      </c>
      <c r="AB110" s="173">
        <f t="shared" si="35"/>
        <v>0.49553246602054773</v>
      </c>
      <c r="AC110" s="173">
        <f t="shared" si="36"/>
        <v>7.7781658371896739E-2</v>
      </c>
      <c r="AE110" s="425">
        <v>2372</v>
      </c>
      <c r="AF110" s="169">
        <v>3869</v>
      </c>
      <c r="AG110" s="424">
        <f t="shared" si="40"/>
        <v>6241</v>
      </c>
      <c r="AH110" s="168">
        <f t="shared" si="37"/>
        <v>6.5628199098027279E-2</v>
      </c>
      <c r="AI110" s="168">
        <f t="shared" si="38"/>
        <v>3.8196124115190584E-2</v>
      </c>
      <c r="AJ110" s="426">
        <f t="shared" si="39"/>
        <v>4.5410227305800521E-2</v>
      </c>
    </row>
    <row r="111" spans="1:36" s="166" customFormat="1">
      <c r="A111" s="170" t="s">
        <v>117</v>
      </c>
      <c r="B111" s="532" t="s">
        <v>118</v>
      </c>
      <c r="C111" s="171" t="s">
        <v>275</v>
      </c>
      <c r="D111" s="172">
        <f t="shared" si="29"/>
        <v>16306</v>
      </c>
      <c r="E111" s="172">
        <v>9889</v>
      </c>
      <c r="F111" s="172">
        <v>5423</v>
      </c>
      <c r="G111" s="172">
        <v>994</v>
      </c>
      <c r="H111" s="172">
        <f t="shared" si="30"/>
        <v>6285</v>
      </c>
      <c r="I111" s="172">
        <v>2626</v>
      </c>
      <c r="J111" s="172">
        <v>2944</v>
      </c>
      <c r="K111" s="172">
        <v>715</v>
      </c>
      <c r="L111" s="172">
        <f t="shared" si="31"/>
        <v>22591</v>
      </c>
      <c r="M111" s="172">
        <f t="shared" si="31"/>
        <v>12515</v>
      </c>
      <c r="N111" s="172">
        <f t="shared" si="31"/>
        <v>8367</v>
      </c>
      <c r="O111" s="172">
        <f t="shared" si="20"/>
        <v>1709</v>
      </c>
      <c r="P111" s="172">
        <f t="shared" si="32"/>
        <v>22591</v>
      </c>
      <c r="R111" s="173">
        <f t="shared" si="21"/>
        <v>0.72179186401664375</v>
      </c>
      <c r="S111" s="173">
        <f t="shared" si="22"/>
        <v>0.60646387832699622</v>
      </c>
      <c r="T111" s="173">
        <f t="shared" si="23"/>
        <v>0.33257696553415922</v>
      </c>
      <c r="U111" s="173">
        <f t="shared" si="24"/>
        <v>6.0959156138844596E-2</v>
      </c>
      <c r="V111" s="173">
        <f t="shared" si="25"/>
        <v>0.2782081359833562</v>
      </c>
      <c r="W111" s="173">
        <f t="shared" si="26"/>
        <v>0.41782020684168658</v>
      </c>
      <c r="X111" s="173">
        <f t="shared" si="27"/>
        <v>0.46841686555290374</v>
      </c>
      <c r="Y111" s="173">
        <f t="shared" si="28"/>
        <v>0.11376292760540971</v>
      </c>
      <c r="Z111" s="173">
        <f t="shared" si="33"/>
        <v>1</v>
      </c>
      <c r="AA111" s="173">
        <f t="shared" si="34"/>
        <v>0.55398167411801158</v>
      </c>
      <c r="AB111" s="173">
        <f t="shared" si="35"/>
        <v>0.37036873091053962</v>
      </c>
      <c r="AC111" s="173">
        <f t="shared" si="36"/>
        <v>7.5649594971448811E-2</v>
      </c>
      <c r="AE111" s="425">
        <v>555</v>
      </c>
      <c r="AF111" s="169">
        <v>925</v>
      </c>
      <c r="AG111" s="424">
        <f t="shared" si="40"/>
        <v>1480</v>
      </c>
      <c r="AH111" s="168">
        <f t="shared" si="37"/>
        <v>8.83054892601432E-2</v>
      </c>
      <c r="AI111" s="168">
        <f t="shared" si="38"/>
        <v>5.6727584938059607E-2</v>
      </c>
      <c r="AJ111" s="426">
        <f t="shared" si="39"/>
        <v>6.5512814837767247E-2</v>
      </c>
    </row>
    <row r="112" spans="1:36" s="166" customFormat="1">
      <c r="A112" s="170" t="s">
        <v>139</v>
      </c>
      <c r="B112" s="532" t="s">
        <v>140</v>
      </c>
      <c r="C112" s="171" t="s">
        <v>273</v>
      </c>
      <c r="D112" s="172">
        <f t="shared" si="29"/>
        <v>55036</v>
      </c>
      <c r="E112" s="172">
        <v>37206</v>
      </c>
      <c r="F112" s="172">
        <v>14968</v>
      </c>
      <c r="G112" s="172">
        <v>2862</v>
      </c>
      <c r="H112" s="172">
        <f t="shared" si="30"/>
        <v>20532</v>
      </c>
      <c r="I112" s="172">
        <v>11468</v>
      </c>
      <c r="J112" s="172">
        <v>7172</v>
      </c>
      <c r="K112" s="172">
        <v>1892</v>
      </c>
      <c r="L112" s="172">
        <f t="shared" si="31"/>
        <v>75568</v>
      </c>
      <c r="M112" s="172">
        <f t="shared" si="31"/>
        <v>48674</v>
      </c>
      <c r="N112" s="172">
        <f t="shared" si="31"/>
        <v>22140</v>
      </c>
      <c r="O112" s="172">
        <f t="shared" si="20"/>
        <v>4754</v>
      </c>
      <c r="P112" s="172">
        <f t="shared" si="32"/>
        <v>75568</v>
      </c>
      <c r="R112" s="173">
        <f t="shared" si="21"/>
        <v>0.72829769214482321</v>
      </c>
      <c r="S112" s="173">
        <f t="shared" si="22"/>
        <v>0.67603023475543278</v>
      </c>
      <c r="T112" s="173">
        <f t="shared" si="23"/>
        <v>0.27196743949414931</v>
      </c>
      <c r="U112" s="173">
        <f t="shared" si="24"/>
        <v>5.200232575041791E-2</v>
      </c>
      <c r="V112" s="173">
        <f t="shared" si="25"/>
        <v>0.27170230785517679</v>
      </c>
      <c r="W112" s="173">
        <f t="shared" si="26"/>
        <v>0.5585427625170466</v>
      </c>
      <c r="X112" s="173">
        <f t="shared" si="27"/>
        <v>0.34930839664913305</v>
      </c>
      <c r="Y112" s="173">
        <f t="shared" si="28"/>
        <v>9.2148840833820383E-2</v>
      </c>
      <c r="Z112" s="173">
        <f t="shared" si="33"/>
        <v>1</v>
      </c>
      <c r="AA112" s="173">
        <f t="shared" si="34"/>
        <v>0.64410861740419223</v>
      </c>
      <c r="AB112" s="173">
        <f t="shared" si="35"/>
        <v>0.29298115604488673</v>
      </c>
      <c r="AC112" s="173">
        <f t="shared" si="36"/>
        <v>6.2910226550921031E-2</v>
      </c>
      <c r="AE112" s="425">
        <v>829</v>
      </c>
      <c r="AF112" s="169">
        <v>1471</v>
      </c>
      <c r="AG112" s="424">
        <f t="shared" si="40"/>
        <v>2300</v>
      </c>
      <c r="AH112" s="168">
        <f t="shared" si="37"/>
        <v>4.0375998441457235E-2</v>
      </c>
      <c r="AI112" s="168">
        <f t="shared" si="38"/>
        <v>2.6727959880805292E-2</v>
      </c>
      <c r="AJ112" s="426">
        <f t="shared" si="39"/>
        <v>3.0436163455430869E-2</v>
      </c>
    </row>
    <row r="113" spans="1:36" s="166" customFormat="1">
      <c r="A113" s="170" t="s">
        <v>143</v>
      </c>
      <c r="B113" s="532" t="s">
        <v>144</v>
      </c>
      <c r="C113" s="171" t="s">
        <v>276</v>
      </c>
      <c r="D113" s="172">
        <f t="shared" si="29"/>
        <v>26073</v>
      </c>
      <c r="E113" s="172">
        <v>16983</v>
      </c>
      <c r="F113" s="172">
        <v>3485</v>
      </c>
      <c r="G113" s="172">
        <v>5605</v>
      </c>
      <c r="H113" s="172">
        <f t="shared" si="30"/>
        <v>11748</v>
      </c>
      <c r="I113" s="172">
        <v>6353</v>
      </c>
      <c r="J113" s="172">
        <v>1703</v>
      </c>
      <c r="K113" s="172">
        <v>3692</v>
      </c>
      <c r="L113" s="172">
        <f t="shared" si="31"/>
        <v>37821</v>
      </c>
      <c r="M113" s="172">
        <f t="shared" si="31"/>
        <v>23336</v>
      </c>
      <c r="N113" s="172">
        <f t="shared" si="31"/>
        <v>5188</v>
      </c>
      <c r="O113" s="172">
        <f t="shared" si="20"/>
        <v>9297</v>
      </c>
      <c r="P113" s="172">
        <f t="shared" si="32"/>
        <v>37821</v>
      </c>
      <c r="R113" s="173">
        <f t="shared" si="21"/>
        <v>0.68937891647497418</v>
      </c>
      <c r="S113" s="173">
        <f t="shared" si="22"/>
        <v>0.65136347946151196</v>
      </c>
      <c r="T113" s="173">
        <f t="shared" si="23"/>
        <v>0.13366317646607601</v>
      </c>
      <c r="U113" s="173">
        <f t="shared" si="24"/>
        <v>0.21497334407241209</v>
      </c>
      <c r="V113" s="173">
        <f t="shared" si="25"/>
        <v>0.31062108352502577</v>
      </c>
      <c r="W113" s="173">
        <f t="shared" si="26"/>
        <v>0.54077289751447055</v>
      </c>
      <c r="X113" s="173">
        <f t="shared" si="27"/>
        <v>0.14496084439904663</v>
      </c>
      <c r="Y113" s="173">
        <f t="shared" si="28"/>
        <v>0.31426625808648279</v>
      </c>
      <c r="Z113" s="173">
        <f t="shared" si="33"/>
        <v>1</v>
      </c>
      <c r="AA113" s="173">
        <f t="shared" si="34"/>
        <v>0.61701171306945879</v>
      </c>
      <c r="AB113" s="173">
        <f t="shared" si="35"/>
        <v>0.1371724703207213</v>
      </c>
      <c r="AC113" s="173">
        <f t="shared" si="36"/>
        <v>0.24581581660981994</v>
      </c>
      <c r="AE113" s="425">
        <v>4844</v>
      </c>
      <c r="AF113" s="169">
        <v>7032</v>
      </c>
      <c r="AG113" s="424">
        <f t="shared" si="40"/>
        <v>11876</v>
      </c>
      <c r="AH113" s="168">
        <f t="shared" si="37"/>
        <v>0.41232550221314268</v>
      </c>
      <c r="AI113" s="168">
        <f t="shared" si="38"/>
        <v>0.26970429179611094</v>
      </c>
      <c r="AJ113" s="426">
        <f t="shared" si="39"/>
        <v>0.31400544670950004</v>
      </c>
    </row>
    <row r="114" spans="1:36" s="166" customFormat="1">
      <c r="A114" s="170" t="s">
        <v>145</v>
      </c>
      <c r="B114" s="532" t="s">
        <v>146</v>
      </c>
      <c r="C114" s="171" t="s">
        <v>276</v>
      </c>
      <c r="D114" s="172">
        <f t="shared" si="29"/>
        <v>9857</v>
      </c>
      <c r="E114" s="172">
        <v>5750</v>
      </c>
      <c r="F114" s="172">
        <v>1303</v>
      </c>
      <c r="G114" s="172">
        <v>2804</v>
      </c>
      <c r="H114" s="172">
        <f t="shared" si="30"/>
        <v>4416</v>
      </c>
      <c r="I114" s="172">
        <v>2235</v>
      </c>
      <c r="J114" s="172">
        <v>549</v>
      </c>
      <c r="K114" s="172">
        <v>1632</v>
      </c>
      <c r="L114" s="172">
        <f t="shared" si="31"/>
        <v>14273</v>
      </c>
      <c r="M114" s="172">
        <f t="shared" si="31"/>
        <v>7985</v>
      </c>
      <c r="N114" s="172">
        <f t="shared" si="31"/>
        <v>1852</v>
      </c>
      <c r="O114" s="172">
        <f t="shared" si="20"/>
        <v>4436</v>
      </c>
      <c r="P114" s="172">
        <f t="shared" si="32"/>
        <v>14273</v>
      </c>
      <c r="R114" s="173">
        <f t="shared" si="21"/>
        <v>0.69060463812793382</v>
      </c>
      <c r="S114" s="173">
        <f t="shared" si="22"/>
        <v>0.58334178756213861</v>
      </c>
      <c r="T114" s="173">
        <f t="shared" si="23"/>
        <v>0.13219032159886376</v>
      </c>
      <c r="U114" s="173">
        <f t="shared" si="24"/>
        <v>0.28446789083899765</v>
      </c>
      <c r="V114" s="173">
        <f t="shared" si="25"/>
        <v>0.30939536187206612</v>
      </c>
      <c r="W114" s="173">
        <f t="shared" si="26"/>
        <v>0.50611413043478259</v>
      </c>
      <c r="X114" s="173">
        <f t="shared" si="27"/>
        <v>0.12432065217391304</v>
      </c>
      <c r="Y114" s="173">
        <f t="shared" si="28"/>
        <v>0.36956521739130432</v>
      </c>
      <c r="Z114" s="173">
        <f t="shared" si="33"/>
        <v>1</v>
      </c>
      <c r="AA114" s="173">
        <f t="shared" si="34"/>
        <v>0.55944790863868843</v>
      </c>
      <c r="AB114" s="173">
        <f t="shared" si="35"/>
        <v>0.12975548237931758</v>
      </c>
      <c r="AC114" s="173">
        <f t="shared" si="36"/>
        <v>0.31079660898199396</v>
      </c>
      <c r="AE114" s="425">
        <v>1776</v>
      </c>
      <c r="AF114" s="169">
        <v>2869</v>
      </c>
      <c r="AG114" s="424">
        <f t="shared" si="40"/>
        <v>4645</v>
      </c>
      <c r="AH114" s="168">
        <f t="shared" si="37"/>
        <v>0.40217391304347827</v>
      </c>
      <c r="AI114" s="168">
        <f t="shared" si="38"/>
        <v>0.29106218930709143</v>
      </c>
      <c r="AJ114" s="426">
        <f t="shared" si="39"/>
        <v>0.32543964128073988</v>
      </c>
    </row>
    <row r="115" spans="1:36" s="166" customFormat="1">
      <c r="A115" s="170" t="s">
        <v>159</v>
      </c>
      <c r="B115" s="532" t="s">
        <v>160</v>
      </c>
      <c r="C115" s="171" t="s">
        <v>272</v>
      </c>
      <c r="D115" s="172">
        <f t="shared" si="29"/>
        <v>130242</v>
      </c>
      <c r="E115" s="172">
        <v>68849</v>
      </c>
      <c r="F115" s="172">
        <v>49775</v>
      </c>
      <c r="G115" s="172">
        <v>11618</v>
      </c>
      <c r="H115" s="172">
        <f t="shared" si="30"/>
        <v>50477</v>
      </c>
      <c r="I115" s="172">
        <v>19669</v>
      </c>
      <c r="J115" s="172">
        <v>23739</v>
      </c>
      <c r="K115" s="172">
        <v>7069</v>
      </c>
      <c r="L115" s="172">
        <f t="shared" si="31"/>
        <v>180719</v>
      </c>
      <c r="M115" s="172">
        <f t="shared" si="31"/>
        <v>88518</v>
      </c>
      <c r="N115" s="172">
        <f t="shared" si="31"/>
        <v>73514</v>
      </c>
      <c r="O115" s="172">
        <f t="shared" si="20"/>
        <v>18687</v>
      </c>
      <c r="P115" s="172">
        <f t="shared" si="32"/>
        <v>180719</v>
      </c>
      <c r="R115" s="173">
        <f t="shared" si="21"/>
        <v>0.72068791881318506</v>
      </c>
      <c r="S115" s="173">
        <f t="shared" si="22"/>
        <v>0.52862363907188159</v>
      </c>
      <c r="T115" s="173">
        <f t="shared" si="23"/>
        <v>0.38217318530120853</v>
      </c>
      <c r="U115" s="173">
        <f t="shared" si="24"/>
        <v>8.9203175626909909E-2</v>
      </c>
      <c r="V115" s="173">
        <f t="shared" si="25"/>
        <v>0.27931208118681489</v>
      </c>
      <c r="W115" s="173">
        <f t="shared" si="26"/>
        <v>0.38966261861838064</v>
      </c>
      <c r="X115" s="173">
        <f t="shared" si="27"/>
        <v>0.47029340095489036</v>
      </c>
      <c r="Y115" s="173">
        <f t="shared" si="28"/>
        <v>0.140043980426729</v>
      </c>
      <c r="Z115" s="173">
        <f t="shared" si="33"/>
        <v>1</v>
      </c>
      <c r="AA115" s="173">
        <f t="shared" si="34"/>
        <v>0.48981014724517069</v>
      </c>
      <c r="AB115" s="173">
        <f t="shared" si="35"/>
        <v>0.40678622613006932</v>
      </c>
      <c r="AC115" s="173">
        <f t="shared" si="36"/>
        <v>0.10340362662475999</v>
      </c>
      <c r="AE115" s="425">
        <v>5079</v>
      </c>
      <c r="AF115" s="169">
        <v>8511</v>
      </c>
      <c r="AG115" s="424">
        <f t="shared" si="40"/>
        <v>13590</v>
      </c>
      <c r="AH115" s="168">
        <f t="shared" si="37"/>
        <v>0.10062008439487291</v>
      </c>
      <c r="AI115" s="168">
        <f t="shared" si="38"/>
        <v>6.5347583728751088E-2</v>
      </c>
      <c r="AJ115" s="426">
        <f t="shared" si="39"/>
        <v>7.5199619298468898E-2</v>
      </c>
    </row>
    <row r="116" spans="1:36" s="166" customFormat="1">
      <c r="A116" s="170" t="s">
        <v>161</v>
      </c>
      <c r="B116" s="532" t="s">
        <v>162</v>
      </c>
      <c r="C116" s="171" t="s">
        <v>272</v>
      </c>
      <c r="D116" s="172">
        <f t="shared" si="29"/>
        <v>181449</v>
      </c>
      <c r="E116" s="172">
        <v>92861</v>
      </c>
      <c r="F116" s="172">
        <v>72418</v>
      </c>
      <c r="G116" s="172">
        <v>16170</v>
      </c>
      <c r="H116" s="172">
        <f t="shared" si="30"/>
        <v>61354</v>
      </c>
      <c r="I116" s="172">
        <v>21443</v>
      </c>
      <c r="J116" s="172">
        <v>32254</v>
      </c>
      <c r="K116" s="172">
        <v>7657</v>
      </c>
      <c r="L116" s="172">
        <f t="shared" si="31"/>
        <v>242803</v>
      </c>
      <c r="M116" s="172">
        <f t="shared" si="31"/>
        <v>114304</v>
      </c>
      <c r="N116" s="172">
        <f t="shared" si="31"/>
        <v>104672</v>
      </c>
      <c r="O116" s="172">
        <f t="shared" si="20"/>
        <v>23827</v>
      </c>
      <c r="P116" s="172">
        <f t="shared" si="32"/>
        <v>242803</v>
      </c>
      <c r="R116" s="173">
        <f t="shared" si="21"/>
        <v>0.74730954724612131</v>
      </c>
      <c r="S116" s="173">
        <f t="shared" si="22"/>
        <v>0.51177465844397052</v>
      </c>
      <c r="T116" s="173">
        <f t="shared" si="23"/>
        <v>0.39910939161968378</v>
      </c>
      <c r="U116" s="173">
        <f t="shared" si="24"/>
        <v>8.9115949936345751E-2</v>
      </c>
      <c r="V116" s="173">
        <f t="shared" si="25"/>
        <v>0.25269045275387864</v>
      </c>
      <c r="W116" s="173">
        <f t="shared" si="26"/>
        <v>0.34949636535515205</v>
      </c>
      <c r="X116" s="173">
        <f t="shared" si="27"/>
        <v>0.52570329562864682</v>
      </c>
      <c r="Y116" s="173">
        <f t="shared" si="28"/>
        <v>0.12480033901620106</v>
      </c>
      <c r="Z116" s="173">
        <f t="shared" si="33"/>
        <v>1</v>
      </c>
      <c r="AA116" s="173">
        <f t="shared" si="34"/>
        <v>0.47076848309123032</v>
      </c>
      <c r="AB116" s="173">
        <f t="shared" si="35"/>
        <v>0.43109846253958972</v>
      </c>
      <c r="AC116" s="173">
        <f t="shared" si="36"/>
        <v>9.8133054369179948E-2</v>
      </c>
      <c r="AE116" s="425">
        <v>5050</v>
      </c>
      <c r="AF116" s="169">
        <v>11094</v>
      </c>
      <c r="AG116" s="424">
        <f t="shared" si="40"/>
        <v>16144</v>
      </c>
      <c r="AH116" s="168">
        <f t="shared" si="37"/>
        <v>8.2309221892623144E-2</v>
      </c>
      <c r="AI116" s="168">
        <f t="shared" si="38"/>
        <v>6.1141147099184896E-2</v>
      </c>
      <c r="AJ116" s="426">
        <f t="shared" si="39"/>
        <v>6.6490117502666771E-2</v>
      </c>
    </row>
    <row r="117" spans="1:36" s="166" customFormat="1">
      <c r="A117" s="170" t="s">
        <v>167</v>
      </c>
      <c r="B117" s="532" t="s">
        <v>168</v>
      </c>
      <c r="C117" s="171" t="s">
        <v>278</v>
      </c>
      <c r="D117" s="172">
        <f t="shared" si="29"/>
        <v>2972</v>
      </c>
      <c r="E117" s="172">
        <v>2695</v>
      </c>
      <c r="F117" s="172">
        <v>177</v>
      </c>
      <c r="G117" s="172">
        <v>100</v>
      </c>
      <c r="H117" s="172">
        <f t="shared" si="30"/>
        <v>986</v>
      </c>
      <c r="I117" s="172">
        <v>815</v>
      </c>
      <c r="J117" s="172">
        <v>73</v>
      </c>
      <c r="K117" s="172">
        <v>98</v>
      </c>
      <c r="L117" s="172">
        <f t="shared" si="31"/>
        <v>3958</v>
      </c>
      <c r="M117" s="172">
        <f t="shared" si="31"/>
        <v>3510</v>
      </c>
      <c r="N117" s="172">
        <f t="shared" si="31"/>
        <v>250</v>
      </c>
      <c r="O117" s="172">
        <f t="shared" si="20"/>
        <v>198</v>
      </c>
      <c r="P117" s="172">
        <f t="shared" si="32"/>
        <v>3958</v>
      </c>
      <c r="R117" s="173">
        <f t="shared" si="21"/>
        <v>0.75088428499242044</v>
      </c>
      <c r="S117" s="173">
        <f t="shared" si="22"/>
        <v>0.90679676985195157</v>
      </c>
      <c r="T117" s="173">
        <f t="shared" si="23"/>
        <v>5.9555854643337819E-2</v>
      </c>
      <c r="U117" s="173">
        <f t="shared" si="24"/>
        <v>3.3647375504710635E-2</v>
      </c>
      <c r="V117" s="173">
        <f t="shared" si="25"/>
        <v>0.24911571500757959</v>
      </c>
      <c r="W117" s="173">
        <f t="shared" si="26"/>
        <v>0.82657200811359022</v>
      </c>
      <c r="X117" s="173">
        <f t="shared" si="27"/>
        <v>7.4036511156186618E-2</v>
      </c>
      <c r="Y117" s="173">
        <f t="shared" si="28"/>
        <v>9.9391480730223122E-2</v>
      </c>
      <c r="Z117" s="173">
        <f t="shared" si="33"/>
        <v>1</v>
      </c>
      <c r="AA117" s="173">
        <f t="shared" si="34"/>
        <v>0.88681152097018701</v>
      </c>
      <c r="AB117" s="173">
        <f t="shared" si="35"/>
        <v>6.3163213744315314E-2</v>
      </c>
      <c r="AC117" s="173">
        <f t="shared" si="36"/>
        <v>5.0025265285497729E-2</v>
      </c>
      <c r="AE117" s="425">
        <v>24</v>
      </c>
      <c r="AF117" s="169">
        <v>44</v>
      </c>
      <c r="AG117" s="424">
        <f t="shared" si="40"/>
        <v>68</v>
      </c>
      <c r="AH117" s="168">
        <f t="shared" si="37"/>
        <v>2.434077079107505E-2</v>
      </c>
      <c r="AI117" s="168">
        <f t="shared" si="38"/>
        <v>1.4804845222072678E-2</v>
      </c>
      <c r="AJ117" s="426">
        <f t="shared" si="39"/>
        <v>1.7180394138453764E-2</v>
      </c>
    </row>
    <row r="118" spans="1:36" s="166" customFormat="1">
      <c r="A118" s="170" t="s">
        <v>177</v>
      </c>
      <c r="B118" s="532" t="s">
        <v>178</v>
      </c>
      <c r="C118" s="171" t="s">
        <v>275</v>
      </c>
      <c r="D118" s="172">
        <f t="shared" si="29"/>
        <v>24830</v>
      </c>
      <c r="E118" s="172">
        <v>4591</v>
      </c>
      <c r="F118" s="172">
        <v>19203</v>
      </c>
      <c r="G118" s="172">
        <v>1036</v>
      </c>
      <c r="H118" s="172">
        <f t="shared" si="30"/>
        <v>7590</v>
      </c>
      <c r="I118" s="172">
        <v>626</v>
      </c>
      <c r="J118" s="172">
        <v>6443</v>
      </c>
      <c r="K118" s="172">
        <v>521</v>
      </c>
      <c r="L118" s="172">
        <f t="shared" si="31"/>
        <v>32420</v>
      </c>
      <c r="M118" s="172">
        <f t="shared" si="31"/>
        <v>5217</v>
      </c>
      <c r="N118" s="172">
        <f t="shared" si="31"/>
        <v>25646</v>
      </c>
      <c r="O118" s="172">
        <f t="shared" si="20"/>
        <v>1557</v>
      </c>
      <c r="P118" s="172">
        <f t="shared" si="32"/>
        <v>32420</v>
      </c>
      <c r="R118" s="173">
        <f t="shared" si="21"/>
        <v>0.76588525601480573</v>
      </c>
      <c r="S118" s="173">
        <f t="shared" si="22"/>
        <v>0.18489730165122836</v>
      </c>
      <c r="T118" s="173">
        <f t="shared" si="23"/>
        <v>0.77337897704389846</v>
      </c>
      <c r="U118" s="173">
        <f t="shared" si="24"/>
        <v>4.1723721304873139E-2</v>
      </c>
      <c r="V118" s="173">
        <f t="shared" si="25"/>
        <v>0.23411474398519433</v>
      </c>
      <c r="W118" s="173">
        <f t="shared" si="26"/>
        <v>8.2476943346508569E-2</v>
      </c>
      <c r="X118" s="173">
        <f t="shared" si="27"/>
        <v>0.84888010540184455</v>
      </c>
      <c r="Y118" s="173">
        <f t="shared" si="28"/>
        <v>6.8642951251646905E-2</v>
      </c>
      <c r="Z118" s="173">
        <f t="shared" si="33"/>
        <v>1</v>
      </c>
      <c r="AA118" s="173">
        <f t="shared" si="34"/>
        <v>0.16091918568784702</v>
      </c>
      <c r="AB118" s="173">
        <f t="shared" si="35"/>
        <v>0.79105490438001236</v>
      </c>
      <c r="AC118" s="173">
        <f t="shared" si="36"/>
        <v>4.8025909932140655E-2</v>
      </c>
      <c r="AE118" s="425">
        <v>417</v>
      </c>
      <c r="AF118" s="169">
        <v>799</v>
      </c>
      <c r="AG118" s="424">
        <f t="shared" si="40"/>
        <v>1216</v>
      </c>
      <c r="AH118" s="168">
        <f t="shared" si="37"/>
        <v>5.4940711462450595E-2</v>
      </c>
      <c r="AI118" s="168">
        <f t="shared" si="38"/>
        <v>3.2178815948449457E-2</v>
      </c>
      <c r="AJ118" s="426">
        <f t="shared" si="39"/>
        <v>3.7507711289327575E-2</v>
      </c>
    </row>
    <row r="119" spans="1:36" s="166" customFormat="1">
      <c r="A119" s="170" t="s">
        <v>181</v>
      </c>
      <c r="B119" s="532" t="s">
        <v>182</v>
      </c>
      <c r="C119" s="171" t="s">
        <v>272</v>
      </c>
      <c r="D119" s="172">
        <f t="shared" si="29"/>
        <v>70291</v>
      </c>
      <c r="E119" s="172">
        <v>31806</v>
      </c>
      <c r="F119" s="172">
        <v>35400</v>
      </c>
      <c r="G119" s="172">
        <v>3085</v>
      </c>
      <c r="H119" s="172">
        <f t="shared" si="30"/>
        <v>25244</v>
      </c>
      <c r="I119" s="172">
        <v>7895</v>
      </c>
      <c r="J119" s="172">
        <v>15478</v>
      </c>
      <c r="K119" s="172">
        <v>1871</v>
      </c>
      <c r="L119" s="172">
        <f t="shared" si="31"/>
        <v>95535</v>
      </c>
      <c r="M119" s="172">
        <f t="shared" si="31"/>
        <v>39701</v>
      </c>
      <c r="N119" s="172">
        <f t="shared" si="31"/>
        <v>50878</v>
      </c>
      <c r="O119" s="172">
        <f t="shared" si="20"/>
        <v>4956</v>
      </c>
      <c r="P119" s="172">
        <f t="shared" si="32"/>
        <v>95535</v>
      </c>
      <c r="R119" s="173">
        <f t="shared" si="21"/>
        <v>0.7357617627047679</v>
      </c>
      <c r="S119" s="173">
        <f t="shared" si="22"/>
        <v>0.45249036149720445</v>
      </c>
      <c r="T119" s="173">
        <f t="shared" si="23"/>
        <v>0.50362066267374206</v>
      </c>
      <c r="U119" s="173">
        <f t="shared" si="24"/>
        <v>4.3888975829053503E-2</v>
      </c>
      <c r="V119" s="173">
        <f t="shared" si="25"/>
        <v>0.2642382372952321</v>
      </c>
      <c r="W119" s="173">
        <f t="shared" si="26"/>
        <v>0.31274758358421806</v>
      </c>
      <c r="X119" s="173">
        <f t="shared" si="27"/>
        <v>0.61313579464427193</v>
      </c>
      <c r="Y119" s="173">
        <f t="shared" si="28"/>
        <v>7.4116621771510058E-2</v>
      </c>
      <c r="Z119" s="173">
        <f t="shared" si="33"/>
        <v>1</v>
      </c>
      <c r="AA119" s="173">
        <f t="shared" si="34"/>
        <v>0.41556497618673782</v>
      </c>
      <c r="AB119" s="173">
        <f t="shared" si="35"/>
        <v>0.53255874810278958</v>
      </c>
      <c r="AC119" s="173">
        <f t="shared" si="36"/>
        <v>5.1876275710472604E-2</v>
      </c>
      <c r="AE119" s="425">
        <v>1044</v>
      </c>
      <c r="AF119" s="169">
        <v>1875</v>
      </c>
      <c r="AG119" s="424">
        <f t="shared" si="40"/>
        <v>2919</v>
      </c>
      <c r="AH119" s="168">
        <f t="shared" si="37"/>
        <v>4.1356361907780068E-2</v>
      </c>
      <c r="AI119" s="168">
        <f t="shared" si="38"/>
        <v>2.6674823234838031E-2</v>
      </c>
      <c r="AJ119" s="426">
        <f t="shared" si="39"/>
        <v>3.0554247134558014E-2</v>
      </c>
    </row>
    <row r="120" spans="1:36" s="166" customFormat="1">
      <c r="A120" s="170" t="s">
        <v>193</v>
      </c>
      <c r="B120" s="532" t="s">
        <v>194</v>
      </c>
      <c r="C120" s="171" t="s">
        <v>278</v>
      </c>
      <c r="D120" s="172">
        <f t="shared" si="29"/>
        <v>12018</v>
      </c>
      <c r="E120" s="172">
        <v>10584</v>
      </c>
      <c r="F120" s="172">
        <v>912</v>
      </c>
      <c r="G120" s="172">
        <v>522</v>
      </c>
      <c r="H120" s="172">
        <f t="shared" si="30"/>
        <v>4390</v>
      </c>
      <c r="I120" s="172">
        <v>3689</v>
      </c>
      <c r="J120" s="172">
        <v>367</v>
      </c>
      <c r="K120" s="172">
        <v>334</v>
      </c>
      <c r="L120" s="172">
        <f t="shared" si="31"/>
        <v>16408</v>
      </c>
      <c r="M120" s="172">
        <f t="shared" si="31"/>
        <v>14273</v>
      </c>
      <c r="N120" s="172">
        <f t="shared" si="31"/>
        <v>1279</v>
      </c>
      <c r="O120" s="172">
        <f t="shared" si="20"/>
        <v>856</v>
      </c>
      <c r="P120" s="172">
        <f t="shared" si="32"/>
        <v>16408</v>
      </c>
      <c r="R120" s="173">
        <f t="shared" si="21"/>
        <v>0.73244758654314968</v>
      </c>
      <c r="S120" s="173">
        <f t="shared" si="22"/>
        <v>0.8806789815277084</v>
      </c>
      <c r="T120" s="173">
        <f t="shared" si="23"/>
        <v>7.5886170743884179E-2</v>
      </c>
      <c r="U120" s="173">
        <f t="shared" si="24"/>
        <v>4.3434847728407389E-2</v>
      </c>
      <c r="V120" s="173">
        <f t="shared" si="25"/>
        <v>0.26755241345685032</v>
      </c>
      <c r="W120" s="173">
        <f t="shared" si="26"/>
        <v>0.84031890660592257</v>
      </c>
      <c r="X120" s="173">
        <f t="shared" si="27"/>
        <v>8.359908883826879E-2</v>
      </c>
      <c r="Y120" s="173">
        <f t="shared" si="28"/>
        <v>7.6082004555808658E-2</v>
      </c>
      <c r="Z120" s="173">
        <f t="shared" si="33"/>
        <v>1</v>
      </c>
      <c r="AA120" s="173">
        <f t="shared" si="34"/>
        <v>0.86988054607508536</v>
      </c>
      <c r="AB120" s="173">
        <f t="shared" si="35"/>
        <v>7.7949780594831791E-2</v>
      </c>
      <c r="AC120" s="173">
        <f t="shared" si="36"/>
        <v>5.2169673330082884E-2</v>
      </c>
      <c r="AE120" s="425">
        <v>147</v>
      </c>
      <c r="AF120" s="169">
        <v>238</v>
      </c>
      <c r="AG120" s="424">
        <f t="shared" si="40"/>
        <v>385</v>
      </c>
      <c r="AH120" s="168">
        <f t="shared" si="37"/>
        <v>3.348519362186788E-2</v>
      </c>
      <c r="AI120" s="168">
        <f t="shared" si="38"/>
        <v>1.9803627891496089E-2</v>
      </c>
      <c r="AJ120" s="426">
        <f t="shared" si="39"/>
        <v>2.3464163822525596E-2</v>
      </c>
    </row>
    <row r="121" spans="1:36" s="166" customFormat="1">
      <c r="A121" s="170" t="s">
        <v>197</v>
      </c>
      <c r="B121" s="532" t="s">
        <v>391</v>
      </c>
      <c r="C121" s="171" t="s">
        <v>275</v>
      </c>
      <c r="D121" s="172">
        <f t="shared" si="29"/>
        <v>156198</v>
      </c>
      <c r="E121" s="172">
        <v>70290</v>
      </c>
      <c r="F121" s="172">
        <v>73434</v>
      </c>
      <c r="G121" s="172">
        <v>12474</v>
      </c>
      <c r="H121" s="172">
        <f t="shared" si="30"/>
        <v>48016</v>
      </c>
      <c r="I121" s="172">
        <v>12998</v>
      </c>
      <c r="J121" s="172">
        <v>29908</v>
      </c>
      <c r="K121" s="172">
        <v>5110</v>
      </c>
      <c r="L121" s="172">
        <f t="shared" si="31"/>
        <v>204214</v>
      </c>
      <c r="M121" s="172">
        <f t="shared" si="31"/>
        <v>83288</v>
      </c>
      <c r="N121" s="172">
        <f t="shared" si="31"/>
        <v>103342</v>
      </c>
      <c r="O121" s="172">
        <f t="shared" si="20"/>
        <v>17584</v>
      </c>
      <c r="P121" s="172">
        <f t="shared" si="32"/>
        <v>204214</v>
      </c>
      <c r="R121" s="173">
        <f t="shared" si="21"/>
        <v>0.76487410265701661</v>
      </c>
      <c r="S121" s="173">
        <f t="shared" si="22"/>
        <v>0.45000576191756614</v>
      </c>
      <c r="T121" s="173">
        <f t="shared" si="23"/>
        <v>0.47013406061537277</v>
      </c>
      <c r="U121" s="173">
        <f t="shared" si="24"/>
        <v>7.9860177467061033E-2</v>
      </c>
      <c r="V121" s="173">
        <f t="shared" si="25"/>
        <v>0.23512589734298334</v>
      </c>
      <c r="W121" s="173">
        <f t="shared" si="26"/>
        <v>0.27070143285571474</v>
      </c>
      <c r="X121" s="173">
        <f t="shared" si="27"/>
        <v>0.62287570809730086</v>
      </c>
      <c r="Y121" s="173">
        <f t="shared" si="28"/>
        <v>0.10642285904698434</v>
      </c>
      <c r="Z121" s="173">
        <f t="shared" si="33"/>
        <v>1</v>
      </c>
      <c r="AA121" s="173">
        <f t="shared" si="34"/>
        <v>0.40784667064941676</v>
      </c>
      <c r="AB121" s="173">
        <f t="shared" si="35"/>
        <v>0.50604757754120677</v>
      </c>
      <c r="AC121" s="173">
        <f t="shared" si="36"/>
        <v>8.6105751809376435E-2</v>
      </c>
      <c r="AE121" s="425">
        <v>3956</v>
      </c>
      <c r="AF121" s="169">
        <v>8847</v>
      </c>
      <c r="AG121" s="424">
        <f t="shared" si="40"/>
        <v>12803</v>
      </c>
      <c r="AH121" s="168">
        <f t="shared" si="37"/>
        <v>8.2389203598800406E-2</v>
      </c>
      <c r="AI121" s="168">
        <f t="shared" si="38"/>
        <v>5.6639649675411977E-2</v>
      </c>
      <c r="AJ121" s="426">
        <f t="shared" si="39"/>
        <v>6.2694036647830215E-2</v>
      </c>
    </row>
    <row r="122" spans="1:36" s="166" customFormat="1">
      <c r="A122" s="170" t="s">
        <v>201</v>
      </c>
      <c r="B122" s="532" t="s">
        <v>392</v>
      </c>
      <c r="C122" s="171" t="s">
        <v>273</v>
      </c>
      <c r="D122" s="172">
        <f t="shared" si="29"/>
        <v>73716</v>
      </c>
      <c r="E122" s="172">
        <v>50674</v>
      </c>
      <c r="F122" s="172">
        <v>18993</v>
      </c>
      <c r="G122" s="172">
        <v>4049</v>
      </c>
      <c r="H122" s="172">
        <f t="shared" si="30"/>
        <v>23316</v>
      </c>
      <c r="I122" s="172">
        <v>11669</v>
      </c>
      <c r="J122" s="172">
        <v>8619</v>
      </c>
      <c r="K122" s="172">
        <v>3028</v>
      </c>
      <c r="L122" s="172">
        <f t="shared" si="31"/>
        <v>97032</v>
      </c>
      <c r="M122" s="172">
        <f t="shared" si="31"/>
        <v>62343</v>
      </c>
      <c r="N122" s="172">
        <f t="shared" si="31"/>
        <v>27612</v>
      </c>
      <c r="O122" s="172">
        <f t="shared" si="20"/>
        <v>7077</v>
      </c>
      <c r="P122" s="172">
        <f t="shared" si="32"/>
        <v>97032</v>
      </c>
      <c r="R122" s="173">
        <f t="shared" si="21"/>
        <v>0.75970813752164235</v>
      </c>
      <c r="S122" s="173">
        <f t="shared" si="22"/>
        <v>0.68742199793803249</v>
      </c>
      <c r="T122" s="173">
        <f t="shared" si="23"/>
        <v>0.25765098486081717</v>
      </c>
      <c r="U122" s="173">
        <f t="shared" si="24"/>
        <v>5.4927017201150362E-2</v>
      </c>
      <c r="V122" s="173">
        <f t="shared" si="25"/>
        <v>0.24029186247835765</v>
      </c>
      <c r="W122" s="173">
        <f t="shared" si="26"/>
        <v>0.50047177903585516</v>
      </c>
      <c r="X122" s="173">
        <f t="shared" si="27"/>
        <v>0.36966031909418423</v>
      </c>
      <c r="Y122" s="173">
        <f t="shared" si="28"/>
        <v>0.12986790186996056</v>
      </c>
      <c r="Z122" s="173">
        <f t="shared" si="33"/>
        <v>1</v>
      </c>
      <c r="AA122" s="173">
        <f t="shared" si="34"/>
        <v>0.64249938164729159</v>
      </c>
      <c r="AB122" s="173">
        <f t="shared" si="35"/>
        <v>0.28456591639871381</v>
      </c>
      <c r="AC122" s="173">
        <f t="shared" si="36"/>
        <v>7.2934701953994555E-2</v>
      </c>
      <c r="AE122" s="425">
        <v>1946</v>
      </c>
      <c r="AF122" s="169">
        <v>3399</v>
      </c>
      <c r="AG122" s="424">
        <f t="shared" si="40"/>
        <v>5345</v>
      </c>
      <c r="AH122" s="168">
        <f t="shared" si="37"/>
        <v>8.3462000343112019E-2</v>
      </c>
      <c r="AI122" s="168">
        <f t="shared" si="38"/>
        <v>4.6109392804818496E-2</v>
      </c>
      <c r="AJ122" s="426">
        <f t="shared" si="39"/>
        <v>5.5084920438618186E-2</v>
      </c>
    </row>
    <row r="123" spans="1:36" s="166" customFormat="1">
      <c r="A123" s="170" t="s">
        <v>223</v>
      </c>
      <c r="B123" s="532" t="s">
        <v>224</v>
      </c>
      <c r="C123" s="171" t="s">
        <v>272</v>
      </c>
      <c r="D123" s="172">
        <f t="shared" si="29"/>
        <v>60366</v>
      </c>
      <c r="E123" s="172">
        <v>33343</v>
      </c>
      <c r="F123" s="172">
        <v>24635</v>
      </c>
      <c r="G123" s="172">
        <v>2388</v>
      </c>
      <c r="H123" s="172">
        <f t="shared" si="30"/>
        <v>24219</v>
      </c>
      <c r="I123" s="172">
        <v>10854</v>
      </c>
      <c r="J123" s="172">
        <v>11485</v>
      </c>
      <c r="K123" s="172">
        <v>1880</v>
      </c>
      <c r="L123" s="172">
        <f t="shared" ref="L123:O126" si="41">H123+D123</f>
        <v>84585</v>
      </c>
      <c r="M123" s="172">
        <f t="shared" si="41"/>
        <v>44197</v>
      </c>
      <c r="N123" s="172">
        <f t="shared" si="41"/>
        <v>36120</v>
      </c>
      <c r="O123" s="172">
        <f t="shared" si="41"/>
        <v>4268</v>
      </c>
      <c r="P123" s="172">
        <f>L123</f>
        <v>84585</v>
      </c>
      <c r="R123" s="173">
        <f>D123/P123</f>
        <v>0.71367263699237449</v>
      </c>
      <c r="S123" s="173">
        <f>E123/D123</f>
        <v>0.55234734784481332</v>
      </c>
      <c r="T123" s="173">
        <f>F123/D123</f>
        <v>0.40809396017625815</v>
      </c>
      <c r="U123" s="173">
        <f>G123/D123</f>
        <v>3.9558691978928535E-2</v>
      </c>
      <c r="V123" s="173">
        <f>H123/P123</f>
        <v>0.28632736300762546</v>
      </c>
      <c r="W123" s="173">
        <f>I123/H123</f>
        <v>0.44816053511705684</v>
      </c>
      <c r="X123" s="173">
        <f>J123/H123</f>
        <v>0.47421445972170612</v>
      </c>
      <c r="Y123" s="173">
        <f>K123/H123</f>
        <v>7.7625005161237048E-2</v>
      </c>
      <c r="Z123" s="173">
        <f>L123/P123</f>
        <v>1</v>
      </c>
      <c r="AA123" s="173">
        <f>M123/P123</f>
        <v>0.52251581249630552</v>
      </c>
      <c r="AB123" s="173">
        <f>N123/P123</f>
        <v>0.42702606845185315</v>
      </c>
      <c r="AC123" s="173">
        <f>O123/P123</f>
        <v>5.0458119051841346E-2</v>
      </c>
      <c r="AE123" s="425">
        <v>996</v>
      </c>
      <c r="AF123" s="169">
        <v>1419</v>
      </c>
      <c r="AG123" s="424">
        <f t="shared" si="40"/>
        <v>2415</v>
      </c>
      <c r="AH123" s="168">
        <f>AE123/H123</f>
        <v>4.1124736776910691E-2</v>
      </c>
      <c r="AI123" s="168">
        <f>AF123/D123</f>
        <v>2.3506609680946228E-2</v>
      </c>
      <c r="AJ123" s="426">
        <f>AG123/P123</f>
        <v>2.8551161553466927E-2</v>
      </c>
    </row>
    <row r="124" spans="1:36" s="166" customFormat="1">
      <c r="A124" s="170" t="s">
        <v>231</v>
      </c>
      <c r="B124" s="532" t="s">
        <v>232</v>
      </c>
      <c r="C124" s="171" t="s">
        <v>272</v>
      </c>
      <c r="D124" s="172">
        <f t="shared" si="29"/>
        <v>320931</v>
      </c>
      <c r="E124" s="172">
        <v>226625</v>
      </c>
      <c r="F124" s="172">
        <v>58666</v>
      </c>
      <c r="G124" s="172">
        <v>35640</v>
      </c>
      <c r="H124" s="172">
        <f t="shared" si="30"/>
        <v>117063</v>
      </c>
      <c r="I124" s="172">
        <v>70045</v>
      </c>
      <c r="J124" s="172">
        <v>27269</v>
      </c>
      <c r="K124" s="172">
        <v>19749</v>
      </c>
      <c r="L124" s="172">
        <f t="shared" si="41"/>
        <v>437994</v>
      </c>
      <c r="M124" s="172">
        <f t="shared" si="41"/>
        <v>296670</v>
      </c>
      <c r="N124" s="172">
        <f t="shared" si="41"/>
        <v>85935</v>
      </c>
      <c r="O124" s="172">
        <f t="shared" si="41"/>
        <v>55389</v>
      </c>
      <c r="P124" s="172">
        <f>L124</f>
        <v>437994</v>
      </c>
      <c r="R124" s="173">
        <f>D124/P124</f>
        <v>0.73272921546870506</v>
      </c>
      <c r="S124" s="173">
        <f>E124/D124</f>
        <v>0.70614867370244694</v>
      </c>
      <c r="T124" s="173">
        <f>F124/D124</f>
        <v>0.18279941794342086</v>
      </c>
      <c r="U124" s="173">
        <f>G124/D124</f>
        <v>0.1110519083541322</v>
      </c>
      <c r="V124" s="173">
        <f>H124/P124</f>
        <v>0.26727078453129494</v>
      </c>
      <c r="W124" s="173">
        <f>I124/H124</f>
        <v>0.59835302358559062</v>
      </c>
      <c r="X124" s="173">
        <f>J124/H124</f>
        <v>0.23294294525170209</v>
      </c>
      <c r="Y124" s="173">
        <f>K124/H124</f>
        <v>0.16870403116270727</v>
      </c>
      <c r="Z124" s="173">
        <f>L124/P124</f>
        <v>1</v>
      </c>
      <c r="AA124" s="173">
        <f>M124/P124</f>
        <v>0.67733804572665379</v>
      </c>
      <c r="AB124" s="173">
        <f>N124/P124</f>
        <v>0.19620131782627159</v>
      </c>
      <c r="AC124" s="173">
        <f>O124/P124</f>
        <v>0.12646063644707461</v>
      </c>
      <c r="AE124" s="425">
        <v>11224</v>
      </c>
      <c r="AF124" s="169">
        <v>17763</v>
      </c>
      <c r="AG124" s="424">
        <f t="shared" si="40"/>
        <v>28987</v>
      </c>
      <c r="AH124" s="168">
        <f>AE124/H124</f>
        <v>9.5879996241340137E-2</v>
      </c>
      <c r="AI124" s="168">
        <f>AF124/D124</f>
        <v>5.5348345906129352E-2</v>
      </c>
      <c r="AJ124" s="426">
        <f>AG124/P124</f>
        <v>6.6181271889569265E-2</v>
      </c>
    </row>
    <row r="125" spans="1:36" s="166" customFormat="1">
      <c r="A125" s="170" t="s">
        <v>239</v>
      </c>
      <c r="B125" s="532" t="s">
        <v>240</v>
      </c>
      <c r="C125" s="171" t="s">
        <v>272</v>
      </c>
      <c r="D125" s="172">
        <f t="shared" si="29"/>
        <v>10568</v>
      </c>
      <c r="E125" s="172">
        <v>8012</v>
      </c>
      <c r="F125" s="172">
        <v>1413</v>
      </c>
      <c r="G125" s="172">
        <v>1143</v>
      </c>
      <c r="H125" s="172">
        <f t="shared" si="30"/>
        <v>3500</v>
      </c>
      <c r="I125" s="172">
        <v>2395</v>
      </c>
      <c r="J125" s="172">
        <v>555</v>
      </c>
      <c r="K125" s="172">
        <v>550</v>
      </c>
      <c r="L125" s="172">
        <f t="shared" si="41"/>
        <v>14068</v>
      </c>
      <c r="M125" s="172">
        <f t="shared" si="41"/>
        <v>10407</v>
      </c>
      <c r="N125" s="172">
        <f t="shared" si="41"/>
        <v>1968</v>
      </c>
      <c r="O125" s="172">
        <f t="shared" si="41"/>
        <v>1693</v>
      </c>
      <c r="P125" s="172">
        <f>L125</f>
        <v>14068</v>
      </c>
      <c r="R125" s="173">
        <f>D125/P125</f>
        <v>0.75120841626386126</v>
      </c>
      <c r="S125" s="173">
        <f>E125/D125</f>
        <v>0.7581377744133232</v>
      </c>
      <c r="T125" s="173">
        <f>F125/D125</f>
        <v>0.13370552611657835</v>
      </c>
      <c r="U125" s="173">
        <f>G125/D125</f>
        <v>0.10815669947009841</v>
      </c>
      <c r="V125" s="173">
        <f>H125/P125</f>
        <v>0.24879158373613874</v>
      </c>
      <c r="W125" s="173">
        <f>I125/H125</f>
        <v>0.68428571428571427</v>
      </c>
      <c r="X125" s="173">
        <f>J125/H125</f>
        <v>0.15857142857142856</v>
      </c>
      <c r="Y125" s="173">
        <f>K125/H125</f>
        <v>0.15714285714285714</v>
      </c>
      <c r="Z125" s="173">
        <f>L125/P125</f>
        <v>1</v>
      </c>
      <c r="AA125" s="173">
        <f>M125/P125</f>
        <v>0.73976400341199888</v>
      </c>
      <c r="AB125" s="173">
        <f>N125/P125</f>
        <v>0.13989195336934887</v>
      </c>
      <c r="AC125" s="173">
        <f>O125/P125</f>
        <v>0.12034404321865226</v>
      </c>
      <c r="AE125" s="425">
        <v>343</v>
      </c>
      <c r="AF125" s="169">
        <v>598</v>
      </c>
      <c r="AG125" s="424">
        <f t="shared" si="40"/>
        <v>941</v>
      </c>
      <c r="AH125" s="168">
        <f>AE125/H125</f>
        <v>9.8000000000000004E-2</v>
      </c>
      <c r="AI125" s="168">
        <f>AF125/D125</f>
        <v>5.658591975775927E-2</v>
      </c>
      <c r="AJ125" s="426">
        <f>AG125/P125</f>
        <v>6.6889394370201874E-2</v>
      </c>
    </row>
    <row r="126" spans="1:36" s="166" customFormat="1">
      <c r="A126" s="174" t="s">
        <v>241</v>
      </c>
      <c r="B126" s="534" t="s">
        <v>242</v>
      </c>
      <c r="C126" s="175" t="s">
        <v>276</v>
      </c>
      <c r="D126" s="176">
        <f t="shared" si="29"/>
        <v>19328</v>
      </c>
      <c r="E126" s="176">
        <v>15121</v>
      </c>
      <c r="F126" s="176">
        <v>1991</v>
      </c>
      <c r="G126" s="176">
        <v>2216</v>
      </c>
      <c r="H126" s="176">
        <f t="shared" si="30"/>
        <v>6875</v>
      </c>
      <c r="I126" s="176">
        <v>4411</v>
      </c>
      <c r="J126" s="176">
        <v>873</v>
      </c>
      <c r="K126" s="176">
        <v>1591</v>
      </c>
      <c r="L126" s="176">
        <f t="shared" si="41"/>
        <v>26203</v>
      </c>
      <c r="M126" s="176">
        <f t="shared" si="41"/>
        <v>19532</v>
      </c>
      <c r="N126" s="176">
        <f t="shared" si="41"/>
        <v>2864</v>
      </c>
      <c r="O126" s="176">
        <f t="shared" si="41"/>
        <v>3807</v>
      </c>
      <c r="P126" s="176">
        <f>L126</f>
        <v>26203</v>
      </c>
      <c r="R126" s="177">
        <f>D126/P126</f>
        <v>0.73762546273327478</v>
      </c>
      <c r="S126" s="177">
        <f>E126/D126</f>
        <v>0.78233650662251653</v>
      </c>
      <c r="T126" s="177">
        <f>F126/D126</f>
        <v>0.10301117549668874</v>
      </c>
      <c r="U126" s="177">
        <f>G126/D126</f>
        <v>0.1146523178807947</v>
      </c>
      <c r="V126" s="177">
        <f>H126/P126</f>
        <v>0.26237453726672516</v>
      </c>
      <c r="W126" s="177">
        <f>I126/H126</f>
        <v>0.64159999999999995</v>
      </c>
      <c r="X126" s="177">
        <f>J126/H126</f>
        <v>0.1269818181818182</v>
      </c>
      <c r="Y126" s="177">
        <f>K126/H126</f>
        <v>0.23141818181818183</v>
      </c>
      <c r="Z126" s="177">
        <f>L126/P126</f>
        <v>1</v>
      </c>
      <c r="AA126" s="177">
        <f>M126/P126</f>
        <v>0.74541083082089832</v>
      </c>
      <c r="AB126" s="177">
        <f>N126/P126</f>
        <v>0.10930046177918559</v>
      </c>
      <c r="AC126" s="177">
        <f>O126/P126</f>
        <v>0.14528870739991603</v>
      </c>
      <c r="AE126" s="428">
        <v>1629</v>
      </c>
      <c r="AF126" s="504">
        <v>2412</v>
      </c>
      <c r="AG126" s="427">
        <f t="shared" si="40"/>
        <v>4041</v>
      </c>
      <c r="AH126" s="505">
        <f>AE126/H126</f>
        <v>0.23694545454545454</v>
      </c>
      <c r="AI126" s="505">
        <f>AF126/D126</f>
        <v>0.1247930463576159</v>
      </c>
      <c r="AJ126" s="429">
        <f>AG126/P126</f>
        <v>0.15421898255924893</v>
      </c>
    </row>
    <row r="127" spans="1:36">
      <c r="B127" s="147"/>
      <c r="C127" s="147"/>
    </row>
    <row r="128" spans="1:36">
      <c r="A128" s="828" t="s">
        <v>1024</v>
      </c>
      <c r="C128" s="147"/>
    </row>
    <row r="129" spans="1:3">
      <c r="B129" s="147"/>
      <c r="C129" s="147"/>
    </row>
    <row r="130" spans="1:3" s="519" customFormat="1">
      <c r="A130" s="519" t="s">
        <v>250</v>
      </c>
    </row>
    <row r="131" spans="1:3" s="519" customFormat="1">
      <c r="A131" s="536" t="s">
        <v>251</v>
      </c>
      <c r="B131" s="407" t="s">
        <v>252</v>
      </c>
    </row>
    <row r="132" spans="1:3">
      <c r="B132" s="147"/>
      <c r="C132" s="147"/>
    </row>
    <row r="133" spans="1:3">
      <c r="B133" s="147"/>
      <c r="C133" s="147"/>
    </row>
    <row r="134" spans="1:3">
      <c r="B134" s="147"/>
      <c r="C134" s="147"/>
    </row>
    <row r="135" spans="1:3">
      <c r="B135" s="147"/>
      <c r="C135" s="147"/>
    </row>
  </sheetData>
  <mergeCells count="8">
    <mergeCell ref="AE4:AG4"/>
    <mergeCell ref="AH4:AJ4"/>
    <mergeCell ref="D4:G4"/>
    <mergeCell ref="H4:K4"/>
    <mergeCell ref="L4:O4"/>
    <mergeCell ref="R4:U4"/>
    <mergeCell ref="V4:Y4"/>
    <mergeCell ref="Z4:AC4"/>
  </mergeCells>
  <hyperlinks>
    <hyperlink ref="B131" r:id="rId1"/>
  </hyperlinks>
  <pageMargins left="0.7" right="0.7" top="0.75" bottom="0.75" header="0.3" footer="0.3"/>
  <pageSetup orientation="portrait" r:id="rId2"/>
</worksheet>
</file>

<file path=xl/worksheets/sheet7.xml><?xml version="1.0" encoding="utf-8"?>
<worksheet xmlns="http://schemas.openxmlformats.org/spreadsheetml/2006/main" xmlns:r="http://schemas.openxmlformats.org/officeDocument/2006/relationships">
  <dimension ref="A1:AM128"/>
  <sheetViews>
    <sheetView workbookViewId="0">
      <pane xSplit="2" ySplit="4" topLeftCell="C30" activePane="bottomRight" state="frozen"/>
      <selection pane="topRight" activeCell="C1" sqref="C1"/>
      <selection pane="bottomLeft" activeCell="A5" sqref="A5"/>
      <selection pane="bottomRight" activeCell="C45" sqref="C45"/>
    </sheetView>
  </sheetViews>
  <sheetFormatPr defaultColWidth="6.5" defaultRowHeight="12.75"/>
  <cols>
    <col min="1" max="1" width="5" style="1120" bestFit="1" customWidth="1"/>
    <col min="2" max="2" width="32.75" style="1120" customWidth="1"/>
    <col min="3" max="3" width="9.5" style="1120" bestFit="1" customWidth="1"/>
    <col min="4" max="4" width="6.125" style="1120" bestFit="1" customWidth="1"/>
    <col min="5" max="18" width="5.75" style="1120" bestFit="1" customWidth="1"/>
    <col min="19" max="22" width="5" style="1120" bestFit="1" customWidth="1"/>
    <col min="23" max="23" width="5.375" style="1120" bestFit="1" customWidth="1"/>
    <col min="24" max="24" width="9" style="1120" customWidth="1"/>
    <col min="25" max="25" width="5.75" style="1120" bestFit="1" customWidth="1"/>
    <col min="26" max="26" width="6.625" style="1120" bestFit="1" customWidth="1"/>
    <col min="27" max="28" width="5.75" style="1120" bestFit="1" customWidth="1"/>
    <col min="29" max="30" width="6.625" style="1120" bestFit="1" customWidth="1"/>
    <col min="31" max="33" width="5.75" style="1120" bestFit="1" customWidth="1"/>
    <col min="34" max="34" width="5" style="1120" bestFit="1" customWidth="1"/>
    <col min="35" max="35" width="5" style="1120" customWidth="1"/>
    <col min="36" max="36" width="9" style="1120" customWidth="1"/>
    <col min="37" max="37" width="6.75" style="1120" bestFit="1" customWidth="1"/>
    <col min="38" max="38" width="6.625" style="1120" bestFit="1" customWidth="1"/>
    <col min="39" max="254" width="9" style="1120" customWidth="1"/>
    <col min="255" max="255" width="5" style="1120" bestFit="1" customWidth="1"/>
    <col min="256" max="256" width="6.5" style="1120" bestFit="1"/>
    <col min="257" max="16384" width="6.5" style="1120"/>
  </cols>
  <sheetData>
    <row r="1" spans="1:39">
      <c r="A1" s="184"/>
      <c r="B1" s="184"/>
      <c r="C1" s="1119" t="s">
        <v>1042</v>
      </c>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row>
    <row r="2" spans="1:39">
      <c r="A2" s="184"/>
      <c r="B2" s="184"/>
      <c r="C2" s="184"/>
      <c r="D2" s="184"/>
      <c r="E2" s="184"/>
      <c r="F2" s="184"/>
      <c r="G2" s="184"/>
      <c r="H2" s="184"/>
      <c r="I2" s="184"/>
      <c r="J2" s="184"/>
      <c r="K2" s="184"/>
      <c r="L2" s="184"/>
      <c r="M2" s="184"/>
      <c r="N2" s="184"/>
      <c r="O2" s="184"/>
      <c r="P2" s="184"/>
      <c r="Q2" s="184"/>
      <c r="R2" s="184"/>
      <c r="S2" s="184"/>
      <c r="T2" s="184"/>
      <c r="U2" s="184"/>
      <c r="V2" s="184"/>
      <c r="W2" s="184"/>
      <c r="X2" s="184"/>
      <c r="Y2" s="1121" t="s">
        <v>1043</v>
      </c>
      <c r="Z2" s="1122"/>
      <c r="AA2" s="1122"/>
      <c r="AB2" s="1122"/>
      <c r="AC2" s="1122"/>
      <c r="AD2" s="1122"/>
      <c r="AE2" s="1122"/>
      <c r="AF2" s="1122"/>
      <c r="AG2" s="1122"/>
      <c r="AH2" s="1122"/>
      <c r="AI2" s="1122"/>
    </row>
    <row r="3" spans="1:39">
      <c r="A3" s="1119"/>
      <c r="B3" s="1119"/>
      <c r="C3" s="1119" t="s">
        <v>328</v>
      </c>
      <c r="D3" s="1119" t="s">
        <v>1044</v>
      </c>
      <c r="Y3" s="1119"/>
      <c r="Z3" s="1119"/>
      <c r="AA3" s="1119"/>
      <c r="AB3" s="1119"/>
      <c r="AC3" s="1119"/>
      <c r="AD3" s="1119"/>
      <c r="AE3" s="1119"/>
      <c r="AF3" s="1119"/>
      <c r="AG3" s="1119"/>
      <c r="AH3" s="1119"/>
      <c r="AI3" s="1119"/>
      <c r="AK3" s="1120" t="s">
        <v>7</v>
      </c>
      <c r="AL3" s="1120" t="s">
        <v>6</v>
      </c>
    </row>
    <row r="4" spans="1:39" s="1125" customFormat="1" ht="25.5">
      <c r="A4" s="1123" t="s">
        <v>4</v>
      </c>
      <c r="B4" s="1123" t="s">
        <v>5</v>
      </c>
      <c r="C4" s="1123" t="s">
        <v>825</v>
      </c>
      <c r="D4" s="1124" t="s">
        <v>1045</v>
      </c>
      <c r="E4" s="1123" t="s">
        <v>1046</v>
      </c>
      <c r="F4" s="1123" t="s">
        <v>1047</v>
      </c>
      <c r="G4" s="1123" t="s">
        <v>1048</v>
      </c>
      <c r="H4" s="1123" t="s">
        <v>1049</v>
      </c>
      <c r="I4" s="1123" t="s">
        <v>1050</v>
      </c>
      <c r="J4" s="1123" t="s">
        <v>1051</v>
      </c>
      <c r="K4" s="1123" t="s">
        <v>1052</v>
      </c>
      <c r="L4" s="1123" t="s">
        <v>1053</v>
      </c>
      <c r="M4" s="1123" t="s">
        <v>1054</v>
      </c>
      <c r="N4" s="1123" t="s">
        <v>1055</v>
      </c>
      <c r="O4" s="1123" t="s">
        <v>1056</v>
      </c>
      <c r="P4" s="1123" t="s">
        <v>1057</v>
      </c>
      <c r="Q4" s="1123" t="s">
        <v>1058</v>
      </c>
      <c r="R4" s="1123" t="s">
        <v>1059</v>
      </c>
      <c r="S4" s="1123" t="s">
        <v>1060</v>
      </c>
      <c r="T4" s="1123" t="s">
        <v>1061</v>
      </c>
      <c r="U4" s="1123" t="s">
        <v>1062</v>
      </c>
      <c r="V4" s="1123" t="s">
        <v>1063</v>
      </c>
      <c r="W4" s="1123" t="s">
        <v>1108</v>
      </c>
      <c r="Y4" s="1126" t="s">
        <v>1064</v>
      </c>
      <c r="Z4" s="1126" t="s">
        <v>1065</v>
      </c>
      <c r="AA4" s="1126" t="s">
        <v>1066</v>
      </c>
      <c r="AB4" s="1126" t="s">
        <v>1051</v>
      </c>
      <c r="AC4" s="1126" t="s">
        <v>1067</v>
      </c>
      <c r="AD4" s="1126" t="s">
        <v>1068</v>
      </c>
      <c r="AE4" s="1126" t="s">
        <v>1069</v>
      </c>
      <c r="AF4" s="1126" t="s">
        <v>1070</v>
      </c>
      <c r="AG4" s="1126" t="s">
        <v>1071</v>
      </c>
      <c r="AH4" s="1126" t="s">
        <v>1072</v>
      </c>
      <c r="AI4" s="1126" t="s">
        <v>1073</v>
      </c>
      <c r="AK4" s="1126" t="s">
        <v>1074</v>
      </c>
      <c r="AL4" s="1126" t="s">
        <v>1075</v>
      </c>
    </row>
    <row r="5" spans="1:39">
      <c r="A5" s="1120">
        <v>1</v>
      </c>
      <c r="B5" s="184" t="s">
        <v>676</v>
      </c>
      <c r="C5" s="1127">
        <v>2850</v>
      </c>
      <c r="D5" s="1127">
        <v>74</v>
      </c>
      <c r="E5" s="1127">
        <v>359</v>
      </c>
      <c r="F5" s="1127">
        <v>310</v>
      </c>
      <c r="G5" s="1127">
        <v>230</v>
      </c>
      <c r="H5" s="1127">
        <v>137</v>
      </c>
      <c r="I5" s="1127">
        <v>93</v>
      </c>
      <c r="J5" s="1127">
        <v>298</v>
      </c>
      <c r="K5" s="1127">
        <v>355</v>
      </c>
      <c r="L5" s="1127">
        <v>293</v>
      </c>
      <c r="M5" s="1127">
        <v>227</v>
      </c>
      <c r="N5" s="1127">
        <v>169</v>
      </c>
      <c r="O5" s="1127">
        <v>101</v>
      </c>
      <c r="P5" s="1127">
        <v>65</v>
      </c>
      <c r="Q5" s="1127">
        <v>53</v>
      </c>
      <c r="R5" s="1127">
        <v>35</v>
      </c>
      <c r="S5" s="1127">
        <v>16</v>
      </c>
      <c r="T5" s="1127">
        <v>16</v>
      </c>
      <c r="U5" s="1127">
        <v>8</v>
      </c>
      <c r="V5" s="1127">
        <v>4</v>
      </c>
      <c r="W5" s="1127">
        <v>7</v>
      </c>
      <c r="X5" s="1127"/>
      <c r="Y5" s="1127">
        <v>433</v>
      </c>
      <c r="Z5" s="1127">
        <v>540</v>
      </c>
      <c r="AA5" s="1127">
        <v>230</v>
      </c>
      <c r="AB5" s="1127">
        <v>298</v>
      </c>
      <c r="AC5" s="1127">
        <v>648</v>
      </c>
      <c r="AD5" s="1127">
        <v>396</v>
      </c>
      <c r="AE5" s="1127">
        <v>166</v>
      </c>
      <c r="AF5" s="1127">
        <v>88</v>
      </c>
      <c r="AG5" s="1127">
        <v>32</v>
      </c>
      <c r="AH5" s="1127">
        <v>12</v>
      </c>
      <c r="AI5" s="1127">
        <v>7</v>
      </c>
      <c r="AJ5" s="1127"/>
      <c r="AK5" s="1127">
        <f>SUM(D5:I5)</f>
        <v>1203</v>
      </c>
      <c r="AL5" s="1127">
        <f>SUM(J5:W5)</f>
        <v>1647</v>
      </c>
    </row>
    <row r="6" spans="1:39">
      <c r="A6" s="1120">
        <v>3</v>
      </c>
      <c r="B6" s="184" t="s">
        <v>677</v>
      </c>
      <c r="C6" s="1127">
        <v>5417</v>
      </c>
      <c r="D6" s="1127">
        <v>138</v>
      </c>
      <c r="E6" s="1127">
        <v>536</v>
      </c>
      <c r="F6" s="1127">
        <v>470</v>
      </c>
      <c r="G6" s="1127">
        <v>356</v>
      </c>
      <c r="H6" s="1127">
        <v>224</v>
      </c>
      <c r="I6" s="1127">
        <v>329</v>
      </c>
      <c r="J6" s="1127">
        <v>642</v>
      </c>
      <c r="K6" s="1127">
        <v>639</v>
      </c>
      <c r="L6" s="1127">
        <v>582</v>
      </c>
      <c r="M6" s="1127">
        <v>449</v>
      </c>
      <c r="N6" s="1127">
        <v>333</v>
      </c>
      <c r="O6" s="1127">
        <v>257</v>
      </c>
      <c r="P6" s="1127">
        <v>168</v>
      </c>
      <c r="Q6" s="1127">
        <v>92</v>
      </c>
      <c r="R6" s="1127">
        <v>68</v>
      </c>
      <c r="S6" s="1127">
        <v>49</v>
      </c>
      <c r="T6" s="1127">
        <v>30</v>
      </c>
      <c r="U6" s="1127">
        <v>24</v>
      </c>
      <c r="V6" s="1127">
        <v>21</v>
      </c>
      <c r="W6" s="1127">
        <v>10</v>
      </c>
      <c r="X6" s="1127"/>
      <c r="Y6" s="1127">
        <v>674</v>
      </c>
      <c r="Z6" s="1127">
        <v>826</v>
      </c>
      <c r="AA6" s="1127">
        <v>553</v>
      </c>
      <c r="AB6" s="1127">
        <v>642</v>
      </c>
      <c r="AC6" s="1127">
        <v>1221</v>
      </c>
      <c r="AD6" s="1127">
        <v>782</v>
      </c>
      <c r="AE6" s="1127">
        <v>425</v>
      </c>
      <c r="AF6" s="1127">
        <v>160</v>
      </c>
      <c r="AG6" s="1127">
        <v>79</v>
      </c>
      <c r="AH6" s="1127">
        <v>45</v>
      </c>
      <c r="AI6" s="1127">
        <v>10</v>
      </c>
      <c r="AJ6" s="1127"/>
      <c r="AK6" s="1127">
        <f>SUM(D6:I6)</f>
        <v>2053</v>
      </c>
      <c r="AL6" s="1127">
        <f>SUM(J6:W6)</f>
        <v>3364</v>
      </c>
    </row>
    <row r="7" spans="1:39">
      <c r="A7" s="1120">
        <v>5</v>
      </c>
      <c r="B7" s="184" t="s">
        <v>1115</v>
      </c>
      <c r="C7" s="1127">
        <v>268</v>
      </c>
      <c r="D7" s="1127">
        <v>5</v>
      </c>
      <c r="E7" s="1127">
        <v>18</v>
      </c>
      <c r="F7" s="1127">
        <v>28</v>
      </c>
      <c r="G7" s="1127">
        <v>31</v>
      </c>
      <c r="H7" s="1127">
        <v>15</v>
      </c>
      <c r="I7" s="1127">
        <v>5</v>
      </c>
      <c r="J7" s="1127">
        <v>19</v>
      </c>
      <c r="K7" s="1127">
        <v>20</v>
      </c>
      <c r="L7" s="1127">
        <v>15</v>
      </c>
      <c r="M7" s="1127">
        <v>24</v>
      </c>
      <c r="N7" s="1127">
        <v>13</v>
      </c>
      <c r="O7" s="1127">
        <v>16</v>
      </c>
      <c r="P7" s="1127">
        <v>11</v>
      </c>
      <c r="Q7" s="1127">
        <v>11</v>
      </c>
      <c r="R7" s="1127">
        <v>8</v>
      </c>
      <c r="S7" s="1127">
        <v>13</v>
      </c>
      <c r="T7" s="1127">
        <v>10</v>
      </c>
      <c r="U7" s="1127">
        <v>2</v>
      </c>
      <c r="V7" s="1127">
        <v>2</v>
      </c>
      <c r="W7" s="1127">
        <v>2</v>
      </c>
      <c r="X7" s="1127"/>
      <c r="Y7" s="1127">
        <v>23</v>
      </c>
      <c r="Z7" s="1127">
        <v>59</v>
      </c>
      <c r="AA7" s="1127">
        <v>20</v>
      </c>
      <c r="AB7" s="1127">
        <v>19</v>
      </c>
      <c r="AC7" s="1127">
        <v>35</v>
      </c>
      <c r="AD7" s="1127">
        <v>37</v>
      </c>
      <c r="AE7" s="1127">
        <v>27</v>
      </c>
      <c r="AF7" s="1127">
        <v>19</v>
      </c>
      <c r="AG7" s="1127">
        <v>23</v>
      </c>
      <c r="AH7" s="1127">
        <v>4</v>
      </c>
      <c r="AI7" s="1127">
        <v>2</v>
      </c>
      <c r="AJ7" s="1127"/>
      <c r="AK7" s="1127">
        <v>102</v>
      </c>
      <c r="AL7" s="1127">
        <v>166</v>
      </c>
    </row>
    <row r="8" spans="1:39">
      <c r="A8" s="1120">
        <v>7</v>
      </c>
      <c r="B8" s="184" t="s">
        <v>678</v>
      </c>
      <c r="C8" s="1127">
        <v>290</v>
      </c>
      <c r="D8" s="1127">
        <v>6</v>
      </c>
      <c r="E8" s="1127">
        <v>23</v>
      </c>
      <c r="F8" s="1127">
        <v>41</v>
      </c>
      <c r="G8" s="1127">
        <v>17</v>
      </c>
      <c r="H8" s="1127">
        <v>10</v>
      </c>
      <c r="I8" s="1127">
        <v>10</v>
      </c>
      <c r="J8" s="1127">
        <v>28</v>
      </c>
      <c r="K8" s="1127">
        <v>33</v>
      </c>
      <c r="L8" s="1127">
        <v>32</v>
      </c>
      <c r="M8" s="1127">
        <v>18</v>
      </c>
      <c r="N8" s="1127">
        <v>27</v>
      </c>
      <c r="O8" s="1127">
        <v>9</v>
      </c>
      <c r="P8" s="1127">
        <v>11</v>
      </c>
      <c r="Q8" s="1127">
        <v>5</v>
      </c>
      <c r="R8" s="1127">
        <v>7</v>
      </c>
      <c r="S8" s="1127">
        <v>5</v>
      </c>
      <c r="T8" s="1127">
        <v>4</v>
      </c>
      <c r="U8" s="1127">
        <v>3</v>
      </c>
      <c r="V8" s="1127">
        <v>1</v>
      </c>
      <c r="W8" s="1127">
        <v>0</v>
      </c>
      <c r="X8" s="1127"/>
      <c r="Y8" s="1127">
        <v>29</v>
      </c>
      <c r="Z8" s="1127">
        <v>58</v>
      </c>
      <c r="AA8" s="1127">
        <v>20</v>
      </c>
      <c r="AB8" s="1127">
        <v>28</v>
      </c>
      <c r="AC8" s="1127">
        <v>65</v>
      </c>
      <c r="AD8" s="1127">
        <v>45</v>
      </c>
      <c r="AE8" s="1127">
        <v>20</v>
      </c>
      <c r="AF8" s="1127">
        <v>12</v>
      </c>
      <c r="AG8" s="1127">
        <v>9</v>
      </c>
      <c r="AH8" s="1127">
        <v>4</v>
      </c>
      <c r="AI8" s="1127">
        <v>0</v>
      </c>
      <c r="AJ8" s="1127"/>
      <c r="AK8" s="1127">
        <f>SUM(D8:I8)</f>
        <v>107</v>
      </c>
      <c r="AL8" s="1127">
        <f>SUM(J8:W8)</f>
        <v>183</v>
      </c>
    </row>
    <row r="9" spans="1:39">
      <c r="A9" s="1120">
        <v>9</v>
      </c>
      <c r="B9" s="184" t="s">
        <v>679</v>
      </c>
      <c r="C9" s="1127">
        <v>625</v>
      </c>
      <c r="D9" s="1127">
        <v>8</v>
      </c>
      <c r="E9" s="1127">
        <v>39</v>
      </c>
      <c r="F9" s="1127">
        <v>62</v>
      </c>
      <c r="G9" s="1127">
        <v>60</v>
      </c>
      <c r="H9" s="1127">
        <v>33</v>
      </c>
      <c r="I9" s="1127">
        <v>47</v>
      </c>
      <c r="J9" s="1127">
        <v>81</v>
      </c>
      <c r="K9" s="1127">
        <v>56</v>
      </c>
      <c r="L9" s="1127">
        <v>53</v>
      </c>
      <c r="M9" s="1127">
        <v>38</v>
      </c>
      <c r="N9" s="1127">
        <v>35</v>
      </c>
      <c r="O9" s="1127">
        <v>31</v>
      </c>
      <c r="P9" s="1127">
        <v>23</v>
      </c>
      <c r="Q9" s="1127">
        <v>9</v>
      </c>
      <c r="R9" s="1127">
        <v>10</v>
      </c>
      <c r="S9" s="1127">
        <v>7</v>
      </c>
      <c r="T9" s="1127">
        <v>15</v>
      </c>
      <c r="U9" s="1127">
        <v>8</v>
      </c>
      <c r="V9" s="1127">
        <v>5</v>
      </c>
      <c r="W9" s="1127">
        <v>5</v>
      </c>
      <c r="X9" s="1127"/>
      <c r="Y9" s="1127">
        <v>47</v>
      </c>
      <c r="Z9" s="1127">
        <v>122</v>
      </c>
      <c r="AA9" s="1127">
        <v>80</v>
      </c>
      <c r="AB9" s="1127">
        <v>81</v>
      </c>
      <c r="AC9" s="1127">
        <v>109</v>
      </c>
      <c r="AD9" s="1127">
        <v>73</v>
      </c>
      <c r="AE9" s="1127">
        <v>54</v>
      </c>
      <c r="AF9" s="1127">
        <v>19</v>
      </c>
      <c r="AG9" s="1127">
        <v>22</v>
      </c>
      <c r="AH9" s="1127">
        <v>13</v>
      </c>
      <c r="AI9" s="1127">
        <v>5</v>
      </c>
      <c r="AJ9" s="1127"/>
      <c r="AK9" s="1127">
        <f>SUM(D9:I9)</f>
        <v>249</v>
      </c>
      <c r="AL9" s="1127">
        <f>SUM(J9:W9)</f>
        <v>376</v>
      </c>
    </row>
    <row r="10" spans="1:39">
      <c r="A10" s="1120">
        <v>11</v>
      </c>
      <c r="B10" s="184" t="s">
        <v>680</v>
      </c>
      <c r="C10" s="1127">
        <v>167</v>
      </c>
      <c r="D10" s="1127">
        <v>3</v>
      </c>
      <c r="E10" s="1127">
        <v>8</v>
      </c>
      <c r="F10" s="1127">
        <v>13</v>
      </c>
      <c r="G10" s="1127">
        <v>24</v>
      </c>
      <c r="H10" s="1127">
        <v>10</v>
      </c>
      <c r="I10" s="1127">
        <v>6</v>
      </c>
      <c r="J10" s="1127">
        <v>18</v>
      </c>
      <c r="K10" s="1127">
        <v>9</v>
      </c>
      <c r="L10" s="1127">
        <v>10</v>
      </c>
      <c r="M10" s="1127">
        <v>6</v>
      </c>
      <c r="N10" s="1127">
        <v>9</v>
      </c>
      <c r="O10" s="1127">
        <v>14</v>
      </c>
      <c r="P10" s="1127">
        <v>7</v>
      </c>
      <c r="Q10" s="1127">
        <v>9</v>
      </c>
      <c r="R10" s="1127">
        <v>9</v>
      </c>
      <c r="S10" s="1127">
        <v>2</v>
      </c>
      <c r="T10" s="1127">
        <v>5</v>
      </c>
      <c r="U10" s="1127">
        <v>2</v>
      </c>
      <c r="V10" s="1127">
        <v>0</v>
      </c>
      <c r="W10" s="1127">
        <v>3</v>
      </c>
      <c r="X10" s="1127"/>
      <c r="Y10" s="1127">
        <v>11</v>
      </c>
      <c r="Z10" s="1127">
        <v>37</v>
      </c>
      <c r="AA10" s="1127">
        <v>16</v>
      </c>
      <c r="AB10" s="1127">
        <v>18</v>
      </c>
      <c r="AC10" s="1127">
        <v>19</v>
      </c>
      <c r="AD10" s="1127">
        <v>15</v>
      </c>
      <c r="AE10" s="1127">
        <v>21</v>
      </c>
      <c r="AF10" s="1127">
        <v>18</v>
      </c>
      <c r="AG10" s="1127">
        <v>7</v>
      </c>
      <c r="AH10" s="1127">
        <v>2</v>
      </c>
      <c r="AI10" s="1127">
        <v>3</v>
      </c>
      <c r="AJ10" s="1127"/>
      <c r="AK10" s="1127">
        <f>SUM(D10:I10)</f>
        <v>64</v>
      </c>
      <c r="AL10" s="1127">
        <f>SUM(J10:W10)</f>
        <v>103</v>
      </c>
    </row>
    <row r="11" spans="1:39">
      <c r="A11" s="1120">
        <v>13</v>
      </c>
      <c r="B11" s="184" t="s">
        <v>681</v>
      </c>
      <c r="C11" s="1127">
        <v>31382</v>
      </c>
      <c r="D11" s="1127">
        <v>488</v>
      </c>
      <c r="E11" s="1127">
        <v>2015</v>
      </c>
      <c r="F11" s="1127">
        <v>2006</v>
      </c>
      <c r="G11" s="1127">
        <v>1721</v>
      </c>
      <c r="H11" s="1127">
        <v>1052</v>
      </c>
      <c r="I11" s="1127">
        <v>771</v>
      </c>
      <c r="J11" s="1127">
        <v>2797</v>
      </c>
      <c r="K11" s="1127">
        <v>4023</v>
      </c>
      <c r="L11" s="1127">
        <v>3721</v>
      </c>
      <c r="M11" s="1127">
        <v>2898</v>
      </c>
      <c r="N11" s="1127">
        <v>2428</v>
      </c>
      <c r="O11" s="1127">
        <v>2195</v>
      </c>
      <c r="P11" s="1127">
        <v>1709</v>
      </c>
      <c r="Q11" s="1127">
        <v>1241</v>
      </c>
      <c r="R11" s="1127">
        <v>881</v>
      </c>
      <c r="S11" s="1127">
        <v>519</v>
      </c>
      <c r="T11" s="1127">
        <v>363</v>
      </c>
      <c r="U11" s="1127">
        <v>251</v>
      </c>
      <c r="V11" s="1127">
        <v>170</v>
      </c>
      <c r="W11" s="1127">
        <v>133</v>
      </c>
      <c r="X11" s="1127"/>
      <c r="Y11" s="1127">
        <v>2503</v>
      </c>
      <c r="Z11" s="1127">
        <v>3727</v>
      </c>
      <c r="AA11" s="1127">
        <v>1823</v>
      </c>
      <c r="AB11" s="1127">
        <v>2797</v>
      </c>
      <c r="AC11" s="1127">
        <v>7744</v>
      </c>
      <c r="AD11" s="1127">
        <v>5326</v>
      </c>
      <c r="AE11" s="1127">
        <v>3904</v>
      </c>
      <c r="AF11" s="1127">
        <v>2122</v>
      </c>
      <c r="AG11" s="1127">
        <v>882</v>
      </c>
      <c r="AH11" s="1127">
        <v>421</v>
      </c>
      <c r="AI11" s="1127">
        <v>133</v>
      </c>
      <c r="AJ11" s="1127"/>
      <c r="AK11" s="1127">
        <f>SUM(D11:I11)</f>
        <v>8053</v>
      </c>
      <c r="AL11" s="1127">
        <f>SUM(J11:W11)</f>
        <v>23329</v>
      </c>
    </row>
    <row r="12" spans="1:39">
      <c r="A12" s="1120">
        <v>15</v>
      </c>
      <c r="B12" s="184" t="s">
        <v>1114</v>
      </c>
      <c r="C12" s="1127">
        <v>3375</v>
      </c>
      <c r="D12" s="1127">
        <v>81</v>
      </c>
      <c r="E12" s="1127">
        <v>352</v>
      </c>
      <c r="F12" s="1127">
        <v>383</v>
      </c>
      <c r="G12" s="1127">
        <v>334</v>
      </c>
      <c r="H12" s="1127">
        <v>185</v>
      </c>
      <c r="I12" s="1127">
        <v>115</v>
      </c>
      <c r="J12" s="1127">
        <v>276</v>
      </c>
      <c r="K12" s="1127">
        <v>304</v>
      </c>
      <c r="L12" s="1127">
        <v>312</v>
      </c>
      <c r="M12" s="1127">
        <v>273</v>
      </c>
      <c r="N12" s="1127">
        <v>223</v>
      </c>
      <c r="O12" s="1127">
        <v>178</v>
      </c>
      <c r="P12" s="1127">
        <v>107</v>
      </c>
      <c r="Q12" s="1127">
        <v>81</v>
      </c>
      <c r="R12" s="1127">
        <v>66</v>
      </c>
      <c r="S12" s="1127">
        <v>42</v>
      </c>
      <c r="T12" s="1127">
        <v>23</v>
      </c>
      <c r="U12" s="1127">
        <v>20</v>
      </c>
      <c r="V12" s="1127">
        <v>13</v>
      </c>
      <c r="W12" s="1127">
        <v>7</v>
      </c>
      <c r="X12" s="1127"/>
      <c r="Y12" s="1127">
        <v>433</v>
      </c>
      <c r="Z12" s="1127">
        <v>717</v>
      </c>
      <c r="AA12" s="1127">
        <v>300</v>
      </c>
      <c r="AB12" s="1127">
        <v>276</v>
      </c>
      <c r="AC12" s="1127">
        <v>616</v>
      </c>
      <c r="AD12" s="1127">
        <v>496</v>
      </c>
      <c r="AE12" s="1127">
        <v>285</v>
      </c>
      <c r="AF12" s="1127">
        <v>147</v>
      </c>
      <c r="AG12" s="1127">
        <v>65</v>
      </c>
      <c r="AH12" s="1127">
        <v>33</v>
      </c>
      <c r="AI12" s="1127">
        <v>7</v>
      </c>
      <c r="AJ12" s="1127"/>
      <c r="AK12" s="1127">
        <v>1450</v>
      </c>
      <c r="AL12" s="1127">
        <v>1925</v>
      </c>
      <c r="AM12" s="1127"/>
    </row>
    <row r="13" spans="1:39">
      <c r="A13" s="1120">
        <v>17</v>
      </c>
      <c r="B13" s="184" t="s">
        <v>682</v>
      </c>
      <c r="C13" s="1127">
        <v>101</v>
      </c>
      <c r="D13" s="1127">
        <v>3</v>
      </c>
      <c r="E13" s="1127">
        <v>9</v>
      </c>
      <c r="F13" s="1127">
        <v>10</v>
      </c>
      <c r="G13" s="1127">
        <v>11</v>
      </c>
      <c r="H13" s="1127">
        <v>4</v>
      </c>
      <c r="I13" s="1127">
        <v>0</v>
      </c>
      <c r="J13" s="1127">
        <v>4</v>
      </c>
      <c r="K13" s="1127">
        <v>13</v>
      </c>
      <c r="L13" s="1127">
        <v>7</v>
      </c>
      <c r="M13" s="1127">
        <v>7</v>
      </c>
      <c r="N13" s="1127">
        <v>9</v>
      </c>
      <c r="O13" s="1127">
        <v>11</v>
      </c>
      <c r="P13" s="1127">
        <v>5</v>
      </c>
      <c r="Q13" s="1127">
        <v>0</v>
      </c>
      <c r="R13" s="1127">
        <v>1</v>
      </c>
      <c r="S13" s="1127">
        <v>3</v>
      </c>
      <c r="T13" s="1127">
        <v>0</v>
      </c>
      <c r="U13" s="1127">
        <v>3</v>
      </c>
      <c r="V13" s="1127">
        <v>0</v>
      </c>
      <c r="W13" s="1127">
        <v>1</v>
      </c>
      <c r="X13" s="1127"/>
      <c r="Y13" s="1127">
        <v>12</v>
      </c>
      <c r="Z13" s="1127">
        <v>21</v>
      </c>
      <c r="AA13" s="1127">
        <v>4</v>
      </c>
      <c r="AB13" s="1127">
        <v>4</v>
      </c>
      <c r="AC13" s="1127">
        <v>20</v>
      </c>
      <c r="AD13" s="1127">
        <v>16</v>
      </c>
      <c r="AE13" s="1127">
        <v>16</v>
      </c>
      <c r="AF13" s="1127">
        <v>1</v>
      </c>
      <c r="AG13" s="1127">
        <v>3</v>
      </c>
      <c r="AH13" s="1127">
        <v>3</v>
      </c>
      <c r="AI13" s="1127">
        <v>1</v>
      </c>
      <c r="AJ13" s="1127"/>
      <c r="AK13" s="1127">
        <f>SUM(D13:I13)</f>
        <v>37</v>
      </c>
      <c r="AL13" s="1127">
        <f>SUM(J13:W13)</f>
        <v>64</v>
      </c>
    </row>
    <row r="14" spans="1:39">
      <c r="A14" s="1120">
        <v>19</v>
      </c>
      <c r="B14" s="184" t="s">
        <v>1116</v>
      </c>
      <c r="C14" s="1127">
        <v>1224</v>
      </c>
      <c r="D14" s="1127">
        <v>17</v>
      </c>
      <c r="E14" s="1127">
        <v>112</v>
      </c>
      <c r="F14" s="1127">
        <v>136</v>
      </c>
      <c r="G14" s="1127">
        <v>134</v>
      </c>
      <c r="H14" s="1127">
        <v>74</v>
      </c>
      <c r="I14" s="1127">
        <v>46</v>
      </c>
      <c r="J14" s="1127">
        <v>73</v>
      </c>
      <c r="K14" s="1127">
        <v>76</v>
      </c>
      <c r="L14" s="1127">
        <v>73</v>
      </c>
      <c r="M14" s="1127">
        <v>98</v>
      </c>
      <c r="N14" s="1127">
        <v>92</v>
      </c>
      <c r="O14" s="1127">
        <v>82</v>
      </c>
      <c r="P14" s="1127">
        <v>57</v>
      </c>
      <c r="Q14" s="1127">
        <v>40</v>
      </c>
      <c r="R14" s="1127">
        <v>38</v>
      </c>
      <c r="S14" s="1127">
        <v>21</v>
      </c>
      <c r="T14" s="1127">
        <v>16</v>
      </c>
      <c r="U14" s="1127">
        <v>17</v>
      </c>
      <c r="V14" s="1127">
        <v>14</v>
      </c>
      <c r="W14" s="1127">
        <v>8</v>
      </c>
      <c r="X14" s="1127"/>
      <c r="Y14" s="1127">
        <v>129</v>
      </c>
      <c r="Z14" s="1127">
        <v>270</v>
      </c>
      <c r="AA14" s="1127">
        <v>120</v>
      </c>
      <c r="AB14" s="1127">
        <v>73</v>
      </c>
      <c r="AC14" s="1127">
        <v>149</v>
      </c>
      <c r="AD14" s="1127">
        <v>190</v>
      </c>
      <c r="AE14" s="1127">
        <v>139</v>
      </c>
      <c r="AF14" s="1127">
        <v>78</v>
      </c>
      <c r="AG14" s="1127">
        <v>37</v>
      </c>
      <c r="AH14" s="1127">
        <v>31</v>
      </c>
      <c r="AI14" s="1127">
        <v>8</v>
      </c>
      <c r="AJ14" s="1127"/>
      <c r="AK14" s="1127">
        <v>519</v>
      </c>
      <c r="AL14" s="1127">
        <v>705</v>
      </c>
    </row>
    <row r="15" spans="1:39">
      <c r="A15" s="1120">
        <v>21</v>
      </c>
      <c r="B15" s="184" t="s">
        <v>683</v>
      </c>
      <c r="C15" s="1127">
        <v>39</v>
      </c>
      <c r="D15" s="1127">
        <v>0</v>
      </c>
      <c r="E15" s="1127">
        <v>3</v>
      </c>
      <c r="F15" s="1127">
        <v>2</v>
      </c>
      <c r="G15" s="1127">
        <v>2</v>
      </c>
      <c r="H15" s="1127">
        <v>1</v>
      </c>
      <c r="I15" s="1127">
        <v>1</v>
      </c>
      <c r="J15" s="1127">
        <v>5</v>
      </c>
      <c r="K15" s="1127">
        <v>3</v>
      </c>
      <c r="L15" s="1127">
        <v>4</v>
      </c>
      <c r="M15" s="1127">
        <v>4</v>
      </c>
      <c r="N15" s="1127">
        <v>5</v>
      </c>
      <c r="O15" s="1127">
        <v>2</v>
      </c>
      <c r="P15" s="1127">
        <v>2</v>
      </c>
      <c r="Q15" s="1127">
        <v>3</v>
      </c>
      <c r="R15" s="1127">
        <v>1</v>
      </c>
      <c r="S15" s="1127">
        <v>1</v>
      </c>
      <c r="T15" s="1127">
        <v>0</v>
      </c>
      <c r="U15" s="1127">
        <v>0</v>
      </c>
      <c r="V15" s="1127">
        <v>0</v>
      </c>
      <c r="W15" s="1127">
        <v>0</v>
      </c>
      <c r="X15" s="1127"/>
      <c r="Y15" s="1127">
        <v>3</v>
      </c>
      <c r="Z15" s="1127">
        <v>4</v>
      </c>
      <c r="AA15" s="1127">
        <v>2</v>
      </c>
      <c r="AB15" s="1127">
        <v>5</v>
      </c>
      <c r="AC15" s="1127">
        <v>7</v>
      </c>
      <c r="AD15" s="1127">
        <v>9</v>
      </c>
      <c r="AE15" s="1127">
        <v>4</v>
      </c>
      <c r="AF15" s="1127">
        <v>4</v>
      </c>
      <c r="AG15" s="1127">
        <v>1</v>
      </c>
      <c r="AH15" s="1127">
        <v>0</v>
      </c>
      <c r="AI15" s="1127">
        <v>0</v>
      </c>
      <c r="AJ15" s="1127"/>
      <c r="AK15" s="1127">
        <f t="shared" ref="AK15:AK24" si="0">SUM(D15:I15)</f>
        <v>9</v>
      </c>
      <c r="AL15" s="1127">
        <f t="shared" ref="AL15:AL24" si="1">SUM(J15:W15)</f>
        <v>30</v>
      </c>
    </row>
    <row r="16" spans="1:39">
      <c r="A16" s="1120">
        <v>23</v>
      </c>
      <c r="B16" s="184" t="s">
        <v>684</v>
      </c>
      <c r="C16" s="1127">
        <v>356</v>
      </c>
      <c r="D16" s="1127">
        <v>7</v>
      </c>
      <c r="E16" s="1127">
        <v>31</v>
      </c>
      <c r="F16" s="1127">
        <v>33</v>
      </c>
      <c r="G16" s="1127">
        <v>41</v>
      </c>
      <c r="H16" s="1127">
        <v>20</v>
      </c>
      <c r="I16" s="1127">
        <v>17</v>
      </c>
      <c r="J16" s="1127">
        <v>25</v>
      </c>
      <c r="K16" s="1127">
        <v>23</v>
      </c>
      <c r="L16" s="1127">
        <v>30</v>
      </c>
      <c r="M16" s="1127">
        <v>25</v>
      </c>
      <c r="N16" s="1127">
        <v>30</v>
      </c>
      <c r="O16" s="1127">
        <v>22</v>
      </c>
      <c r="P16" s="1127">
        <v>11</v>
      </c>
      <c r="Q16" s="1127">
        <v>14</v>
      </c>
      <c r="R16" s="1127">
        <v>13</v>
      </c>
      <c r="S16" s="1127">
        <v>9</v>
      </c>
      <c r="T16" s="1127">
        <v>2</v>
      </c>
      <c r="U16" s="1127">
        <v>2</v>
      </c>
      <c r="V16" s="1127">
        <v>0</v>
      </c>
      <c r="W16" s="1127">
        <v>1</v>
      </c>
      <c r="X16" s="1127"/>
      <c r="Y16" s="1127">
        <v>38</v>
      </c>
      <c r="Z16" s="1127">
        <v>74</v>
      </c>
      <c r="AA16" s="1127">
        <v>37</v>
      </c>
      <c r="AB16" s="1127">
        <v>25</v>
      </c>
      <c r="AC16" s="1127">
        <v>53</v>
      </c>
      <c r="AD16" s="1127">
        <v>55</v>
      </c>
      <c r="AE16" s="1127">
        <v>33</v>
      </c>
      <c r="AF16" s="1127">
        <v>27</v>
      </c>
      <c r="AG16" s="1127">
        <v>11</v>
      </c>
      <c r="AH16" s="1127">
        <v>2</v>
      </c>
      <c r="AI16" s="1127">
        <v>1</v>
      </c>
      <c r="AJ16" s="1127"/>
      <c r="AK16" s="1127">
        <f t="shared" si="0"/>
        <v>149</v>
      </c>
      <c r="AL16" s="1127">
        <f t="shared" si="1"/>
        <v>207</v>
      </c>
    </row>
    <row r="17" spans="1:38">
      <c r="A17" s="1120">
        <v>25</v>
      </c>
      <c r="B17" s="184" t="s">
        <v>685</v>
      </c>
      <c r="C17" s="1127">
        <v>298</v>
      </c>
      <c r="D17" s="1127">
        <v>6</v>
      </c>
      <c r="E17" s="1127">
        <v>31</v>
      </c>
      <c r="F17" s="1127">
        <v>23</v>
      </c>
      <c r="G17" s="1127">
        <v>21</v>
      </c>
      <c r="H17" s="1127">
        <v>17</v>
      </c>
      <c r="I17" s="1127">
        <v>14</v>
      </c>
      <c r="J17" s="1127">
        <v>24</v>
      </c>
      <c r="K17" s="1127">
        <v>33</v>
      </c>
      <c r="L17" s="1127">
        <v>40</v>
      </c>
      <c r="M17" s="1127">
        <v>25</v>
      </c>
      <c r="N17" s="1127">
        <v>12</v>
      </c>
      <c r="O17" s="1127">
        <v>14</v>
      </c>
      <c r="P17" s="1127">
        <v>14</v>
      </c>
      <c r="Q17" s="1127">
        <v>7</v>
      </c>
      <c r="R17" s="1127">
        <v>5</v>
      </c>
      <c r="S17" s="1127">
        <v>3</v>
      </c>
      <c r="T17" s="1127">
        <v>1</v>
      </c>
      <c r="U17" s="1127">
        <v>6</v>
      </c>
      <c r="V17" s="1127">
        <v>1</v>
      </c>
      <c r="W17" s="1127">
        <v>1</v>
      </c>
      <c r="X17" s="1127"/>
      <c r="Y17" s="1127">
        <v>37</v>
      </c>
      <c r="Z17" s="1127">
        <v>44</v>
      </c>
      <c r="AA17" s="1127">
        <v>31</v>
      </c>
      <c r="AB17" s="1127">
        <v>24</v>
      </c>
      <c r="AC17" s="1127">
        <v>73</v>
      </c>
      <c r="AD17" s="1127">
        <v>37</v>
      </c>
      <c r="AE17" s="1127">
        <v>28</v>
      </c>
      <c r="AF17" s="1127">
        <v>12</v>
      </c>
      <c r="AG17" s="1127">
        <v>4</v>
      </c>
      <c r="AH17" s="1127">
        <v>7</v>
      </c>
      <c r="AI17" s="1127">
        <v>1</v>
      </c>
      <c r="AJ17" s="1127"/>
      <c r="AK17" s="1127">
        <f t="shared" si="0"/>
        <v>112</v>
      </c>
      <c r="AL17" s="1127">
        <f t="shared" si="1"/>
        <v>186</v>
      </c>
    </row>
    <row r="18" spans="1:38">
      <c r="A18" s="1120">
        <v>27</v>
      </c>
      <c r="B18" s="184" t="s">
        <v>686</v>
      </c>
      <c r="C18" s="1127">
        <v>95</v>
      </c>
      <c r="D18" s="1127">
        <v>0</v>
      </c>
      <c r="E18" s="1127">
        <v>6</v>
      </c>
      <c r="F18" s="1127">
        <v>6</v>
      </c>
      <c r="G18" s="1127">
        <v>17</v>
      </c>
      <c r="H18" s="1127">
        <v>8</v>
      </c>
      <c r="I18" s="1127">
        <v>1</v>
      </c>
      <c r="J18" s="1127">
        <v>11</v>
      </c>
      <c r="K18" s="1127">
        <v>8</v>
      </c>
      <c r="L18" s="1127">
        <v>6</v>
      </c>
      <c r="M18" s="1127">
        <v>4</v>
      </c>
      <c r="N18" s="1127">
        <v>6</v>
      </c>
      <c r="O18" s="1127">
        <v>2</v>
      </c>
      <c r="P18" s="1127">
        <v>6</v>
      </c>
      <c r="Q18" s="1127">
        <v>4</v>
      </c>
      <c r="R18" s="1127">
        <v>3</v>
      </c>
      <c r="S18" s="1127">
        <v>3</v>
      </c>
      <c r="T18" s="1127">
        <v>1</v>
      </c>
      <c r="U18" s="1127">
        <v>2</v>
      </c>
      <c r="V18" s="1127">
        <v>0</v>
      </c>
      <c r="W18" s="1127">
        <v>1</v>
      </c>
      <c r="X18" s="1127"/>
      <c r="Y18" s="1127">
        <v>6</v>
      </c>
      <c r="Z18" s="1127">
        <v>23</v>
      </c>
      <c r="AA18" s="1127">
        <v>9</v>
      </c>
      <c r="AB18" s="1127">
        <v>11</v>
      </c>
      <c r="AC18" s="1127">
        <v>14</v>
      </c>
      <c r="AD18" s="1127">
        <v>10</v>
      </c>
      <c r="AE18" s="1127">
        <v>8</v>
      </c>
      <c r="AF18" s="1127">
        <v>7</v>
      </c>
      <c r="AG18" s="1127">
        <v>4</v>
      </c>
      <c r="AH18" s="1127">
        <v>2</v>
      </c>
      <c r="AI18" s="1127">
        <v>1</v>
      </c>
      <c r="AJ18" s="1127"/>
      <c r="AK18" s="1127">
        <f t="shared" si="0"/>
        <v>38</v>
      </c>
      <c r="AL18" s="1127">
        <f t="shared" si="1"/>
        <v>57</v>
      </c>
    </row>
    <row r="19" spans="1:38">
      <c r="A19" s="1120">
        <v>29</v>
      </c>
      <c r="B19" s="184" t="s">
        <v>687</v>
      </c>
      <c r="C19" s="1127">
        <v>288</v>
      </c>
      <c r="D19" s="1127">
        <v>4</v>
      </c>
      <c r="E19" s="1127">
        <v>34</v>
      </c>
      <c r="F19" s="1127">
        <v>24</v>
      </c>
      <c r="G19" s="1127">
        <v>18</v>
      </c>
      <c r="H19" s="1127">
        <v>8</v>
      </c>
      <c r="I19" s="1127">
        <v>6</v>
      </c>
      <c r="J19" s="1127">
        <v>35</v>
      </c>
      <c r="K19" s="1127">
        <v>24</v>
      </c>
      <c r="L19" s="1127">
        <v>31</v>
      </c>
      <c r="M19" s="1127">
        <v>33</v>
      </c>
      <c r="N19" s="1127">
        <v>20</v>
      </c>
      <c r="O19" s="1127">
        <v>12</v>
      </c>
      <c r="P19" s="1127">
        <v>7</v>
      </c>
      <c r="Q19" s="1127">
        <v>8</v>
      </c>
      <c r="R19" s="1127">
        <v>14</v>
      </c>
      <c r="S19" s="1127">
        <v>3</v>
      </c>
      <c r="T19" s="1127">
        <v>3</v>
      </c>
      <c r="U19" s="1127">
        <v>3</v>
      </c>
      <c r="V19" s="1127">
        <v>1</v>
      </c>
      <c r="W19" s="1127">
        <v>0</v>
      </c>
      <c r="X19" s="1127"/>
      <c r="Y19" s="1127">
        <v>38</v>
      </c>
      <c r="Z19" s="1127">
        <v>42</v>
      </c>
      <c r="AA19" s="1127">
        <v>14</v>
      </c>
      <c r="AB19" s="1127">
        <v>35</v>
      </c>
      <c r="AC19" s="1127">
        <v>55</v>
      </c>
      <c r="AD19" s="1127">
        <v>53</v>
      </c>
      <c r="AE19" s="1127">
        <v>19</v>
      </c>
      <c r="AF19" s="1127">
        <v>22</v>
      </c>
      <c r="AG19" s="1127">
        <v>6</v>
      </c>
      <c r="AH19" s="1127">
        <v>4</v>
      </c>
      <c r="AI19" s="1127">
        <v>0</v>
      </c>
      <c r="AJ19" s="1127"/>
      <c r="AK19" s="1127">
        <f t="shared" si="0"/>
        <v>94</v>
      </c>
      <c r="AL19" s="1127">
        <f t="shared" si="1"/>
        <v>194</v>
      </c>
    </row>
    <row r="20" spans="1:38">
      <c r="A20" s="1120">
        <v>31</v>
      </c>
      <c r="B20" s="184" t="s">
        <v>688</v>
      </c>
      <c r="C20" s="1127">
        <v>918</v>
      </c>
      <c r="D20" s="1127">
        <v>18</v>
      </c>
      <c r="E20" s="1127">
        <v>70</v>
      </c>
      <c r="F20" s="1127">
        <v>67</v>
      </c>
      <c r="G20" s="1127">
        <v>67</v>
      </c>
      <c r="H20" s="1127">
        <v>57</v>
      </c>
      <c r="I20" s="1127">
        <v>43</v>
      </c>
      <c r="J20" s="1127">
        <v>123</v>
      </c>
      <c r="K20" s="1127">
        <v>107</v>
      </c>
      <c r="L20" s="1127">
        <v>73</v>
      </c>
      <c r="M20" s="1127">
        <v>64</v>
      </c>
      <c r="N20" s="1127">
        <v>68</v>
      </c>
      <c r="O20" s="1127">
        <v>39</v>
      </c>
      <c r="P20" s="1127">
        <v>38</v>
      </c>
      <c r="Q20" s="1127">
        <v>29</v>
      </c>
      <c r="R20" s="1127">
        <v>21</v>
      </c>
      <c r="S20" s="1127">
        <v>14</v>
      </c>
      <c r="T20" s="1127">
        <v>8</v>
      </c>
      <c r="U20" s="1127">
        <v>5</v>
      </c>
      <c r="V20" s="1127">
        <v>3</v>
      </c>
      <c r="W20" s="1127">
        <v>4</v>
      </c>
      <c r="X20" s="1127"/>
      <c r="Y20" s="1127">
        <v>88</v>
      </c>
      <c r="Z20" s="1127">
        <v>134</v>
      </c>
      <c r="AA20" s="1127">
        <v>100</v>
      </c>
      <c r="AB20" s="1127">
        <v>123</v>
      </c>
      <c r="AC20" s="1127">
        <v>180</v>
      </c>
      <c r="AD20" s="1127">
        <v>132</v>
      </c>
      <c r="AE20" s="1127">
        <v>77</v>
      </c>
      <c r="AF20" s="1127">
        <v>50</v>
      </c>
      <c r="AG20" s="1127">
        <v>22</v>
      </c>
      <c r="AH20" s="1127">
        <v>8</v>
      </c>
      <c r="AI20" s="1127">
        <v>4</v>
      </c>
      <c r="AJ20" s="1127"/>
      <c r="AK20" s="1127">
        <f t="shared" si="0"/>
        <v>322</v>
      </c>
      <c r="AL20" s="1127">
        <f t="shared" si="1"/>
        <v>596</v>
      </c>
    </row>
    <row r="21" spans="1:38">
      <c r="A21" s="1120">
        <v>33</v>
      </c>
      <c r="B21" s="184" t="s">
        <v>689</v>
      </c>
      <c r="C21" s="1127">
        <v>959</v>
      </c>
      <c r="D21" s="1127">
        <v>24</v>
      </c>
      <c r="E21" s="1127">
        <v>100</v>
      </c>
      <c r="F21" s="1127">
        <v>97</v>
      </c>
      <c r="G21" s="1127">
        <v>89</v>
      </c>
      <c r="H21" s="1127">
        <v>42</v>
      </c>
      <c r="I21" s="1127">
        <v>36</v>
      </c>
      <c r="J21" s="1127">
        <v>64</v>
      </c>
      <c r="K21" s="1127">
        <v>93</v>
      </c>
      <c r="L21" s="1127">
        <v>74</v>
      </c>
      <c r="M21" s="1127">
        <v>81</v>
      </c>
      <c r="N21" s="1127">
        <v>64</v>
      </c>
      <c r="O21" s="1127">
        <v>55</v>
      </c>
      <c r="P21" s="1127">
        <v>53</v>
      </c>
      <c r="Q21" s="1127">
        <v>25</v>
      </c>
      <c r="R21" s="1127">
        <v>23</v>
      </c>
      <c r="S21" s="1127">
        <v>12</v>
      </c>
      <c r="T21" s="1127">
        <v>15</v>
      </c>
      <c r="U21" s="1127">
        <v>6</v>
      </c>
      <c r="V21" s="1127">
        <v>5</v>
      </c>
      <c r="W21" s="1127">
        <v>1</v>
      </c>
      <c r="X21" s="1127"/>
      <c r="Y21" s="1127">
        <v>124</v>
      </c>
      <c r="Z21" s="1127">
        <v>186</v>
      </c>
      <c r="AA21" s="1127">
        <v>78</v>
      </c>
      <c r="AB21" s="1127">
        <v>64</v>
      </c>
      <c r="AC21" s="1127">
        <v>167</v>
      </c>
      <c r="AD21" s="1127">
        <v>145</v>
      </c>
      <c r="AE21" s="1127">
        <v>108</v>
      </c>
      <c r="AF21" s="1127">
        <v>48</v>
      </c>
      <c r="AG21" s="1127">
        <v>27</v>
      </c>
      <c r="AH21" s="1127">
        <v>11</v>
      </c>
      <c r="AI21" s="1127">
        <v>1</v>
      </c>
      <c r="AJ21" s="1127"/>
      <c r="AK21" s="1127">
        <f t="shared" si="0"/>
        <v>388</v>
      </c>
      <c r="AL21" s="1127">
        <f t="shared" si="1"/>
        <v>571</v>
      </c>
    </row>
    <row r="22" spans="1:38">
      <c r="A22" s="1120">
        <v>35</v>
      </c>
      <c r="B22" s="184" t="s">
        <v>690</v>
      </c>
      <c r="C22" s="1127">
        <v>776</v>
      </c>
      <c r="D22" s="1127">
        <v>17</v>
      </c>
      <c r="E22" s="1127">
        <v>82</v>
      </c>
      <c r="F22" s="1127">
        <v>94</v>
      </c>
      <c r="G22" s="1127">
        <v>88</v>
      </c>
      <c r="H22" s="1127">
        <v>39</v>
      </c>
      <c r="I22" s="1127">
        <v>37</v>
      </c>
      <c r="J22" s="1127">
        <v>53</v>
      </c>
      <c r="K22" s="1127">
        <v>69</v>
      </c>
      <c r="L22" s="1127">
        <v>59</v>
      </c>
      <c r="M22" s="1127">
        <v>53</v>
      </c>
      <c r="N22" s="1127">
        <v>59</v>
      </c>
      <c r="O22" s="1127">
        <v>41</v>
      </c>
      <c r="P22" s="1127">
        <v>24</v>
      </c>
      <c r="Q22" s="1127">
        <v>18</v>
      </c>
      <c r="R22" s="1127">
        <v>11</v>
      </c>
      <c r="S22" s="1127">
        <v>11</v>
      </c>
      <c r="T22" s="1127">
        <v>5</v>
      </c>
      <c r="U22" s="1127">
        <v>10</v>
      </c>
      <c r="V22" s="1127">
        <v>4</v>
      </c>
      <c r="W22" s="1127">
        <v>2</v>
      </c>
      <c r="X22" s="1127"/>
      <c r="Y22" s="1127">
        <v>99</v>
      </c>
      <c r="Z22" s="1127">
        <v>182</v>
      </c>
      <c r="AA22" s="1127">
        <v>76</v>
      </c>
      <c r="AB22" s="1127">
        <v>53</v>
      </c>
      <c r="AC22" s="1127">
        <v>128</v>
      </c>
      <c r="AD22" s="1127">
        <v>112</v>
      </c>
      <c r="AE22" s="1127">
        <v>65</v>
      </c>
      <c r="AF22" s="1127">
        <v>29</v>
      </c>
      <c r="AG22" s="1127">
        <v>16</v>
      </c>
      <c r="AH22" s="1127">
        <v>14</v>
      </c>
      <c r="AI22" s="1127">
        <v>2</v>
      </c>
      <c r="AJ22" s="1127"/>
      <c r="AK22" s="1127">
        <f t="shared" si="0"/>
        <v>357</v>
      </c>
      <c r="AL22" s="1127">
        <f t="shared" si="1"/>
        <v>419</v>
      </c>
    </row>
    <row r="23" spans="1:38">
      <c r="A23" s="1120">
        <v>36</v>
      </c>
      <c r="B23" s="184" t="s">
        <v>691</v>
      </c>
      <c r="C23" s="1127">
        <v>88</v>
      </c>
      <c r="D23" s="1127">
        <v>0</v>
      </c>
      <c r="E23" s="1127">
        <v>3</v>
      </c>
      <c r="F23" s="1127">
        <v>6</v>
      </c>
      <c r="G23" s="1127">
        <v>3</v>
      </c>
      <c r="H23" s="1127">
        <v>8</v>
      </c>
      <c r="I23" s="1127">
        <v>9</v>
      </c>
      <c r="J23" s="1127">
        <v>3</v>
      </c>
      <c r="K23" s="1127">
        <v>5</v>
      </c>
      <c r="L23" s="1127">
        <v>8</v>
      </c>
      <c r="M23" s="1127">
        <v>7</v>
      </c>
      <c r="N23" s="1127">
        <v>10</v>
      </c>
      <c r="O23" s="1127">
        <v>8</v>
      </c>
      <c r="P23" s="1127">
        <v>5</v>
      </c>
      <c r="Q23" s="1127">
        <v>6</v>
      </c>
      <c r="R23" s="1127">
        <v>5</v>
      </c>
      <c r="S23" s="1127">
        <v>2</v>
      </c>
      <c r="T23" s="1127">
        <v>0</v>
      </c>
      <c r="U23" s="1127">
        <v>0</v>
      </c>
      <c r="V23" s="1127">
        <v>0</v>
      </c>
      <c r="W23" s="1127">
        <v>0</v>
      </c>
      <c r="X23" s="1127"/>
      <c r="Y23" s="1127">
        <v>3</v>
      </c>
      <c r="Z23" s="1127">
        <v>9</v>
      </c>
      <c r="AA23" s="1127">
        <v>17</v>
      </c>
      <c r="AB23" s="1127">
        <v>3</v>
      </c>
      <c r="AC23" s="1127">
        <v>13</v>
      </c>
      <c r="AD23" s="1127">
        <v>17</v>
      </c>
      <c r="AE23" s="1127">
        <v>13</v>
      </c>
      <c r="AF23" s="1127">
        <v>11</v>
      </c>
      <c r="AG23" s="1127">
        <v>2</v>
      </c>
      <c r="AH23" s="1127">
        <v>0</v>
      </c>
      <c r="AI23" s="1127">
        <v>0</v>
      </c>
      <c r="AJ23" s="1127"/>
      <c r="AK23" s="1127">
        <f t="shared" si="0"/>
        <v>29</v>
      </c>
      <c r="AL23" s="1127">
        <f t="shared" si="1"/>
        <v>59</v>
      </c>
    </row>
    <row r="24" spans="1:38">
      <c r="A24" s="1120">
        <v>37</v>
      </c>
      <c r="B24" s="184" t="s">
        <v>692</v>
      </c>
      <c r="C24" s="1127">
        <v>240</v>
      </c>
      <c r="D24" s="1127">
        <v>4</v>
      </c>
      <c r="E24" s="1127">
        <v>22</v>
      </c>
      <c r="F24" s="1127">
        <v>24</v>
      </c>
      <c r="G24" s="1127">
        <v>22</v>
      </c>
      <c r="H24" s="1127">
        <v>14</v>
      </c>
      <c r="I24" s="1127">
        <v>6</v>
      </c>
      <c r="J24" s="1127">
        <v>26</v>
      </c>
      <c r="K24" s="1127">
        <v>21</v>
      </c>
      <c r="L24" s="1127">
        <v>24</v>
      </c>
      <c r="M24" s="1127">
        <v>10</v>
      </c>
      <c r="N24" s="1127">
        <v>17</v>
      </c>
      <c r="O24" s="1127">
        <v>19</v>
      </c>
      <c r="P24" s="1127">
        <v>11</v>
      </c>
      <c r="Q24" s="1127">
        <v>9</v>
      </c>
      <c r="R24" s="1127">
        <v>3</v>
      </c>
      <c r="S24" s="1127">
        <v>1</v>
      </c>
      <c r="T24" s="1127">
        <v>3</v>
      </c>
      <c r="U24" s="1127">
        <v>2</v>
      </c>
      <c r="V24" s="1127">
        <v>1</v>
      </c>
      <c r="W24" s="1127">
        <v>1</v>
      </c>
      <c r="X24" s="1127"/>
      <c r="Y24" s="1127">
        <v>26</v>
      </c>
      <c r="Z24" s="1127">
        <v>46</v>
      </c>
      <c r="AA24" s="1127">
        <v>20</v>
      </c>
      <c r="AB24" s="1127">
        <v>26</v>
      </c>
      <c r="AC24" s="1127">
        <v>45</v>
      </c>
      <c r="AD24" s="1127">
        <v>27</v>
      </c>
      <c r="AE24" s="1127">
        <v>30</v>
      </c>
      <c r="AF24" s="1127">
        <v>12</v>
      </c>
      <c r="AG24" s="1127">
        <v>4</v>
      </c>
      <c r="AH24" s="1127">
        <v>3</v>
      </c>
      <c r="AI24" s="1127">
        <v>1</v>
      </c>
      <c r="AJ24" s="1127"/>
      <c r="AK24" s="1127">
        <f t="shared" si="0"/>
        <v>92</v>
      </c>
      <c r="AL24" s="1127">
        <f t="shared" si="1"/>
        <v>148</v>
      </c>
    </row>
    <row r="25" spans="1:38">
      <c r="A25" s="1120">
        <v>41</v>
      </c>
      <c r="B25" s="184" t="s">
        <v>1117</v>
      </c>
      <c r="C25" s="1127">
        <v>23538</v>
      </c>
      <c r="D25" s="1127">
        <v>517</v>
      </c>
      <c r="E25" s="1127">
        <v>2091</v>
      </c>
      <c r="F25" s="1127">
        <v>2554</v>
      </c>
      <c r="G25" s="1127">
        <v>2138</v>
      </c>
      <c r="H25" s="1127">
        <v>1254</v>
      </c>
      <c r="I25" s="1127">
        <v>740</v>
      </c>
      <c r="J25" s="1127">
        <v>1974</v>
      </c>
      <c r="K25" s="1127">
        <v>2262</v>
      </c>
      <c r="L25" s="1127">
        <v>2445</v>
      </c>
      <c r="M25" s="1127">
        <v>2118</v>
      </c>
      <c r="N25" s="1127">
        <v>1666</v>
      </c>
      <c r="O25" s="1127">
        <v>1377</v>
      </c>
      <c r="P25" s="1127">
        <v>904</v>
      </c>
      <c r="Q25" s="1127">
        <v>531</v>
      </c>
      <c r="R25" s="1127">
        <v>393</v>
      </c>
      <c r="S25" s="1127">
        <v>217</v>
      </c>
      <c r="T25" s="1127">
        <v>157</v>
      </c>
      <c r="U25" s="1127">
        <v>96</v>
      </c>
      <c r="V25" s="1127">
        <v>51</v>
      </c>
      <c r="W25" s="1127">
        <v>53</v>
      </c>
      <c r="X25" s="1127"/>
      <c r="Y25" s="1127">
        <v>2608</v>
      </c>
      <c r="Z25" s="1127">
        <v>4692</v>
      </c>
      <c r="AA25" s="1127">
        <v>1994</v>
      </c>
      <c r="AB25" s="1127">
        <v>1974</v>
      </c>
      <c r="AC25" s="1127">
        <v>4707</v>
      </c>
      <c r="AD25" s="1127">
        <v>3784</v>
      </c>
      <c r="AE25" s="1127">
        <v>2281</v>
      </c>
      <c r="AF25" s="1127">
        <v>924</v>
      </c>
      <c r="AG25" s="1127">
        <v>374</v>
      </c>
      <c r="AH25" s="1127">
        <v>147</v>
      </c>
      <c r="AI25" s="1127">
        <v>53</v>
      </c>
      <c r="AJ25" s="1127"/>
      <c r="AK25" s="1127">
        <v>9294</v>
      </c>
      <c r="AL25" s="1127">
        <v>14244</v>
      </c>
    </row>
    <row r="26" spans="1:38">
      <c r="A26" s="1120">
        <v>43</v>
      </c>
      <c r="B26" s="184" t="s">
        <v>693</v>
      </c>
      <c r="C26" s="1127">
        <v>490</v>
      </c>
      <c r="D26" s="1127">
        <v>12</v>
      </c>
      <c r="E26" s="1127">
        <v>46</v>
      </c>
      <c r="F26" s="1127">
        <v>63</v>
      </c>
      <c r="G26" s="1127">
        <v>40</v>
      </c>
      <c r="H26" s="1127">
        <v>33</v>
      </c>
      <c r="I26" s="1127">
        <v>17</v>
      </c>
      <c r="J26" s="1127">
        <v>25</v>
      </c>
      <c r="K26" s="1127">
        <v>40</v>
      </c>
      <c r="L26" s="1127">
        <v>48</v>
      </c>
      <c r="M26" s="1127">
        <v>35</v>
      </c>
      <c r="N26" s="1127">
        <v>41</v>
      </c>
      <c r="O26" s="1127">
        <v>21</v>
      </c>
      <c r="P26" s="1127">
        <v>22</v>
      </c>
      <c r="Q26" s="1127">
        <v>18</v>
      </c>
      <c r="R26" s="1127">
        <v>12</v>
      </c>
      <c r="S26" s="1127">
        <v>4</v>
      </c>
      <c r="T26" s="1127">
        <v>3</v>
      </c>
      <c r="U26" s="1127">
        <v>4</v>
      </c>
      <c r="V26" s="1127">
        <v>2</v>
      </c>
      <c r="W26" s="1127">
        <v>4</v>
      </c>
      <c r="X26" s="1127"/>
      <c r="Y26" s="1127">
        <v>58</v>
      </c>
      <c r="Z26" s="1127">
        <v>103</v>
      </c>
      <c r="AA26" s="1127">
        <v>50</v>
      </c>
      <c r="AB26" s="1127">
        <v>25</v>
      </c>
      <c r="AC26" s="1127">
        <v>88</v>
      </c>
      <c r="AD26" s="1127">
        <v>76</v>
      </c>
      <c r="AE26" s="1127">
        <v>43</v>
      </c>
      <c r="AF26" s="1127">
        <v>30</v>
      </c>
      <c r="AG26" s="1127">
        <v>7</v>
      </c>
      <c r="AH26" s="1127">
        <v>6</v>
      </c>
      <c r="AI26" s="1127">
        <v>4</v>
      </c>
      <c r="AJ26" s="1127"/>
      <c r="AK26" s="1127">
        <f t="shared" ref="AK26:AK32" si="2">SUM(D26:I26)</f>
        <v>211</v>
      </c>
      <c r="AL26" s="1127">
        <f t="shared" ref="AL26:AL32" si="3">SUM(J26:W26)</f>
        <v>279</v>
      </c>
    </row>
    <row r="27" spans="1:38">
      <c r="A27" s="1120">
        <v>45</v>
      </c>
      <c r="B27" s="184" t="s">
        <v>694</v>
      </c>
      <c r="C27" s="1127">
        <v>36</v>
      </c>
      <c r="D27" s="1127">
        <v>2</v>
      </c>
      <c r="E27" s="1127">
        <v>4</v>
      </c>
      <c r="F27" s="1127">
        <v>3</v>
      </c>
      <c r="G27" s="1127">
        <v>4</v>
      </c>
      <c r="H27" s="1127">
        <v>2</v>
      </c>
      <c r="I27" s="1127">
        <v>1</v>
      </c>
      <c r="J27" s="1127">
        <v>1</v>
      </c>
      <c r="K27" s="1127">
        <v>5</v>
      </c>
      <c r="L27" s="1127">
        <v>4</v>
      </c>
      <c r="M27" s="1127">
        <v>3</v>
      </c>
      <c r="N27" s="1127">
        <v>2</v>
      </c>
      <c r="O27" s="1127">
        <v>0</v>
      </c>
      <c r="P27" s="1127">
        <v>0</v>
      </c>
      <c r="Q27" s="1127">
        <v>1</v>
      </c>
      <c r="R27" s="1127">
        <v>1</v>
      </c>
      <c r="S27" s="1127">
        <v>2</v>
      </c>
      <c r="T27" s="1127">
        <v>1</v>
      </c>
      <c r="U27" s="1127">
        <v>0</v>
      </c>
      <c r="V27" s="1127">
        <v>0</v>
      </c>
      <c r="W27" s="1127">
        <v>0</v>
      </c>
      <c r="X27" s="1127"/>
      <c r="Y27" s="1127">
        <v>6</v>
      </c>
      <c r="Z27" s="1127">
        <v>7</v>
      </c>
      <c r="AA27" s="1127">
        <v>3</v>
      </c>
      <c r="AB27" s="1127">
        <v>1</v>
      </c>
      <c r="AC27" s="1127">
        <v>9</v>
      </c>
      <c r="AD27" s="1127">
        <v>5</v>
      </c>
      <c r="AE27" s="1127">
        <v>0</v>
      </c>
      <c r="AF27" s="1127">
        <v>2</v>
      </c>
      <c r="AG27" s="1127">
        <v>3</v>
      </c>
      <c r="AH27" s="1127">
        <v>0</v>
      </c>
      <c r="AI27" s="1127">
        <v>0</v>
      </c>
      <c r="AJ27" s="1127"/>
      <c r="AK27" s="1127">
        <f t="shared" si="2"/>
        <v>16</v>
      </c>
      <c r="AL27" s="1127">
        <f t="shared" si="3"/>
        <v>20</v>
      </c>
    </row>
    <row r="28" spans="1:38">
      <c r="A28" s="1120">
        <v>47</v>
      </c>
      <c r="B28" s="184" t="s">
        <v>695</v>
      </c>
      <c r="C28" s="1127">
        <v>4157</v>
      </c>
      <c r="D28" s="1127">
        <v>93</v>
      </c>
      <c r="E28" s="1127">
        <v>409</v>
      </c>
      <c r="F28" s="1127">
        <v>467</v>
      </c>
      <c r="G28" s="1127">
        <v>372</v>
      </c>
      <c r="H28" s="1127">
        <v>202</v>
      </c>
      <c r="I28" s="1127">
        <v>112</v>
      </c>
      <c r="J28" s="1127">
        <v>367</v>
      </c>
      <c r="K28" s="1127">
        <v>416</v>
      </c>
      <c r="L28" s="1127">
        <v>448</v>
      </c>
      <c r="M28" s="1127">
        <v>352</v>
      </c>
      <c r="N28" s="1127">
        <v>293</v>
      </c>
      <c r="O28" s="1127">
        <v>249</v>
      </c>
      <c r="P28" s="1127">
        <v>136</v>
      </c>
      <c r="Q28" s="1127">
        <v>94</v>
      </c>
      <c r="R28" s="1127">
        <v>59</v>
      </c>
      <c r="S28" s="1127">
        <v>35</v>
      </c>
      <c r="T28" s="1127">
        <v>20</v>
      </c>
      <c r="U28" s="1127">
        <v>17</v>
      </c>
      <c r="V28" s="1127">
        <v>11</v>
      </c>
      <c r="W28" s="1127">
        <v>5</v>
      </c>
      <c r="X28" s="1127"/>
      <c r="Y28" s="1127">
        <v>502</v>
      </c>
      <c r="Z28" s="1127">
        <v>839</v>
      </c>
      <c r="AA28" s="1127">
        <v>314</v>
      </c>
      <c r="AB28" s="1127">
        <v>367</v>
      </c>
      <c r="AC28" s="1127">
        <v>864</v>
      </c>
      <c r="AD28" s="1127">
        <v>645</v>
      </c>
      <c r="AE28" s="1127">
        <v>385</v>
      </c>
      <c r="AF28" s="1127">
        <v>153</v>
      </c>
      <c r="AG28" s="1127">
        <v>55</v>
      </c>
      <c r="AH28" s="1127">
        <v>28</v>
      </c>
      <c r="AI28" s="1127">
        <v>5</v>
      </c>
      <c r="AJ28" s="1127"/>
      <c r="AK28" s="1127">
        <f t="shared" si="2"/>
        <v>1655</v>
      </c>
      <c r="AL28" s="1127">
        <f t="shared" si="3"/>
        <v>2502</v>
      </c>
    </row>
    <row r="29" spans="1:38">
      <c r="A29" s="1120">
        <v>49</v>
      </c>
      <c r="B29" s="184" t="s">
        <v>696</v>
      </c>
      <c r="C29" s="1127">
        <v>181</v>
      </c>
      <c r="D29" s="1127">
        <v>1</v>
      </c>
      <c r="E29" s="1127">
        <v>22</v>
      </c>
      <c r="F29" s="1127">
        <v>18</v>
      </c>
      <c r="G29" s="1127">
        <v>24</v>
      </c>
      <c r="H29" s="1127">
        <v>11</v>
      </c>
      <c r="I29" s="1127">
        <v>9</v>
      </c>
      <c r="J29" s="1127">
        <v>15</v>
      </c>
      <c r="K29" s="1127">
        <v>18</v>
      </c>
      <c r="L29" s="1127">
        <v>11</v>
      </c>
      <c r="M29" s="1127">
        <v>10</v>
      </c>
      <c r="N29" s="1127">
        <v>14</v>
      </c>
      <c r="O29" s="1127">
        <v>13</v>
      </c>
      <c r="P29" s="1127">
        <v>8</v>
      </c>
      <c r="Q29" s="1127">
        <v>2</v>
      </c>
      <c r="R29" s="1127">
        <v>3</v>
      </c>
      <c r="S29" s="1127">
        <v>2</v>
      </c>
      <c r="T29" s="1127">
        <v>0</v>
      </c>
      <c r="U29" s="1127">
        <v>0</v>
      </c>
      <c r="V29" s="1127">
        <v>0</v>
      </c>
      <c r="W29" s="1127">
        <v>0</v>
      </c>
      <c r="X29" s="1127"/>
      <c r="Y29" s="1127">
        <v>23</v>
      </c>
      <c r="Z29" s="1127">
        <v>42</v>
      </c>
      <c r="AA29" s="1127">
        <v>20</v>
      </c>
      <c r="AB29" s="1127">
        <v>15</v>
      </c>
      <c r="AC29" s="1127">
        <v>29</v>
      </c>
      <c r="AD29" s="1127">
        <v>24</v>
      </c>
      <c r="AE29" s="1127">
        <v>21</v>
      </c>
      <c r="AF29" s="1127">
        <v>5</v>
      </c>
      <c r="AG29" s="1127">
        <v>2</v>
      </c>
      <c r="AH29" s="1127">
        <v>0</v>
      </c>
      <c r="AI29" s="1127">
        <v>0</v>
      </c>
      <c r="AJ29" s="1127"/>
      <c r="AK29" s="1127">
        <f t="shared" si="2"/>
        <v>85</v>
      </c>
      <c r="AL29" s="1127">
        <f t="shared" si="3"/>
        <v>96</v>
      </c>
    </row>
    <row r="30" spans="1:38">
      <c r="A30" s="1120">
        <v>51</v>
      </c>
      <c r="B30" s="184" t="s">
        <v>697</v>
      </c>
      <c r="C30" s="1127">
        <v>86</v>
      </c>
      <c r="D30" s="1127">
        <v>1</v>
      </c>
      <c r="E30" s="1127">
        <v>9</v>
      </c>
      <c r="F30" s="1127">
        <v>10</v>
      </c>
      <c r="G30" s="1127">
        <v>9</v>
      </c>
      <c r="H30" s="1127">
        <v>3</v>
      </c>
      <c r="I30" s="1127">
        <v>2</v>
      </c>
      <c r="J30" s="1127">
        <v>3</v>
      </c>
      <c r="K30" s="1127">
        <v>6</v>
      </c>
      <c r="L30" s="1127">
        <v>8</v>
      </c>
      <c r="M30" s="1127">
        <v>4</v>
      </c>
      <c r="N30" s="1127">
        <v>5</v>
      </c>
      <c r="O30" s="1127">
        <v>6</v>
      </c>
      <c r="P30" s="1127">
        <v>7</v>
      </c>
      <c r="Q30" s="1127">
        <v>2</v>
      </c>
      <c r="R30" s="1127">
        <v>4</v>
      </c>
      <c r="S30" s="1127">
        <v>0</v>
      </c>
      <c r="T30" s="1127">
        <v>2</v>
      </c>
      <c r="U30" s="1127">
        <v>2</v>
      </c>
      <c r="V30" s="1127">
        <v>1</v>
      </c>
      <c r="W30" s="1127">
        <v>2</v>
      </c>
      <c r="X30" s="1127"/>
      <c r="Y30" s="1127">
        <v>10</v>
      </c>
      <c r="Z30" s="1127">
        <v>19</v>
      </c>
      <c r="AA30" s="1127">
        <v>5</v>
      </c>
      <c r="AB30" s="1127">
        <v>3</v>
      </c>
      <c r="AC30" s="1127">
        <v>14</v>
      </c>
      <c r="AD30" s="1127">
        <v>9</v>
      </c>
      <c r="AE30" s="1127">
        <v>13</v>
      </c>
      <c r="AF30" s="1127">
        <v>6</v>
      </c>
      <c r="AG30" s="1127">
        <v>2</v>
      </c>
      <c r="AH30" s="1127">
        <v>3</v>
      </c>
      <c r="AI30" s="1127">
        <v>2</v>
      </c>
      <c r="AJ30" s="1127"/>
      <c r="AK30" s="1127">
        <f t="shared" si="2"/>
        <v>34</v>
      </c>
      <c r="AL30" s="1127">
        <f t="shared" si="3"/>
        <v>52</v>
      </c>
    </row>
    <row r="31" spans="1:38">
      <c r="A31" s="1120">
        <v>53</v>
      </c>
      <c r="B31" s="184" t="s">
        <v>698</v>
      </c>
      <c r="C31" s="1127">
        <v>674</v>
      </c>
      <c r="D31" s="1127">
        <v>15</v>
      </c>
      <c r="E31" s="1127">
        <v>77</v>
      </c>
      <c r="F31" s="1127">
        <v>75</v>
      </c>
      <c r="G31" s="1127">
        <v>59</v>
      </c>
      <c r="H31" s="1127">
        <v>49</v>
      </c>
      <c r="I31" s="1127">
        <v>36</v>
      </c>
      <c r="J31" s="1127">
        <v>41</v>
      </c>
      <c r="K31" s="1127">
        <v>49</v>
      </c>
      <c r="L31" s="1127">
        <v>60</v>
      </c>
      <c r="M31" s="1127">
        <v>59</v>
      </c>
      <c r="N31" s="1127">
        <v>46</v>
      </c>
      <c r="O31" s="1127">
        <v>38</v>
      </c>
      <c r="P31" s="1127">
        <v>21</v>
      </c>
      <c r="Q31" s="1127">
        <v>23</v>
      </c>
      <c r="R31" s="1127">
        <v>12</v>
      </c>
      <c r="S31" s="1127">
        <v>4</v>
      </c>
      <c r="T31" s="1127">
        <v>1</v>
      </c>
      <c r="U31" s="1127">
        <v>3</v>
      </c>
      <c r="V31" s="1127">
        <v>4</v>
      </c>
      <c r="W31" s="1127">
        <v>2</v>
      </c>
      <c r="X31" s="1127"/>
      <c r="Y31" s="1127">
        <v>92</v>
      </c>
      <c r="Z31" s="1127">
        <v>134</v>
      </c>
      <c r="AA31" s="1127">
        <v>85</v>
      </c>
      <c r="AB31" s="1127">
        <v>41</v>
      </c>
      <c r="AC31" s="1127">
        <v>109</v>
      </c>
      <c r="AD31" s="1127">
        <v>105</v>
      </c>
      <c r="AE31" s="1127">
        <v>59</v>
      </c>
      <c r="AF31" s="1127">
        <v>35</v>
      </c>
      <c r="AG31" s="1127">
        <v>5</v>
      </c>
      <c r="AH31" s="1127">
        <v>7</v>
      </c>
      <c r="AI31" s="1127">
        <v>2</v>
      </c>
      <c r="AJ31" s="1127"/>
      <c r="AK31" s="1127">
        <f t="shared" si="2"/>
        <v>311</v>
      </c>
      <c r="AL31" s="1127">
        <f t="shared" si="3"/>
        <v>363</v>
      </c>
    </row>
    <row r="32" spans="1:38">
      <c r="A32" s="1120">
        <v>57</v>
      </c>
      <c r="B32" s="184" t="s">
        <v>699</v>
      </c>
      <c r="C32" s="1127">
        <v>349</v>
      </c>
      <c r="D32" s="1127">
        <v>5</v>
      </c>
      <c r="E32" s="1127">
        <v>31</v>
      </c>
      <c r="F32" s="1127">
        <v>26</v>
      </c>
      <c r="G32" s="1127">
        <v>35</v>
      </c>
      <c r="H32" s="1127">
        <v>23</v>
      </c>
      <c r="I32" s="1127">
        <v>15</v>
      </c>
      <c r="J32" s="1127">
        <v>40</v>
      </c>
      <c r="K32" s="1127">
        <v>44</v>
      </c>
      <c r="L32" s="1127">
        <v>23</v>
      </c>
      <c r="M32" s="1127">
        <v>23</v>
      </c>
      <c r="N32" s="1127">
        <v>17</v>
      </c>
      <c r="O32" s="1127">
        <v>18</v>
      </c>
      <c r="P32" s="1127">
        <v>19</v>
      </c>
      <c r="Q32" s="1127">
        <v>8</v>
      </c>
      <c r="R32" s="1127">
        <v>5</v>
      </c>
      <c r="S32" s="1127">
        <v>3</v>
      </c>
      <c r="T32" s="1127">
        <v>3</v>
      </c>
      <c r="U32" s="1127">
        <v>2</v>
      </c>
      <c r="V32" s="1127">
        <v>6</v>
      </c>
      <c r="W32" s="1127">
        <v>3</v>
      </c>
      <c r="X32" s="1127"/>
      <c r="Y32" s="1127">
        <v>36</v>
      </c>
      <c r="Z32" s="1127">
        <v>61</v>
      </c>
      <c r="AA32" s="1127">
        <v>38</v>
      </c>
      <c r="AB32" s="1127">
        <v>40</v>
      </c>
      <c r="AC32" s="1127">
        <v>67</v>
      </c>
      <c r="AD32" s="1127">
        <v>40</v>
      </c>
      <c r="AE32" s="1127">
        <v>37</v>
      </c>
      <c r="AF32" s="1127">
        <v>13</v>
      </c>
      <c r="AG32" s="1127">
        <v>6</v>
      </c>
      <c r="AH32" s="1127">
        <v>8</v>
      </c>
      <c r="AI32" s="1127">
        <v>3</v>
      </c>
      <c r="AJ32" s="1127"/>
      <c r="AK32" s="1127">
        <f t="shared" si="2"/>
        <v>135</v>
      </c>
      <c r="AL32" s="1127">
        <f t="shared" si="3"/>
        <v>214</v>
      </c>
    </row>
    <row r="33" spans="1:38">
      <c r="A33" s="1120">
        <v>59</v>
      </c>
      <c r="B33" s="184" t="s">
        <v>956</v>
      </c>
      <c r="C33" s="1127">
        <v>173147</v>
      </c>
      <c r="D33" s="1127">
        <v>3275</v>
      </c>
      <c r="E33" s="1127">
        <v>13275</v>
      </c>
      <c r="F33" s="1127">
        <v>13930</v>
      </c>
      <c r="G33" s="1127">
        <v>12706</v>
      </c>
      <c r="H33" s="1127">
        <v>7651</v>
      </c>
      <c r="I33" s="1127">
        <v>4813</v>
      </c>
      <c r="J33" s="1127">
        <v>14142</v>
      </c>
      <c r="K33" s="1127">
        <v>17626</v>
      </c>
      <c r="L33" s="1127">
        <v>17798</v>
      </c>
      <c r="M33" s="1127">
        <v>15624</v>
      </c>
      <c r="N33" s="1127">
        <v>13864</v>
      </c>
      <c r="O33" s="1127">
        <v>11831</v>
      </c>
      <c r="P33" s="1127">
        <v>9424</v>
      </c>
      <c r="Q33" s="1127">
        <v>6348</v>
      </c>
      <c r="R33" s="1127">
        <v>4281</v>
      </c>
      <c r="S33" s="1127">
        <v>2665</v>
      </c>
      <c r="T33" s="1127">
        <v>1650</v>
      </c>
      <c r="U33" s="1127">
        <v>1033</v>
      </c>
      <c r="V33" s="1127">
        <v>658</v>
      </c>
      <c r="W33" s="1127">
        <v>553</v>
      </c>
      <c r="X33" s="1127"/>
      <c r="Y33" s="1127">
        <v>16550</v>
      </c>
      <c r="Z33" s="1127">
        <v>26636</v>
      </c>
      <c r="AA33" s="1127">
        <v>12464</v>
      </c>
      <c r="AB33" s="1127">
        <v>14142</v>
      </c>
      <c r="AC33" s="1127">
        <v>35424</v>
      </c>
      <c r="AD33" s="1127">
        <v>29488</v>
      </c>
      <c r="AE33" s="1127">
        <v>21255</v>
      </c>
      <c r="AF33" s="1127">
        <v>10629</v>
      </c>
      <c r="AG33" s="1127">
        <v>4315</v>
      </c>
      <c r="AH33" s="1127">
        <v>1691</v>
      </c>
      <c r="AI33" s="1127">
        <v>553</v>
      </c>
      <c r="AJ33" s="1127"/>
      <c r="AK33" s="1127">
        <v>55650</v>
      </c>
      <c r="AL33" s="1127">
        <v>117497</v>
      </c>
    </row>
    <row r="34" spans="1:38">
      <c r="A34" s="1120">
        <v>61</v>
      </c>
      <c r="B34" s="184" t="s">
        <v>700</v>
      </c>
      <c r="C34" s="1127">
        <v>4178</v>
      </c>
      <c r="D34" s="1127">
        <v>70</v>
      </c>
      <c r="E34" s="1127">
        <v>414</v>
      </c>
      <c r="F34" s="1127">
        <v>494</v>
      </c>
      <c r="G34" s="1127">
        <v>394</v>
      </c>
      <c r="H34" s="1127">
        <v>244</v>
      </c>
      <c r="I34" s="1127">
        <v>131</v>
      </c>
      <c r="J34" s="1127">
        <v>313</v>
      </c>
      <c r="K34" s="1127">
        <v>310</v>
      </c>
      <c r="L34" s="1127">
        <v>380</v>
      </c>
      <c r="M34" s="1127">
        <v>353</v>
      </c>
      <c r="N34" s="1127">
        <v>338</v>
      </c>
      <c r="O34" s="1127">
        <v>257</v>
      </c>
      <c r="P34" s="1127">
        <v>166</v>
      </c>
      <c r="Q34" s="1127">
        <v>141</v>
      </c>
      <c r="R34" s="1127">
        <v>67</v>
      </c>
      <c r="S34" s="1127">
        <v>35</v>
      </c>
      <c r="T34" s="1127">
        <v>32</v>
      </c>
      <c r="U34" s="1127">
        <v>23</v>
      </c>
      <c r="V34" s="1127">
        <v>10</v>
      </c>
      <c r="W34" s="1127">
        <v>6</v>
      </c>
      <c r="X34" s="1127"/>
      <c r="Y34" s="1127">
        <v>484</v>
      </c>
      <c r="Z34" s="1127">
        <v>888</v>
      </c>
      <c r="AA34" s="1127">
        <v>375</v>
      </c>
      <c r="AB34" s="1127">
        <v>313</v>
      </c>
      <c r="AC34" s="1127">
        <v>690</v>
      </c>
      <c r="AD34" s="1127">
        <v>691</v>
      </c>
      <c r="AE34" s="1127">
        <v>423</v>
      </c>
      <c r="AF34" s="1127">
        <v>208</v>
      </c>
      <c r="AG34" s="1127">
        <v>67</v>
      </c>
      <c r="AH34" s="1127">
        <v>33</v>
      </c>
      <c r="AI34" s="1127">
        <v>6</v>
      </c>
      <c r="AJ34" s="1127"/>
      <c r="AK34" s="1127">
        <f t="shared" ref="AK34:AK43" si="4">SUM(D34:I34)</f>
        <v>1747</v>
      </c>
      <c r="AL34" s="1127">
        <f t="shared" ref="AL34:AL43" si="5">SUM(J34:W34)</f>
        <v>2431</v>
      </c>
    </row>
    <row r="35" spans="1:38">
      <c r="A35" s="1120">
        <v>63</v>
      </c>
      <c r="B35" s="184" t="s">
        <v>701</v>
      </c>
      <c r="C35" s="1127">
        <v>412</v>
      </c>
      <c r="D35" s="1127">
        <v>7</v>
      </c>
      <c r="E35" s="1127">
        <v>41</v>
      </c>
      <c r="F35" s="1127">
        <v>43</v>
      </c>
      <c r="G35" s="1127">
        <v>28</v>
      </c>
      <c r="H35" s="1127">
        <v>29</v>
      </c>
      <c r="I35" s="1127">
        <v>13</v>
      </c>
      <c r="J35" s="1127">
        <v>42</v>
      </c>
      <c r="K35" s="1127">
        <v>41</v>
      </c>
      <c r="L35" s="1127">
        <v>27</v>
      </c>
      <c r="M35" s="1127">
        <v>36</v>
      </c>
      <c r="N35" s="1127">
        <v>27</v>
      </c>
      <c r="O35" s="1127">
        <v>26</v>
      </c>
      <c r="P35" s="1127">
        <v>12</v>
      </c>
      <c r="Q35" s="1127">
        <v>12</v>
      </c>
      <c r="R35" s="1127">
        <v>8</v>
      </c>
      <c r="S35" s="1127">
        <v>9</v>
      </c>
      <c r="T35" s="1127">
        <v>1</v>
      </c>
      <c r="U35" s="1127">
        <v>4</v>
      </c>
      <c r="V35" s="1127">
        <v>4</v>
      </c>
      <c r="W35" s="1127">
        <v>2</v>
      </c>
      <c r="X35" s="1127"/>
      <c r="Y35" s="1127">
        <v>48</v>
      </c>
      <c r="Z35" s="1127">
        <v>71</v>
      </c>
      <c r="AA35" s="1127">
        <v>42</v>
      </c>
      <c r="AB35" s="1127">
        <v>42</v>
      </c>
      <c r="AC35" s="1127">
        <v>68</v>
      </c>
      <c r="AD35" s="1127">
        <v>63</v>
      </c>
      <c r="AE35" s="1127">
        <v>38</v>
      </c>
      <c r="AF35" s="1127">
        <v>20</v>
      </c>
      <c r="AG35" s="1127">
        <v>10</v>
      </c>
      <c r="AH35" s="1127">
        <v>8</v>
      </c>
      <c r="AI35" s="1127">
        <v>2</v>
      </c>
      <c r="AJ35" s="1127"/>
      <c r="AK35" s="1127">
        <f t="shared" si="4"/>
        <v>161</v>
      </c>
      <c r="AL35" s="1127">
        <f t="shared" si="5"/>
        <v>251</v>
      </c>
    </row>
    <row r="36" spans="1:38">
      <c r="A36" s="1120">
        <v>65</v>
      </c>
      <c r="B36" s="184" t="s">
        <v>702</v>
      </c>
      <c r="C36" s="1127">
        <v>760</v>
      </c>
      <c r="D36" s="1127">
        <v>21</v>
      </c>
      <c r="E36" s="1127">
        <v>78</v>
      </c>
      <c r="F36" s="1127">
        <v>77</v>
      </c>
      <c r="G36" s="1127">
        <v>78</v>
      </c>
      <c r="H36" s="1127">
        <v>44</v>
      </c>
      <c r="I36" s="1127">
        <v>20</v>
      </c>
      <c r="J36" s="1127">
        <v>44</v>
      </c>
      <c r="K36" s="1127">
        <v>59</v>
      </c>
      <c r="L36" s="1127">
        <v>64</v>
      </c>
      <c r="M36" s="1127">
        <v>70</v>
      </c>
      <c r="N36" s="1127">
        <v>58</v>
      </c>
      <c r="O36" s="1127">
        <v>33</v>
      </c>
      <c r="P36" s="1127">
        <v>29</v>
      </c>
      <c r="Q36" s="1127">
        <v>20</v>
      </c>
      <c r="R36" s="1127">
        <v>22</v>
      </c>
      <c r="S36" s="1127">
        <v>19</v>
      </c>
      <c r="T36" s="1127">
        <v>9</v>
      </c>
      <c r="U36" s="1127">
        <v>8</v>
      </c>
      <c r="V36" s="1127">
        <v>4</v>
      </c>
      <c r="W36" s="1127">
        <v>3</v>
      </c>
      <c r="X36" s="1127"/>
      <c r="Y36" s="1127">
        <v>99</v>
      </c>
      <c r="Z36" s="1127">
        <v>155</v>
      </c>
      <c r="AA36" s="1127">
        <v>64</v>
      </c>
      <c r="AB36" s="1127">
        <v>44</v>
      </c>
      <c r="AC36" s="1127">
        <v>123</v>
      </c>
      <c r="AD36" s="1127">
        <v>128</v>
      </c>
      <c r="AE36" s="1127">
        <v>62</v>
      </c>
      <c r="AF36" s="1127">
        <v>42</v>
      </c>
      <c r="AG36" s="1127">
        <v>28</v>
      </c>
      <c r="AH36" s="1127">
        <v>12</v>
      </c>
      <c r="AI36" s="1127">
        <v>3</v>
      </c>
      <c r="AJ36" s="1127"/>
      <c r="AK36" s="1127">
        <f t="shared" si="4"/>
        <v>318</v>
      </c>
      <c r="AL36" s="1127">
        <f t="shared" si="5"/>
        <v>442</v>
      </c>
    </row>
    <row r="37" spans="1:38">
      <c r="A37" s="1120">
        <v>67</v>
      </c>
      <c r="B37" s="184" t="s">
        <v>86</v>
      </c>
      <c r="C37" s="1127">
        <v>1424</v>
      </c>
      <c r="D37" s="1127">
        <v>49</v>
      </c>
      <c r="E37" s="1127">
        <v>164</v>
      </c>
      <c r="F37" s="1127">
        <v>160</v>
      </c>
      <c r="G37" s="1127">
        <v>113</v>
      </c>
      <c r="H37" s="1127">
        <v>75</v>
      </c>
      <c r="I37" s="1127">
        <v>74</v>
      </c>
      <c r="J37" s="1127">
        <v>144</v>
      </c>
      <c r="K37" s="1127">
        <v>126</v>
      </c>
      <c r="L37" s="1127">
        <v>119</v>
      </c>
      <c r="M37" s="1127">
        <v>101</v>
      </c>
      <c r="N37" s="1127">
        <v>85</v>
      </c>
      <c r="O37" s="1127">
        <v>74</v>
      </c>
      <c r="P37" s="1127">
        <v>41</v>
      </c>
      <c r="Q37" s="1127">
        <v>28</v>
      </c>
      <c r="R37" s="1127">
        <v>19</v>
      </c>
      <c r="S37" s="1127">
        <v>16</v>
      </c>
      <c r="T37" s="1127">
        <v>18</v>
      </c>
      <c r="U37" s="1127">
        <v>6</v>
      </c>
      <c r="V37" s="1127">
        <v>9</v>
      </c>
      <c r="W37" s="1127">
        <v>3</v>
      </c>
      <c r="X37" s="1127"/>
      <c r="Y37" s="1127">
        <v>213</v>
      </c>
      <c r="Z37" s="1127">
        <v>273</v>
      </c>
      <c r="AA37" s="1127">
        <v>149</v>
      </c>
      <c r="AB37" s="1127">
        <v>144</v>
      </c>
      <c r="AC37" s="1127">
        <v>245</v>
      </c>
      <c r="AD37" s="1127">
        <v>186</v>
      </c>
      <c r="AE37" s="1127">
        <v>115</v>
      </c>
      <c r="AF37" s="1127">
        <v>47</v>
      </c>
      <c r="AG37" s="1127">
        <v>34</v>
      </c>
      <c r="AH37" s="1127">
        <v>15</v>
      </c>
      <c r="AI37" s="1127">
        <v>3</v>
      </c>
      <c r="AJ37" s="1127"/>
      <c r="AK37" s="1127">
        <f t="shared" si="4"/>
        <v>635</v>
      </c>
      <c r="AL37" s="1127">
        <f t="shared" si="5"/>
        <v>789</v>
      </c>
    </row>
    <row r="38" spans="1:38">
      <c r="A38" s="1120">
        <v>69</v>
      </c>
      <c r="B38" s="184" t="s">
        <v>703</v>
      </c>
      <c r="C38" s="1127">
        <v>5168</v>
      </c>
      <c r="D38" s="1127">
        <v>129</v>
      </c>
      <c r="E38" s="1127">
        <v>565</v>
      </c>
      <c r="F38" s="1127">
        <v>561</v>
      </c>
      <c r="G38" s="1127">
        <v>534</v>
      </c>
      <c r="H38" s="1127">
        <v>284</v>
      </c>
      <c r="I38" s="1127">
        <v>165</v>
      </c>
      <c r="J38" s="1127">
        <v>416</v>
      </c>
      <c r="K38" s="1127">
        <v>478</v>
      </c>
      <c r="L38" s="1127">
        <v>454</v>
      </c>
      <c r="M38" s="1127">
        <v>443</v>
      </c>
      <c r="N38" s="1127">
        <v>388</v>
      </c>
      <c r="O38" s="1127">
        <v>269</v>
      </c>
      <c r="P38" s="1127">
        <v>156</v>
      </c>
      <c r="Q38" s="1127">
        <v>121</v>
      </c>
      <c r="R38" s="1127">
        <v>89</v>
      </c>
      <c r="S38" s="1127">
        <v>35</v>
      </c>
      <c r="T38" s="1127">
        <v>46</v>
      </c>
      <c r="U38" s="1127">
        <v>17</v>
      </c>
      <c r="V38" s="1127">
        <v>6</v>
      </c>
      <c r="W38" s="1127">
        <v>12</v>
      </c>
      <c r="X38" s="1127"/>
      <c r="Y38" s="1127">
        <v>694</v>
      </c>
      <c r="Z38" s="1127">
        <v>1095</v>
      </c>
      <c r="AA38" s="1127">
        <v>449</v>
      </c>
      <c r="AB38" s="1127">
        <v>416</v>
      </c>
      <c r="AC38" s="1127">
        <v>932</v>
      </c>
      <c r="AD38" s="1127">
        <v>831</v>
      </c>
      <c r="AE38" s="1127">
        <v>425</v>
      </c>
      <c r="AF38" s="1127">
        <v>210</v>
      </c>
      <c r="AG38" s="1127">
        <v>81</v>
      </c>
      <c r="AH38" s="1127">
        <v>23</v>
      </c>
      <c r="AI38" s="1127">
        <v>12</v>
      </c>
      <c r="AJ38" s="1127"/>
      <c r="AK38" s="1127">
        <f t="shared" si="4"/>
        <v>2238</v>
      </c>
      <c r="AL38" s="1127">
        <f t="shared" si="5"/>
        <v>2930</v>
      </c>
    </row>
    <row r="39" spans="1:38">
      <c r="A39" s="1120">
        <v>71</v>
      </c>
      <c r="B39" s="184" t="s">
        <v>704</v>
      </c>
      <c r="C39" s="1127">
        <v>209</v>
      </c>
      <c r="D39" s="1127">
        <v>7</v>
      </c>
      <c r="E39" s="1127">
        <v>20</v>
      </c>
      <c r="F39" s="1127">
        <v>23</v>
      </c>
      <c r="G39" s="1127">
        <v>23</v>
      </c>
      <c r="H39" s="1127">
        <v>9</v>
      </c>
      <c r="I39" s="1127">
        <v>4</v>
      </c>
      <c r="J39" s="1127">
        <v>16</v>
      </c>
      <c r="K39" s="1127">
        <v>17</v>
      </c>
      <c r="L39" s="1127">
        <v>14</v>
      </c>
      <c r="M39" s="1127">
        <v>12</v>
      </c>
      <c r="N39" s="1127">
        <v>9</v>
      </c>
      <c r="O39" s="1127">
        <v>14</v>
      </c>
      <c r="P39" s="1127">
        <v>7</v>
      </c>
      <c r="Q39" s="1127">
        <v>8</v>
      </c>
      <c r="R39" s="1127">
        <v>7</v>
      </c>
      <c r="S39" s="1127">
        <v>10</v>
      </c>
      <c r="T39" s="1127">
        <v>2</v>
      </c>
      <c r="U39" s="1127">
        <v>3</v>
      </c>
      <c r="V39" s="1127">
        <v>1</v>
      </c>
      <c r="W39" s="1127">
        <v>3</v>
      </c>
      <c r="X39" s="1127"/>
      <c r="Y39" s="1127">
        <v>27</v>
      </c>
      <c r="Z39" s="1127">
        <v>46</v>
      </c>
      <c r="AA39" s="1127">
        <v>13</v>
      </c>
      <c r="AB39" s="1127">
        <v>16</v>
      </c>
      <c r="AC39" s="1127">
        <v>31</v>
      </c>
      <c r="AD39" s="1127">
        <v>21</v>
      </c>
      <c r="AE39" s="1127">
        <v>21</v>
      </c>
      <c r="AF39" s="1127">
        <v>15</v>
      </c>
      <c r="AG39" s="1127">
        <v>12</v>
      </c>
      <c r="AH39" s="1127">
        <v>4</v>
      </c>
      <c r="AI39" s="1127">
        <v>3</v>
      </c>
      <c r="AJ39" s="1127"/>
      <c r="AK39" s="1127">
        <f t="shared" si="4"/>
        <v>86</v>
      </c>
      <c r="AL39" s="1127">
        <f t="shared" si="5"/>
        <v>123</v>
      </c>
    </row>
    <row r="40" spans="1:38">
      <c r="A40" s="1120">
        <v>73</v>
      </c>
      <c r="B40" s="184" t="s">
        <v>705</v>
      </c>
      <c r="C40" s="1127">
        <v>935</v>
      </c>
      <c r="D40" s="1127">
        <v>23</v>
      </c>
      <c r="E40" s="1127">
        <v>55</v>
      </c>
      <c r="F40" s="1127">
        <v>91</v>
      </c>
      <c r="G40" s="1127">
        <v>103</v>
      </c>
      <c r="H40" s="1127">
        <v>55</v>
      </c>
      <c r="I40" s="1127">
        <v>30</v>
      </c>
      <c r="J40" s="1127">
        <v>78</v>
      </c>
      <c r="K40" s="1127">
        <v>66</v>
      </c>
      <c r="L40" s="1127">
        <v>55</v>
      </c>
      <c r="M40" s="1127">
        <v>69</v>
      </c>
      <c r="N40" s="1127">
        <v>60</v>
      </c>
      <c r="O40" s="1127">
        <v>71</v>
      </c>
      <c r="P40" s="1127">
        <v>70</v>
      </c>
      <c r="Q40" s="1127">
        <v>36</v>
      </c>
      <c r="R40" s="1127">
        <v>30</v>
      </c>
      <c r="S40" s="1127">
        <v>12</v>
      </c>
      <c r="T40" s="1127">
        <v>13</v>
      </c>
      <c r="U40" s="1127">
        <v>8</v>
      </c>
      <c r="V40" s="1127">
        <v>4</v>
      </c>
      <c r="W40" s="1127">
        <v>6</v>
      </c>
      <c r="X40" s="1127"/>
      <c r="Y40" s="1127">
        <v>78</v>
      </c>
      <c r="Z40" s="1127">
        <v>194</v>
      </c>
      <c r="AA40" s="1127">
        <v>85</v>
      </c>
      <c r="AB40" s="1127">
        <v>78</v>
      </c>
      <c r="AC40" s="1127">
        <v>121</v>
      </c>
      <c r="AD40" s="1127">
        <v>129</v>
      </c>
      <c r="AE40" s="1127">
        <v>141</v>
      </c>
      <c r="AF40" s="1127">
        <v>66</v>
      </c>
      <c r="AG40" s="1127">
        <v>25</v>
      </c>
      <c r="AH40" s="1127">
        <v>12</v>
      </c>
      <c r="AI40" s="1127">
        <v>6</v>
      </c>
      <c r="AJ40" s="1127"/>
      <c r="AK40" s="1127">
        <f t="shared" si="4"/>
        <v>357</v>
      </c>
      <c r="AL40" s="1127">
        <f t="shared" si="5"/>
        <v>578</v>
      </c>
    </row>
    <row r="41" spans="1:38">
      <c r="A41" s="1120">
        <v>75</v>
      </c>
      <c r="B41" s="184" t="s">
        <v>706</v>
      </c>
      <c r="C41" s="1127">
        <v>455</v>
      </c>
      <c r="D41" s="1127">
        <v>16</v>
      </c>
      <c r="E41" s="1127">
        <v>41</v>
      </c>
      <c r="F41" s="1127">
        <v>41</v>
      </c>
      <c r="G41" s="1127">
        <v>47</v>
      </c>
      <c r="H41" s="1127">
        <v>17</v>
      </c>
      <c r="I41" s="1127">
        <v>9</v>
      </c>
      <c r="J41" s="1127">
        <v>38</v>
      </c>
      <c r="K41" s="1127">
        <v>39</v>
      </c>
      <c r="L41" s="1127">
        <v>46</v>
      </c>
      <c r="M41" s="1127">
        <v>33</v>
      </c>
      <c r="N41" s="1127">
        <v>30</v>
      </c>
      <c r="O41" s="1127">
        <v>26</v>
      </c>
      <c r="P41" s="1127">
        <v>25</v>
      </c>
      <c r="Q41" s="1127">
        <v>22</v>
      </c>
      <c r="R41" s="1127">
        <v>10</v>
      </c>
      <c r="S41" s="1127">
        <v>5</v>
      </c>
      <c r="T41" s="1127">
        <v>5</v>
      </c>
      <c r="U41" s="1127">
        <v>4</v>
      </c>
      <c r="V41" s="1127">
        <v>1</v>
      </c>
      <c r="W41" s="1127">
        <v>0</v>
      </c>
      <c r="X41" s="1127"/>
      <c r="Y41" s="1127">
        <v>57</v>
      </c>
      <c r="Z41" s="1127">
        <v>88</v>
      </c>
      <c r="AA41" s="1127">
        <v>26</v>
      </c>
      <c r="AB41" s="1127">
        <v>38</v>
      </c>
      <c r="AC41" s="1127">
        <v>85</v>
      </c>
      <c r="AD41" s="1127">
        <v>63</v>
      </c>
      <c r="AE41" s="1127">
        <v>51</v>
      </c>
      <c r="AF41" s="1127">
        <v>32</v>
      </c>
      <c r="AG41" s="1127">
        <v>10</v>
      </c>
      <c r="AH41" s="1127">
        <v>5</v>
      </c>
      <c r="AI41" s="1127">
        <v>0</v>
      </c>
      <c r="AJ41" s="1127"/>
      <c r="AK41" s="1127">
        <f t="shared" si="4"/>
        <v>171</v>
      </c>
      <c r="AL41" s="1127">
        <f t="shared" si="5"/>
        <v>284</v>
      </c>
    </row>
    <row r="42" spans="1:38">
      <c r="A42" s="1120">
        <v>77</v>
      </c>
      <c r="B42" s="184" t="s">
        <v>707</v>
      </c>
      <c r="C42" s="1127">
        <v>416</v>
      </c>
      <c r="D42" s="1127">
        <v>13</v>
      </c>
      <c r="E42" s="1127">
        <v>50</v>
      </c>
      <c r="F42" s="1127">
        <v>42</v>
      </c>
      <c r="G42" s="1127">
        <v>33</v>
      </c>
      <c r="H42" s="1127">
        <v>18</v>
      </c>
      <c r="I42" s="1127">
        <v>23</v>
      </c>
      <c r="J42" s="1127">
        <v>33</v>
      </c>
      <c r="K42" s="1127">
        <v>39</v>
      </c>
      <c r="L42" s="1127">
        <v>25</v>
      </c>
      <c r="M42" s="1127">
        <v>40</v>
      </c>
      <c r="N42" s="1127">
        <v>27</v>
      </c>
      <c r="O42" s="1127">
        <v>27</v>
      </c>
      <c r="P42" s="1127">
        <v>13</v>
      </c>
      <c r="Q42" s="1127">
        <v>17</v>
      </c>
      <c r="R42" s="1127">
        <v>7</v>
      </c>
      <c r="S42" s="1127">
        <v>4</v>
      </c>
      <c r="T42" s="1127">
        <v>1</v>
      </c>
      <c r="U42" s="1127">
        <v>1</v>
      </c>
      <c r="V42" s="1127">
        <v>1</v>
      </c>
      <c r="W42" s="1127">
        <v>2</v>
      </c>
      <c r="X42" s="1127"/>
      <c r="Y42" s="1127">
        <v>63</v>
      </c>
      <c r="Z42" s="1127">
        <v>75</v>
      </c>
      <c r="AA42" s="1127">
        <v>41</v>
      </c>
      <c r="AB42" s="1127">
        <v>33</v>
      </c>
      <c r="AC42" s="1127">
        <v>64</v>
      </c>
      <c r="AD42" s="1127">
        <v>67</v>
      </c>
      <c r="AE42" s="1127">
        <v>40</v>
      </c>
      <c r="AF42" s="1127">
        <v>24</v>
      </c>
      <c r="AG42" s="1127">
        <v>5</v>
      </c>
      <c r="AH42" s="1127">
        <v>2</v>
      </c>
      <c r="AI42" s="1127">
        <v>2</v>
      </c>
      <c r="AJ42" s="1127"/>
      <c r="AK42" s="1127">
        <f t="shared" si="4"/>
        <v>179</v>
      </c>
      <c r="AL42" s="1127">
        <f t="shared" si="5"/>
        <v>237</v>
      </c>
    </row>
    <row r="43" spans="1:38">
      <c r="A43" s="1120">
        <v>79</v>
      </c>
      <c r="B43" s="184" t="s">
        <v>708</v>
      </c>
      <c r="C43" s="1127">
        <v>781</v>
      </c>
      <c r="D43" s="1127">
        <v>18</v>
      </c>
      <c r="E43" s="1127">
        <v>84</v>
      </c>
      <c r="F43" s="1127">
        <v>95</v>
      </c>
      <c r="G43" s="1127">
        <v>84</v>
      </c>
      <c r="H43" s="1127">
        <v>41</v>
      </c>
      <c r="I43" s="1127">
        <v>21</v>
      </c>
      <c r="J43" s="1127">
        <v>41</v>
      </c>
      <c r="K43" s="1127">
        <v>75</v>
      </c>
      <c r="L43" s="1127">
        <v>82</v>
      </c>
      <c r="M43" s="1127">
        <v>83</v>
      </c>
      <c r="N43" s="1127">
        <v>57</v>
      </c>
      <c r="O43" s="1127">
        <v>42</v>
      </c>
      <c r="P43" s="1127">
        <v>16</v>
      </c>
      <c r="Q43" s="1127">
        <v>14</v>
      </c>
      <c r="R43" s="1127">
        <v>11</v>
      </c>
      <c r="S43" s="1127">
        <v>7</v>
      </c>
      <c r="T43" s="1127">
        <v>4</v>
      </c>
      <c r="U43" s="1127">
        <v>4</v>
      </c>
      <c r="V43" s="1127">
        <v>1</v>
      </c>
      <c r="W43" s="1127">
        <v>1</v>
      </c>
      <c r="X43" s="1127"/>
      <c r="Y43" s="1127">
        <v>102</v>
      </c>
      <c r="Z43" s="1127">
        <v>179</v>
      </c>
      <c r="AA43" s="1127">
        <v>62</v>
      </c>
      <c r="AB43" s="1127">
        <v>41</v>
      </c>
      <c r="AC43" s="1127">
        <v>157</v>
      </c>
      <c r="AD43" s="1127">
        <v>140</v>
      </c>
      <c r="AE43" s="1127">
        <v>58</v>
      </c>
      <c r="AF43" s="1127">
        <v>25</v>
      </c>
      <c r="AG43" s="1127">
        <v>11</v>
      </c>
      <c r="AH43" s="1127">
        <v>5</v>
      </c>
      <c r="AI43" s="1127">
        <v>1</v>
      </c>
      <c r="AJ43" s="1127"/>
      <c r="AK43" s="1127">
        <f t="shared" si="4"/>
        <v>343</v>
      </c>
      <c r="AL43" s="1127">
        <f t="shared" si="5"/>
        <v>438</v>
      </c>
    </row>
    <row r="44" spans="1:38">
      <c r="A44" s="1120">
        <v>81</v>
      </c>
      <c r="B44" s="184" t="s">
        <v>1122</v>
      </c>
      <c r="C44" s="1127">
        <v>435</v>
      </c>
      <c r="D44" s="1127">
        <v>10</v>
      </c>
      <c r="E44" s="1127">
        <v>34</v>
      </c>
      <c r="F44" s="1127">
        <v>50</v>
      </c>
      <c r="G44" s="1127">
        <v>25</v>
      </c>
      <c r="H44" s="1127">
        <v>17</v>
      </c>
      <c r="I44" s="1127">
        <v>14</v>
      </c>
      <c r="J44" s="1127">
        <v>42</v>
      </c>
      <c r="K44" s="1127">
        <v>66</v>
      </c>
      <c r="L44" s="1127">
        <v>54</v>
      </c>
      <c r="M44" s="1127">
        <v>41</v>
      </c>
      <c r="N44" s="1127">
        <v>30</v>
      </c>
      <c r="O44" s="1127">
        <v>16</v>
      </c>
      <c r="P44" s="1127">
        <v>15</v>
      </c>
      <c r="Q44" s="1127">
        <v>5</v>
      </c>
      <c r="R44" s="1127">
        <v>6</v>
      </c>
      <c r="S44" s="1127">
        <v>4</v>
      </c>
      <c r="T44" s="1127">
        <v>0</v>
      </c>
      <c r="U44" s="1127">
        <v>3</v>
      </c>
      <c r="V44" s="1127">
        <v>2</v>
      </c>
      <c r="W44" s="1127">
        <v>1</v>
      </c>
      <c r="X44" s="1127"/>
      <c r="Y44" s="1127">
        <v>44</v>
      </c>
      <c r="Z44" s="1127">
        <v>75</v>
      </c>
      <c r="AA44" s="1127">
        <v>31</v>
      </c>
      <c r="AB44" s="1127">
        <v>42</v>
      </c>
      <c r="AC44" s="1127">
        <v>120</v>
      </c>
      <c r="AD44" s="1127">
        <v>71</v>
      </c>
      <c r="AE44" s="1127">
        <v>31</v>
      </c>
      <c r="AF44" s="1127">
        <v>11</v>
      </c>
      <c r="AG44" s="1127">
        <v>4</v>
      </c>
      <c r="AH44" s="1127">
        <v>5</v>
      </c>
      <c r="AI44" s="1127">
        <v>1</v>
      </c>
      <c r="AJ44" s="1127"/>
      <c r="AK44" s="1127">
        <v>150</v>
      </c>
      <c r="AL44" s="1127">
        <v>285</v>
      </c>
    </row>
    <row r="45" spans="1:38">
      <c r="A45" s="1120">
        <v>83</v>
      </c>
      <c r="B45" s="184" t="s">
        <v>1123</v>
      </c>
      <c r="C45" s="1127">
        <v>587</v>
      </c>
      <c r="D45" s="1127">
        <v>7</v>
      </c>
      <c r="E45" s="1127">
        <v>49</v>
      </c>
      <c r="F45" s="1127">
        <v>64</v>
      </c>
      <c r="G45" s="1127">
        <v>76</v>
      </c>
      <c r="H45" s="1127">
        <v>42</v>
      </c>
      <c r="I45" s="1127">
        <v>16</v>
      </c>
      <c r="J45" s="1127">
        <v>36</v>
      </c>
      <c r="K45" s="1127">
        <v>43</v>
      </c>
      <c r="L45" s="1127">
        <v>39</v>
      </c>
      <c r="M45" s="1127">
        <v>41</v>
      </c>
      <c r="N45" s="1127">
        <v>35</v>
      </c>
      <c r="O45" s="1127">
        <v>29</v>
      </c>
      <c r="P45" s="1127">
        <v>23</v>
      </c>
      <c r="Q45" s="1127">
        <v>30</v>
      </c>
      <c r="R45" s="1127">
        <v>25</v>
      </c>
      <c r="S45" s="1127">
        <v>11</v>
      </c>
      <c r="T45" s="1127">
        <v>6</v>
      </c>
      <c r="U45" s="1127">
        <v>10</v>
      </c>
      <c r="V45" s="1127">
        <v>5</v>
      </c>
      <c r="W45" s="1127">
        <v>0</v>
      </c>
      <c r="X45" s="1127"/>
      <c r="Y45" s="1127">
        <v>56</v>
      </c>
      <c r="Z45" s="1127">
        <v>140</v>
      </c>
      <c r="AA45" s="1127">
        <v>58</v>
      </c>
      <c r="AB45" s="1127">
        <v>36</v>
      </c>
      <c r="AC45" s="1127">
        <v>82</v>
      </c>
      <c r="AD45" s="1127">
        <v>76</v>
      </c>
      <c r="AE45" s="1127">
        <v>52</v>
      </c>
      <c r="AF45" s="1127">
        <v>55</v>
      </c>
      <c r="AG45" s="1127">
        <v>17</v>
      </c>
      <c r="AH45" s="1127">
        <v>15</v>
      </c>
      <c r="AI45" s="1127">
        <v>0</v>
      </c>
      <c r="AJ45" s="1127"/>
      <c r="AK45" s="1127">
        <f>SUM(D45:I45)</f>
        <v>254</v>
      </c>
      <c r="AL45" s="1127">
        <f>SUM(J45:W45)</f>
        <v>333</v>
      </c>
    </row>
    <row r="46" spans="1:38">
      <c r="A46" s="1120">
        <v>85</v>
      </c>
      <c r="B46" s="184" t="s">
        <v>709</v>
      </c>
      <c r="C46" s="1127">
        <v>2116</v>
      </c>
      <c r="D46" s="1127">
        <v>41</v>
      </c>
      <c r="E46" s="1127">
        <v>163</v>
      </c>
      <c r="F46" s="1127">
        <v>191</v>
      </c>
      <c r="G46" s="1127">
        <v>215</v>
      </c>
      <c r="H46" s="1127">
        <v>154</v>
      </c>
      <c r="I46" s="1127">
        <v>67</v>
      </c>
      <c r="J46" s="1127">
        <v>190</v>
      </c>
      <c r="K46" s="1127">
        <v>182</v>
      </c>
      <c r="L46" s="1127">
        <v>171</v>
      </c>
      <c r="M46" s="1127">
        <v>171</v>
      </c>
      <c r="N46" s="1127">
        <v>136</v>
      </c>
      <c r="O46" s="1127">
        <v>135</v>
      </c>
      <c r="P46" s="1127">
        <v>131</v>
      </c>
      <c r="Q46" s="1127">
        <v>58</v>
      </c>
      <c r="R46" s="1127">
        <v>35</v>
      </c>
      <c r="S46" s="1127">
        <v>18</v>
      </c>
      <c r="T46" s="1127">
        <v>17</v>
      </c>
      <c r="U46" s="1127">
        <v>21</v>
      </c>
      <c r="V46" s="1127">
        <v>7</v>
      </c>
      <c r="W46" s="1127">
        <v>13</v>
      </c>
      <c r="X46" s="1127"/>
      <c r="Y46" s="1127">
        <v>204</v>
      </c>
      <c r="Z46" s="1127">
        <v>406</v>
      </c>
      <c r="AA46" s="1127">
        <v>221</v>
      </c>
      <c r="AB46" s="1127">
        <v>190</v>
      </c>
      <c r="AC46" s="1127">
        <v>353</v>
      </c>
      <c r="AD46" s="1127">
        <v>307</v>
      </c>
      <c r="AE46" s="1127">
        <v>266</v>
      </c>
      <c r="AF46" s="1127">
        <v>93</v>
      </c>
      <c r="AG46" s="1127">
        <v>35</v>
      </c>
      <c r="AH46" s="1127">
        <v>28</v>
      </c>
      <c r="AI46" s="1127">
        <v>13</v>
      </c>
      <c r="AJ46" s="1127"/>
      <c r="AK46" s="1127">
        <f>SUM(D46:I46)</f>
        <v>831</v>
      </c>
      <c r="AL46" s="1127">
        <f>SUM(J46:W46)</f>
        <v>1285</v>
      </c>
    </row>
    <row r="47" spans="1:38">
      <c r="A47" s="1120">
        <v>87</v>
      </c>
      <c r="B47" s="184" t="s">
        <v>710</v>
      </c>
      <c r="C47" s="1127">
        <v>15001</v>
      </c>
      <c r="D47" s="1127">
        <v>341</v>
      </c>
      <c r="E47" s="1127">
        <v>1380</v>
      </c>
      <c r="F47" s="1127">
        <v>1441</v>
      </c>
      <c r="G47" s="1127">
        <v>1191</v>
      </c>
      <c r="H47" s="1127">
        <v>694</v>
      </c>
      <c r="I47" s="1127">
        <v>433</v>
      </c>
      <c r="J47" s="1127">
        <v>1480</v>
      </c>
      <c r="K47" s="1127">
        <v>1746</v>
      </c>
      <c r="L47" s="1127">
        <v>1596</v>
      </c>
      <c r="M47" s="1127">
        <v>1298</v>
      </c>
      <c r="N47" s="1127">
        <v>985</v>
      </c>
      <c r="O47" s="1127">
        <v>809</v>
      </c>
      <c r="P47" s="1127">
        <v>505</v>
      </c>
      <c r="Q47" s="1127">
        <v>368</v>
      </c>
      <c r="R47" s="1127">
        <v>238</v>
      </c>
      <c r="S47" s="1127">
        <v>182</v>
      </c>
      <c r="T47" s="1127">
        <v>109</v>
      </c>
      <c r="U47" s="1127">
        <v>85</v>
      </c>
      <c r="V47" s="1127">
        <v>63</v>
      </c>
      <c r="W47" s="1127">
        <v>57</v>
      </c>
      <c r="X47" s="1127"/>
      <c r="Y47" s="1127">
        <v>1721</v>
      </c>
      <c r="Z47" s="1127">
        <v>2632</v>
      </c>
      <c r="AA47" s="1127">
        <v>1127</v>
      </c>
      <c r="AB47" s="1127">
        <v>1480</v>
      </c>
      <c r="AC47" s="1127">
        <v>3342</v>
      </c>
      <c r="AD47" s="1127">
        <v>2283</v>
      </c>
      <c r="AE47" s="1127">
        <v>1314</v>
      </c>
      <c r="AF47" s="1127">
        <v>606</v>
      </c>
      <c r="AG47" s="1127">
        <v>291</v>
      </c>
      <c r="AH47" s="1127">
        <v>148</v>
      </c>
      <c r="AI47" s="1127">
        <v>57</v>
      </c>
      <c r="AJ47" s="1127"/>
      <c r="AK47" s="1127">
        <f>SUM(D47:I47)</f>
        <v>5480</v>
      </c>
      <c r="AL47" s="1127">
        <f>SUM(J47:W47)</f>
        <v>9521</v>
      </c>
    </row>
    <row r="48" spans="1:38">
      <c r="A48" s="1120">
        <v>89</v>
      </c>
      <c r="B48" s="184" t="s">
        <v>1121</v>
      </c>
      <c r="C48" s="1127">
        <v>3097</v>
      </c>
      <c r="D48" s="1127">
        <v>81</v>
      </c>
      <c r="E48" s="1127">
        <v>351</v>
      </c>
      <c r="F48" s="1127">
        <v>416</v>
      </c>
      <c r="G48" s="1127">
        <v>315</v>
      </c>
      <c r="H48" s="1127">
        <v>141</v>
      </c>
      <c r="I48" s="1127">
        <v>80</v>
      </c>
      <c r="J48" s="1127">
        <v>269</v>
      </c>
      <c r="K48" s="1127">
        <v>318</v>
      </c>
      <c r="L48" s="1127">
        <v>322</v>
      </c>
      <c r="M48" s="1127">
        <v>237</v>
      </c>
      <c r="N48" s="1127">
        <v>203</v>
      </c>
      <c r="O48" s="1127">
        <v>130</v>
      </c>
      <c r="P48" s="1127">
        <v>93</v>
      </c>
      <c r="Q48" s="1127">
        <v>54</v>
      </c>
      <c r="R48" s="1127">
        <v>39</v>
      </c>
      <c r="S48" s="1127">
        <v>12</v>
      </c>
      <c r="T48" s="1127">
        <v>16</v>
      </c>
      <c r="U48" s="1127">
        <v>5</v>
      </c>
      <c r="V48" s="1127">
        <v>12</v>
      </c>
      <c r="W48" s="1127">
        <v>3</v>
      </c>
      <c r="X48" s="1127"/>
      <c r="Y48" s="1127">
        <v>432</v>
      </c>
      <c r="Z48" s="1127">
        <v>731</v>
      </c>
      <c r="AA48" s="1127">
        <v>221</v>
      </c>
      <c r="AB48" s="1127">
        <v>269</v>
      </c>
      <c r="AC48" s="1127">
        <v>640</v>
      </c>
      <c r="AD48" s="1127">
        <v>440</v>
      </c>
      <c r="AE48" s="1127">
        <v>223</v>
      </c>
      <c r="AF48" s="1127">
        <v>93</v>
      </c>
      <c r="AG48" s="1127">
        <v>28</v>
      </c>
      <c r="AH48" s="1127">
        <v>17</v>
      </c>
      <c r="AI48" s="1127">
        <v>3</v>
      </c>
      <c r="AJ48" s="1127"/>
      <c r="AK48" s="1127">
        <v>1384</v>
      </c>
      <c r="AL48" s="1127">
        <v>1713</v>
      </c>
    </row>
    <row r="49" spans="1:38">
      <c r="A49" s="1120">
        <v>91</v>
      </c>
      <c r="B49" s="184" t="s">
        <v>711</v>
      </c>
      <c r="C49" s="1127">
        <v>18</v>
      </c>
      <c r="D49" s="1127">
        <v>1</v>
      </c>
      <c r="E49" s="1127">
        <v>1</v>
      </c>
      <c r="F49" s="1127">
        <v>0</v>
      </c>
      <c r="G49" s="1127">
        <v>1</v>
      </c>
      <c r="H49" s="1127">
        <v>2</v>
      </c>
      <c r="I49" s="1127">
        <v>1</v>
      </c>
      <c r="J49" s="1127">
        <v>2</v>
      </c>
      <c r="K49" s="1127">
        <v>1</v>
      </c>
      <c r="L49" s="1127">
        <v>0</v>
      </c>
      <c r="M49" s="1127">
        <v>0</v>
      </c>
      <c r="N49" s="1127">
        <v>1</v>
      </c>
      <c r="O49" s="1127">
        <v>1</v>
      </c>
      <c r="P49" s="1127">
        <v>2</v>
      </c>
      <c r="Q49" s="1127">
        <v>0</v>
      </c>
      <c r="R49" s="1127">
        <v>2</v>
      </c>
      <c r="S49" s="1127">
        <v>0</v>
      </c>
      <c r="T49" s="1127">
        <v>1</v>
      </c>
      <c r="U49" s="1127">
        <v>2</v>
      </c>
      <c r="V49" s="1127">
        <v>0</v>
      </c>
      <c r="W49" s="1127">
        <v>0</v>
      </c>
      <c r="X49" s="1127"/>
      <c r="Y49" s="1127">
        <v>2</v>
      </c>
      <c r="Z49" s="1127">
        <v>1</v>
      </c>
      <c r="AA49" s="1127">
        <v>3</v>
      </c>
      <c r="AB49" s="1127">
        <v>2</v>
      </c>
      <c r="AC49" s="1127">
        <v>1</v>
      </c>
      <c r="AD49" s="1127">
        <v>1</v>
      </c>
      <c r="AE49" s="1127">
        <v>3</v>
      </c>
      <c r="AF49" s="1127">
        <v>2</v>
      </c>
      <c r="AG49" s="1127">
        <v>1</v>
      </c>
      <c r="AH49" s="1127">
        <v>2</v>
      </c>
      <c r="AI49" s="1127">
        <v>0</v>
      </c>
      <c r="AJ49" s="1127"/>
      <c r="AK49" s="1127">
        <f t="shared" ref="AK49:AK80" si="6">SUM(D49:I49)</f>
        <v>6</v>
      </c>
      <c r="AL49" s="1127">
        <f t="shared" ref="AL49:AL80" si="7">SUM(J49:W49)</f>
        <v>12</v>
      </c>
    </row>
    <row r="50" spans="1:38">
      <c r="A50" s="1120">
        <v>93</v>
      </c>
      <c r="B50" s="184" t="s">
        <v>712</v>
      </c>
      <c r="C50" s="1127">
        <v>658</v>
      </c>
      <c r="D50" s="1127">
        <v>12</v>
      </c>
      <c r="E50" s="1127">
        <v>70</v>
      </c>
      <c r="F50" s="1127">
        <v>91</v>
      </c>
      <c r="G50" s="1127">
        <v>59</v>
      </c>
      <c r="H50" s="1127">
        <v>36</v>
      </c>
      <c r="I50" s="1127">
        <v>19</v>
      </c>
      <c r="J50" s="1127">
        <v>55</v>
      </c>
      <c r="K50" s="1127">
        <v>43</v>
      </c>
      <c r="L50" s="1127">
        <v>45</v>
      </c>
      <c r="M50" s="1127">
        <v>53</v>
      </c>
      <c r="N50" s="1127">
        <v>52</v>
      </c>
      <c r="O50" s="1127">
        <v>32</v>
      </c>
      <c r="P50" s="1127">
        <v>24</v>
      </c>
      <c r="Q50" s="1127">
        <v>23</v>
      </c>
      <c r="R50" s="1127">
        <v>17</v>
      </c>
      <c r="S50" s="1127">
        <v>9</v>
      </c>
      <c r="T50" s="1127">
        <v>9</v>
      </c>
      <c r="U50" s="1127">
        <v>6</v>
      </c>
      <c r="V50" s="1127">
        <v>3</v>
      </c>
      <c r="W50" s="1127">
        <v>0</v>
      </c>
      <c r="X50" s="1127"/>
      <c r="Y50" s="1127">
        <v>82</v>
      </c>
      <c r="Z50" s="1127">
        <v>150</v>
      </c>
      <c r="AA50" s="1127">
        <v>55</v>
      </c>
      <c r="AB50" s="1127">
        <v>55</v>
      </c>
      <c r="AC50" s="1127">
        <v>88</v>
      </c>
      <c r="AD50" s="1127">
        <v>105</v>
      </c>
      <c r="AE50" s="1127">
        <v>56</v>
      </c>
      <c r="AF50" s="1127">
        <v>40</v>
      </c>
      <c r="AG50" s="1127">
        <v>18</v>
      </c>
      <c r="AH50" s="1127">
        <v>9</v>
      </c>
      <c r="AI50" s="1127">
        <v>0</v>
      </c>
      <c r="AJ50" s="1127"/>
      <c r="AK50" s="1127">
        <f t="shared" si="6"/>
        <v>287</v>
      </c>
      <c r="AL50" s="1127">
        <f t="shared" si="7"/>
        <v>371</v>
      </c>
    </row>
    <row r="51" spans="1:38">
      <c r="A51" s="1120">
        <v>95</v>
      </c>
      <c r="B51" s="184" t="s">
        <v>334</v>
      </c>
      <c r="C51" s="1127">
        <v>3024</v>
      </c>
      <c r="D51" s="1127">
        <v>61</v>
      </c>
      <c r="E51" s="1127">
        <v>254</v>
      </c>
      <c r="F51" s="1127">
        <v>284</v>
      </c>
      <c r="G51" s="1127">
        <v>288</v>
      </c>
      <c r="H51" s="1127">
        <v>171</v>
      </c>
      <c r="I51" s="1127">
        <v>96</v>
      </c>
      <c r="J51" s="1127">
        <v>302</v>
      </c>
      <c r="K51" s="1127">
        <v>260</v>
      </c>
      <c r="L51" s="1127">
        <v>236</v>
      </c>
      <c r="M51" s="1127">
        <v>230</v>
      </c>
      <c r="N51" s="1127">
        <v>217</v>
      </c>
      <c r="O51" s="1127">
        <v>186</v>
      </c>
      <c r="P51" s="1127">
        <v>125</v>
      </c>
      <c r="Q51" s="1127">
        <v>109</v>
      </c>
      <c r="R51" s="1127">
        <v>67</v>
      </c>
      <c r="S51" s="1127">
        <v>55</v>
      </c>
      <c r="T51" s="1127">
        <v>33</v>
      </c>
      <c r="U51" s="1127">
        <v>24</v>
      </c>
      <c r="V51" s="1127">
        <v>18</v>
      </c>
      <c r="W51" s="1127">
        <v>8</v>
      </c>
      <c r="X51" s="1127"/>
      <c r="Y51" s="1127">
        <v>315</v>
      </c>
      <c r="Z51" s="1127">
        <v>572</v>
      </c>
      <c r="AA51" s="1127">
        <v>267</v>
      </c>
      <c r="AB51" s="1127">
        <v>302</v>
      </c>
      <c r="AC51" s="1127">
        <v>496</v>
      </c>
      <c r="AD51" s="1127">
        <v>447</v>
      </c>
      <c r="AE51" s="1127">
        <v>311</v>
      </c>
      <c r="AF51" s="1127">
        <v>176</v>
      </c>
      <c r="AG51" s="1127">
        <v>88</v>
      </c>
      <c r="AH51" s="1127">
        <v>42</v>
      </c>
      <c r="AI51" s="1127">
        <v>8</v>
      </c>
      <c r="AJ51" s="1127"/>
      <c r="AK51" s="1127">
        <f t="shared" si="6"/>
        <v>1154</v>
      </c>
      <c r="AL51" s="1127">
        <f t="shared" si="7"/>
        <v>1870</v>
      </c>
    </row>
    <row r="52" spans="1:38">
      <c r="A52" s="1120">
        <v>97</v>
      </c>
      <c r="B52" s="184" t="s">
        <v>713</v>
      </c>
      <c r="C52" s="1127">
        <v>184</v>
      </c>
      <c r="D52" s="1127">
        <v>7</v>
      </c>
      <c r="E52" s="1127">
        <v>16</v>
      </c>
      <c r="F52" s="1127">
        <v>21</v>
      </c>
      <c r="G52" s="1127">
        <v>24</v>
      </c>
      <c r="H52" s="1127">
        <v>10</v>
      </c>
      <c r="I52" s="1127">
        <v>6</v>
      </c>
      <c r="J52" s="1127">
        <v>18</v>
      </c>
      <c r="K52" s="1127">
        <v>14</v>
      </c>
      <c r="L52" s="1127">
        <v>16</v>
      </c>
      <c r="M52" s="1127">
        <v>13</v>
      </c>
      <c r="N52" s="1127">
        <v>14</v>
      </c>
      <c r="O52" s="1127">
        <v>10</v>
      </c>
      <c r="P52" s="1127">
        <v>5</v>
      </c>
      <c r="Q52" s="1127">
        <v>6</v>
      </c>
      <c r="R52" s="1127">
        <v>2</v>
      </c>
      <c r="S52" s="1127">
        <v>0</v>
      </c>
      <c r="T52" s="1127">
        <v>0</v>
      </c>
      <c r="U52" s="1127">
        <v>1</v>
      </c>
      <c r="V52" s="1127">
        <v>1</v>
      </c>
      <c r="W52" s="1127">
        <v>0</v>
      </c>
      <c r="X52" s="1127"/>
      <c r="Y52" s="1127">
        <v>23</v>
      </c>
      <c r="Z52" s="1127">
        <v>45</v>
      </c>
      <c r="AA52" s="1127">
        <v>16</v>
      </c>
      <c r="AB52" s="1127">
        <v>18</v>
      </c>
      <c r="AC52" s="1127">
        <v>30</v>
      </c>
      <c r="AD52" s="1127">
        <v>27</v>
      </c>
      <c r="AE52" s="1127">
        <v>15</v>
      </c>
      <c r="AF52" s="1127">
        <v>8</v>
      </c>
      <c r="AG52" s="1127">
        <v>0</v>
      </c>
      <c r="AH52" s="1127">
        <v>2</v>
      </c>
      <c r="AI52" s="1127">
        <v>0</v>
      </c>
      <c r="AJ52" s="1127"/>
      <c r="AK52" s="1127">
        <f t="shared" si="6"/>
        <v>84</v>
      </c>
      <c r="AL52" s="1127">
        <f t="shared" si="7"/>
        <v>100</v>
      </c>
    </row>
    <row r="53" spans="1:38">
      <c r="A53" s="1120">
        <v>99</v>
      </c>
      <c r="B53" s="184" t="s">
        <v>714</v>
      </c>
      <c r="C53" s="1127">
        <v>790</v>
      </c>
      <c r="D53" s="1127">
        <v>20</v>
      </c>
      <c r="E53" s="1127">
        <v>78</v>
      </c>
      <c r="F53" s="1127">
        <v>94</v>
      </c>
      <c r="G53" s="1127">
        <v>91</v>
      </c>
      <c r="H53" s="1127">
        <v>39</v>
      </c>
      <c r="I53" s="1127">
        <v>31</v>
      </c>
      <c r="J53" s="1127">
        <v>56</v>
      </c>
      <c r="K53" s="1127">
        <v>62</v>
      </c>
      <c r="L53" s="1127">
        <v>59</v>
      </c>
      <c r="M53" s="1127">
        <v>64</v>
      </c>
      <c r="N53" s="1127">
        <v>56</v>
      </c>
      <c r="O53" s="1127">
        <v>48</v>
      </c>
      <c r="P53" s="1127">
        <v>40</v>
      </c>
      <c r="Q53" s="1127">
        <v>14</v>
      </c>
      <c r="R53" s="1127">
        <v>20</v>
      </c>
      <c r="S53" s="1127">
        <v>7</v>
      </c>
      <c r="T53" s="1127">
        <v>4</v>
      </c>
      <c r="U53" s="1127">
        <v>3</v>
      </c>
      <c r="V53" s="1127">
        <v>4</v>
      </c>
      <c r="W53" s="1127">
        <v>0</v>
      </c>
      <c r="X53" s="1127"/>
      <c r="Y53" s="1127">
        <v>98</v>
      </c>
      <c r="Z53" s="1127">
        <v>185</v>
      </c>
      <c r="AA53" s="1127">
        <v>70</v>
      </c>
      <c r="AB53" s="1127">
        <v>56</v>
      </c>
      <c r="AC53" s="1127">
        <v>121</v>
      </c>
      <c r="AD53" s="1127">
        <v>120</v>
      </c>
      <c r="AE53" s="1127">
        <v>88</v>
      </c>
      <c r="AF53" s="1127">
        <v>34</v>
      </c>
      <c r="AG53" s="1127">
        <v>11</v>
      </c>
      <c r="AH53" s="1127">
        <v>7</v>
      </c>
      <c r="AI53" s="1127">
        <v>0</v>
      </c>
      <c r="AJ53" s="1127"/>
      <c r="AK53" s="1127">
        <f t="shared" si="6"/>
        <v>353</v>
      </c>
      <c r="AL53" s="1127">
        <f t="shared" si="7"/>
        <v>437</v>
      </c>
    </row>
    <row r="54" spans="1:38">
      <c r="A54" s="1120">
        <v>101</v>
      </c>
      <c r="B54" s="184" t="s">
        <v>715</v>
      </c>
      <c r="C54" s="1127">
        <v>324</v>
      </c>
      <c r="D54" s="1127">
        <v>7</v>
      </c>
      <c r="E54" s="1127">
        <v>36</v>
      </c>
      <c r="F54" s="1127">
        <v>38</v>
      </c>
      <c r="G54" s="1127">
        <v>27</v>
      </c>
      <c r="H54" s="1127">
        <v>13</v>
      </c>
      <c r="I54" s="1127">
        <v>14</v>
      </c>
      <c r="J54" s="1127">
        <v>34</v>
      </c>
      <c r="K54" s="1127">
        <v>37</v>
      </c>
      <c r="L54" s="1127">
        <v>23</v>
      </c>
      <c r="M54" s="1127">
        <v>27</v>
      </c>
      <c r="N54" s="1127">
        <v>20</v>
      </c>
      <c r="O54" s="1127">
        <v>19</v>
      </c>
      <c r="P54" s="1127">
        <v>14</v>
      </c>
      <c r="Q54" s="1127">
        <v>3</v>
      </c>
      <c r="R54" s="1127">
        <v>0</v>
      </c>
      <c r="S54" s="1127">
        <v>8</v>
      </c>
      <c r="T54" s="1127">
        <v>3</v>
      </c>
      <c r="U54" s="1127">
        <v>0</v>
      </c>
      <c r="V54" s="1127">
        <v>0</v>
      </c>
      <c r="W54" s="1127">
        <v>1</v>
      </c>
      <c r="X54" s="1127"/>
      <c r="Y54" s="1127">
        <v>43</v>
      </c>
      <c r="Z54" s="1127">
        <v>65</v>
      </c>
      <c r="AA54" s="1127">
        <v>27</v>
      </c>
      <c r="AB54" s="1127">
        <v>34</v>
      </c>
      <c r="AC54" s="1127">
        <v>60</v>
      </c>
      <c r="AD54" s="1127">
        <v>47</v>
      </c>
      <c r="AE54" s="1127">
        <v>33</v>
      </c>
      <c r="AF54" s="1127">
        <v>3</v>
      </c>
      <c r="AG54" s="1127">
        <v>11</v>
      </c>
      <c r="AH54" s="1127">
        <v>0</v>
      </c>
      <c r="AI54" s="1127">
        <v>1</v>
      </c>
      <c r="AJ54" s="1127"/>
      <c r="AK54" s="1127">
        <f t="shared" si="6"/>
        <v>135</v>
      </c>
      <c r="AL54" s="1127">
        <f t="shared" si="7"/>
        <v>189</v>
      </c>
    </row>
    <row r="55" spans="1:38">
      <c r="A55" s="1120">
        <v>103</v>
      </c>
      <c r="B55" s="184" t="s">
        <v>716</v>
      </c>
      <c r="C55" s="1127">
        <v>118</v>
      </c>
      <c r="D55" s="1127">
        <v>0</v>
      </c>
      <c r="E55" s="1127">
        <v>10</v>
      </c>
      <c r="F55" s="1127">
        <v>12</v>
      </c>
      <c r="G55" s="1127">
        <v>9</v>
      </c>
      <c r="H55" s="1127">
        <v>5</v>
      </c>
      <c r="I55" s="1127">
        <v>4</v>
      </c>
      <c r="J55" s="1127">
        <v>11</v>
      </c>
      <c r="K55" s="1127">
        <v>7</v>
      </c>
      <c r="L55" s="1127">
        <v>9</v>
      </c>
      <c r="M55" s="1127">
        <v>8</v>
      </c>
      <c r="N55" s="1127">
        <v>7</v>
      </c>
      <c r="O55" s="1127">
        <v>5</v>
      </c>
      <c r="P55" s="1127">
        <v>5</v>
      </c>
      <c r="Q55" s="1127">
        <v>1</v>
      </c>
      <c r="R55" s="1127">
        <v>7</v>
      </c>
      <c r="S55" s="1127">
        <v>11</v>
      </c>
      <c r="T55" s="1127">
        <v>2</v>
      </c>
      <c r="U55" s="1127">
        <v>1</v>
      </c>
      <c r="V55" s="1127">
        <v>1</v>
      </c>
      <c r="W55" s="1127">
        <v>3</v>
      </c>
      <c r="X55" s="1127"/>
      <c r="Y55" s="1127">
        <v>10</v>
      </c>
      <c r="Z55" s="1127">
        <v>21</v>
      </c>
      <c r="AA55" s="1127">
        <v>9</v>
      </c>
      <c r="AB55" s="1127">
        <v>11</v>
      </c>
      <c r="AC55" s="1127">
        <v>16</v>
      </c>
      <c r="AD55" s="1127">
        <v>15</v>
      </c>
      <c r="AE55" s="1127">
        <v>10</v>
      </c>
      <c r="AF55" s="1127">
        <v>8</v>
      </c>
      <c r="AG55" s="1127">
        <v>13</v>
      </c>
      <c r="AH55" s="1127">
        <v>2</v>
      </c>
      <c r="AI55" s="1127">
        <v>3</v>
      </c>
      <c r="AJ55" s="1127"/>
      <c r="AK55" s="1127">
        <f t="shared" si="6"/>
        <v>40</v>
      </c>
      <c r="AL55" s="1127">
        <f t="shared" si="7"/>
        <v>78</v>
      </c>
    </row>
    <row r="56" spans="1:38">
      <c r="A56" s="1120">
        <v>105</v>
      </c>
      <c r="B56" s="184" t="s">
        <v>717</v>
      </c>
      <c r="C56" s="1127">
        <v>406</v>
      </c>
      <c r="D56" s="1127">
        <v>2</v>
      </c>
      <c r="E56" s="1127">
        <v>17</v>
      </c>
      <c r="F56" s="1127">
        <v>25</v>
      </c>
      <c r="G56" s="1127">
        <v>15</v>
      </c>
      <c r="H56" s="1127">
        <v>4</v>
      </c>
      <c r="I56" s="1127">
        <v>5</v>
      </c>
      <c r="J56" s="1127">
        <v>31</v>
      </c>
      <c r="K56" s="1127">
        <v>64</v>
      </c>
      <c r="L56" s="1127">
        <v>92</v>
      </c>
      <c r="M56" s="1127">
        <v>56</v>
      </c>
      <c r="N56" s="1127">
        <v>36</v>
      </c>
      <c r="O56" s="1127">
        <v>21</v>
      </c>
      <c r="P56" s="1127">
        <v>11</v>
      </c>
      <c r="Q56" s="1127">
        <v>8</v>
      </c>
      <c r="R56" s="1127">
        <v>11</v>
      </c>
      <c r="S56" s="1127">
        <v>3</v>
      </c>
      <c r="T56" s="1127">
        <v>2</v>
      </c>
      <c r="U56" s="1127">
        <v>1</v>
      </c>
      <c r="V56" s="1127">
        <v>1</v>
      </c>
      <c r="W56" s="1127">
        <v>1</v>
      </c>
      <c r="X56" s="1127"/>
      <c r="Y56" s="1127">
        <v>19</v>
      </c>
      <c r="Z56" s="1127">
        <v>40</v>
      </c>
      <c r="AA56" s="1127">
        <v>9</v>
      </c>
      <c r="AB56" s="1127">
        <v>31</v>
      </c>
      <c r="AC56" s="1127">
        <v>156</v>
      </c>
      <c r="AD56" s="1127">
        <v>92</v>
      </c>
      <c r="AE56" s="1127">
        <v>32</v>
      </c>
      <c r="AF56" s="1127">
        <v>19</v>
      </c>
      <c r="AG56" s="1127">
        <v>5</v>
      </c>
      <c r="AH56" s="1127">
        <v>2</v>
      </c>
      <c r="AI56" s="1127">
        <v>1</v>
      </c>
      <c r="AJ56" s="1127"/>
      <c r="AK56" s="1127">
        <f t="shared" si="6"/>
        <v>68</v>
      </c>
      <c r="AL56" s="1127">
        <f t="shared" si="7"/>
        <v>338</v>
      </c>
    </row>
    <row r="57" spans="1:38">
      <c r="A57" s="1120">
        <v>107</v>
      </c>
      <c r="B57" s="184" t="s">
        <v>718</v>
      </c>
      <c r="C57" s="1127">
        <v>38576</v>
      </c>
      <c r="D57" s="1127">
        <v>783</v>
      </c>
      <c r="E57" s="1127">
        <v>3393</v>
      </c>
      <c r="F57" s="1127">
        <v>3800</v>
      </c>
      <c r="G57" s="1127">
        <v>3310</v>
      </c>
      <c r="H57" s="1127">
        <v>1823</v>
      </c>
      <c r="I57" s="1127">
        <v>1063</v>
      </c>
      <c r="J57" s="1127">
        <v>2796</v>
      </c>
      <c r="K57" s="1127">
        <v>3463</v>
      </c>
      <c r="L57" s="1127">
        <v>4136</v>
      </c>
      <c r="M57" s="1127">
        <v>3744</v>
      </c>
      <c r="N57" s="1127">
        <v>3272</v>
      </c>
      <c r="O57" s="1127">
        <v>2572</v>
      </c>
      <c r="P57" s="1127">
        <v>1680</v>
      </c>
      <c r="Q57" s="1127">
        <v>1053</v>
      </c>
      <c r="R57" s="1127">
        <v>674</v>
      </c>
      <c r="S57" s="1127">
        <v>452</v>
      </c>
      <c r="T57" s="1127">
        <v>237</v>
      </c>
      <c r="U57" s="1127">
        <v>170</v>
      </c>
      <c r="V57" s="1127">
        <v>82</v>
      </c>
      <c r="W57" s="1127">
        <v>73</v>
      </c>
      <c r="X57" s="1127"/>
      <c r="Y57" s="1127">
        <v>4176</v>
      </c>
      <c r="Z57" s="1127">
        <v>7110</v>
      </c>
      <c r="AA57" s="1127">
        <v>2886</v>
      </c>
      <c r="AB57" s="1127">
        <v>2796</v>
      </c>
      <c r="AC57" s="1127">
        <v>7599</v>
      </c>
      <c r="AD57" s="1127">
        <v>7016</v>
      </c>
      <c r="AE57" s="1127">
        <v>4252</v>
      </c>
      <c r="AF57" s="1127">
        <v>1727</v>
      </c>
      <c r="AG57" s="1127">
        <v>689</v>
      </c>
      <c r="AH57" s="1127">
        <v>252</v>
      </c>
      <c r="AI57" s="1127">
        <v>73</v>
      </c>
      <c r="AJ57" s="1127"/>
      <c r="AK57" s="1127">
        <f t="shared" si="6"/>
        <v>14172</v>
      </c>
      <c r="AL57" s="1127">
        <f t="shared" si="7"/>
        <v>24404</v>
      </c>
    </row>
    <row r="58" spans="1:38">
      <c r="A58" s="1120">
        <v>109</v>
      </c>
      <c r="B58" s="184" t="s">
        <v>719</v>
      </c>
      <c r="C58" s="1127">
        <v>762</v>
      </c>
      <c r="D58" s="1127">
        <v>24</v>
      </c>
      <c r="E58" s="1127">
        <v>104</v>
      </c>
      <c r="F58" s="1127">
        <v>77</v>
      </c>
      <c r="G58" s="1127">
        <v>55</v>
      </c>
      <c r="H58" s="1127">
        <v>38</v>
      </c>
      <c r="I58" s="1127">
        <v>18</v>
      </c>
      <c r="J58" s="1127">
        <v>53</v>
      </c>
      <c r="K58" s="1127">
        <v>68</v>
      </c>
      <c r="L58" s="1127">
        <v>69</v>
      </c>
      <c r="M58" s="1127">
        <v>45</v>
      </c>
      <c r="N58" s="1127">
        <v>56</v>
      </c>
      <c r="O58" s="1127">
        <v>41</v>
      </c>
      <c r="P58" s="1127">
        <v>34</v>
      </c>
      <c r="Q58" s="1127">
        <v>21</v>
      </c>
      <c r="R58" s="1127">
        <v>20</v>
      </c>
      <c r="S58" s="1127">
        <v>15</v>
      </c>
      <c r="T58" s="1127">
        <v>15</v>
      </c>
      <c r="U58" s="1127">
        <v>5</v>
      </c>
      <c r="V58" s="1127">
        <v>2</v>
      </c>
      <c r="W58" s="1127">
        <v>2</v>
      </c>
      <c r="X58" s="1127"/>
      <c r="Y58" s="1127">
        <v>128</v>
      </c>
      <c r="Z58" s="1127">
        <v>132</v>
      </c>
      <c r="AA58" s="1127">
        <v>56</v>
      </c>
      <c r="AB58" s="1127">
        <v>53</v>
      </c>
      <c r="AC58" s="1127">
        <v>137</v>
      </c>
      <c r="AD58" s="1127">
        <v>101</v>
      </c>
      <c r="AE58" s="1127">
        <v>75</v>
      </c>
      <c r="AF58" s="1127">
        <v>41</v>
      </c>
      <c r="AG58" s="1127">
        <v>30</v>
      </c>
      <c r="AH58" s="1127">
        <v>7</v>
      </c>
      <c r="AI58" s="1127">
        <v>2</v>
      </c>
      <c r="AJ58" s="1127"/>
      <c r="AK58" s="1127">
        <f t="shared" si="6"/>
        <v>316</v>
      </c>
      <c r="AL58" s="1127">
        <f t="shared" si="7"/>
        <v>446</v>
      </c>
    </row>
    <row r="59" spans="1:38">
      <c r="A59" s="1120">
        <v>111</v>
      </c>
      <c r="B59" s="184" t="s">
        <v>720</v>
      </c>
      <c r="C59" s="1127">
        <v>470</v>
      </c>
      <c r="D59" s="1127">
        <v>13</v>
      </c>
      <c r="E59" s="1127">
        <v>54</v>
      </c>
      <c r="F59" s="1127">
        <v>44</v>
      </c>
      <c r="G59" s="1127">
        <v>22</v>
      </c>
      <c r="H59" s="1127">
        <v>20</v>
      </c>
      <c r="I59" s="1127">
        <v>10</v>
      </c>
      <c r="J59" s="1127">
        <v>61</v>
      </c>
      <c r="K59" s="1127">
        <v>62</v>
      </c>
      <c r="L59" s="1127">
        <v>70</v>
      </c>
      <c r="M59" s="1127">
        <v>36</v>
      </c>
      <c r="N59" s="1127">
        <v>24</v>
      </c>
      <c r="O59" s="1127">
        <v>13</v>
      </c>
      <c r="P59" s="1127">
        <v>9</v>
      </c>
      <c r="Q59" s="1127">
        <v>7</v>
      </c>
      <c r="R59" s="1127">
        <v>10</v>
      </c>
      <c r="S59" s="1127">
        <v>5</v>
      </c>
      <c r="T59" s="1127">
        <v>5</v>
      </c>
      <c r="U59" s="1127">
        <v>4</v>
      </c>
      <c r="V59" s="1127">
        <v>0</v>
      </c>
      <c r="W59" s="1127">
        <v>1</v>
      </c>
      <c r="X59" s="1127"/>
      <c r="Y59" s="1127">
        <v>67</v>
      </c>
      <c r="Z59" s="1127">
        <v>66</v>
      </c>
      <c r="AA59" s="1127">
        <v>30</v>
      </c>
      <c r="AB59" s="1127">
        <v>61</v>
      </c>
      <c r="AC59" s="1127">
        <v>132</v>
      </c>
      <c r="AD59" s="1127">
        <v>60</v>
      </c>
      <c r="AE59" s="1127">
        <v>22</v>
      </c>
      <c r="AF59" s="1127">
        <v>17</v>
      </c>
      <c r="AG59" s="1127">
        <v>10</v>
      </c>
      <c r="AH59" s="1127">
        <v>4</v>
      </c>
      <c r="AI59" s="1127">
        <v>1</v>
      </c>
      <c r="AJ59" s="1127"/>
      <c r="AK59" s="1127">
        <f t="shared" si="6"/>
        <v>163</v>
      </c>
      <c r="AL59" s="1127">
        <f t="shared" si="7"/>
        <v>307</v>
      </c>
    </row>
    <row r="60" spans="1:38">
      <c r="A60" s="1120">
        <v>113</v>
      </c>
      <c r="B60" s="184" t="s">
        <v>721</v>
      </c>
      <c r="C60" s="1127">
        <v>236</v>
      </c>
      <c r="D60" s="1127">
        <v>3</v>
      </c>
      <c r="E60" s="1127">
        <v>28</v>
      </c>
      <c r="F60" s="1127">
        <v>27</v>
      </c>
      <c r="G60" s="1127">
        <v>26</v>
      </c>
      <c r="H60" s="1127">
        <v>14</v>
      </c>
      <c r="I60" s="1127">
        <v>5</v>
      </c>
      <c r="J60" s="1127">
        <v>26</v>
      </c>
      <c r="K60" s="1127">
        <v>11</v>
      </c>
      <c r="L60" s="1127">
        <v>22</v>
      </c>
      <c r="M60" s="1127">
        <v>12</v>
      </c>
      <c r="N60" s="1127">
        <v>11</v>
      </c>
      <c r="O60" s="1127">
        <v>15</v>
      </c>
      <c r="P60" s="1127">
        <v>10</v>
      </c>
      <c r="Q60" s="1127">
        <v>11</v>
      </c>
      <c r="R60" s="1127">
        <v>3</v>
      </c>
      <c r="S60" s="1127">
        <v>2</v>
      </c>
      <c r="T60" s="1127">
        <v>4</v>
      </c>
      <c r="U60" s="1127">
        <v>3</v>
      </c>
      <c r="V60" s="1127">
        <v>0</v>
      </c>
      <c r="W60" s="1127">
        <v>3</v>
      </c>
      <c r="X60" s="1127"/>
      <c r="Y60" s="1127">
        <v>31</v>
      </c>
      <c r="Z60" s="1127">
        <v>53</v>
      </c>
      <c r="AA60" s="1127">
        <v>19</v>
      </c>
      <c r="AB60" s="1127">
        <v>26</v>
      </c>
      <c r="AC60" s="1127">
        <v>33</v>
      </c>
      <c r="AD60" s="1127">
        <v>23</v>
      </c>
      <c r="AE60" s="1127">
        <v>25</v>
      </c>
      <c r="AF60" s="1127">
        <v>14</v>
      </c>
      <c r="AG60" s="1127">
        <v>6</v>
      </c>
      <c r="AH60" s="1127">
        <v>3</v>
      </c>
      <c r="AI60" s="1127">
        <v>3</v>
      </c>
      <c r="AJ60" s="1127"/>
      <c r="AK60" s="1127">
        <f t="shared" si="6"/>
        <v>103</v>
      </c>
      <c r="AL60" s="1127">
        <f t="shared" si="7"/>
        <v>133</v>
      </c>
    </row>
    <row r="61" spans="1:38">
      <c r="A61" s="1120">
        <v>115</v>
      </c>
      <c r="B61" s="184" t="s">
        <v>722</v>
      </c>
      <c r="C61" s="1127">
        <v>104</v>
      </c>
      <c r="D61" s="1127">
        <v>0</v>
      </c>
      <c r="E61" s="1127">
        <v>8</v>
      </c>
      <c r="F61" s="1127">
        <v>13</v>
      </c>
      <c r="G61" s="1127">
        <v>13</v>
      </c>
      <c r="H61" s="1127">
        <v>5</v>
      </c>
      <c r="I61" s="1127">
        <v>1</v>
      </c>
      <c r="J61" s="1127">
        <v>5</v>
      </c>
      <c r="K61" s="1127">
        <v>5</v>
      </c>
      <c r="L61" s="1127">
        <v>10</v>
      </c>
      <c r="M61" s="1127">
        <v>7</v>
      </c>
      <c r="N61" s="1127">
        <v>1</v>
      </c>
      <c r="O61" s="1127">
        <v>7</v>
      </c>
      <c r="P61" s="1127">
        <v>12</v>
      </c>
      <c r="Q61" s="1127">
        <v>5</v>
      </c>
      <c r="R61" s="1127">
        <v>4</v>
      </c>
      <c r="S61" s="1127">
        <v>2</v>
      </c>
      <c r="T61" s="1127">
        <v>3</v>
      </c>
      <c r="U61" s="1127">
        <v>2</v>
      </c>
      <c r="V61" s="1127">
        <v>0</v>
      </c>
      <c r="W61" s="1127">
        <v>1</v>
      </c>
      <c r="X61" s="1127"/>
      <c r="Y61" s="1127">
        <v>8</v>
      </c>
      <c r="Z61" s="1127">
        <v>26</v>
      </c>
      <c r="AA61" s="1127">
        <v>6</v>
      </c>
      <c r="AB61" s="1127">
        <v>5</v>
      </c>
      <c r="AC61" s="1127">
        <v>15</v>
      </c>
      <c r="AD61" s="1127">
        <v>8</v>
      </c>
      <c r="AE61" s="1127">
        <v>19</v>
      </c>
      <c r="AF61" s="1127">
        <v>9</v>
      </c>
      <c r="AG61" s="1127">
        <v>5</v>
      </c>
      <c r="AH61" s="1127">
        <v>2</v>
      </c>
      <c r="AI61" s="1127">
        <v>1</v>
      </c>
      <c r="AJ61" s="1127"/>
      <c r="AK61" s="1127">
        <f t="shared" si="6"/>
        <v>40</v>
      </c>
      <c r="AL61" s="1127">
        <f t="shared" si="7"/>
        <v>64</v>
      </c>
    </row>
    <row r="62" spans="1:38">
      <c r="A62" s="1120">
        <v>117</v>
      </c>
      <c r="B62" s="184" t="s">
        <v>723</v>
      </c>
      <c r="C62" s="1127">
        <v>806</v>
      </c>
      <c r="D62" s="1127">
        <v>11</v>
      </c>
      <c r="E62" s="1127">
        <v>55</v>
      </c>
      <c r="F62" s="1127">
        <v>70</v>
      </c>
      <c r="G62" s="1127">
        <v>54</v>
      </c>
      <c r="H62" s="1127">
        <v>43</v>
      </c>
      <c r="I62" s="1127">
        <v>31</v>
      </c>
      <c r="J62" s="1127">
        <v>68</v>
      </c>
      <c r="K62" s="1127">
        <v>89</v>
      </c>
      <c r="L62" s="1127">
        <v>81</v>
      </c>
      <c r="M62" s="1127">
        <v>51</v>
      </c>
      <c r="N62" s="1127">
        <v>54</v>
      </c>
      <c r="O62" s="1127">
        <v>48</v>
      </c>
      <c r="P62" s="1127">
        <v>41</v>
      </c>
      <c r="Q62" s="1127">
        <v>25</v>
      </c>
      <c r="R62" s="1127">
        <v>23</v>
      </c>
      <c r="S62" s="1127">
        <v>23</v>
      </c>
      <c r="T62" s="1127">
        <v>18</v>
      </c>
      <c r="U62" s="1127">
        <v>17</v>
      </c>
      <c r="V62" s="1127">
        <v>4</v>
      </c>
      <c r="W62" s="1127">
        <v>0</v>
      </c>
      <c r="X62" s="1127"/>
      <c r="Y62" s="1127">
        <v>66</v>
      </c>
      <c r="Z62" s="1127">
        <v>124</v>
      </c>
      <c r="AA62" s="1127">
        <v>74</v>
      </c>
      <c r="AB62" s="1127">
        <v>68</v>
      </c>
      <c r="AC62" s="1127">
        <v>170</v>
      </c>
      <c r="AD62" s="1127">
        <v>105</v>
      </c>
      <c r="AE62" s="1127">
        <v>89</v>
      </c>
      <c r="AF62" s="1127">
        <v>48</v>
      </c>
      <c r="AG62" s="1127">
        <v>41</v>
      </c>
      <c r="AH62" s="1127">
        <v>21</v>
      </c>
      <c r="AI62" s="1127">
        <v>0</v>
      </c>
      <c r="AJ62" s="1127"/>
      <c r="AK62" s="1127">
        <f t="shared" si="6"/>
        <v>264</v>
      </c>
      <c r="AL62" s="1127">
        <f t="shared" si="7"/>
        <v>542</v>
      </c>
    </row>
    <row r="63" spans="1:38">
      <c r="A63" s="1120">
        <v>119</v>
      </c>
      <c r="B63" s="184" t="s">
        <v>724</v>
      </c>
      <c r="C63" s="1127">
        <v>166</v>
      </c>
      <c r="D63" s="1127">
        <v>2</v>
      </c>
      <c r="E63" s="1127">
        <v>12</v>
      </c>
      <c r="F63" s="1127">
        <v>22</v>
      </c>
      <c r="G63" s="1127">
        <v>12</v>
      </c>
      <c r="H63" s="1127">
        <v>8</v>
      </c>
      <c r="I63" s="1127">
        <v>2</v>
      </c>
      <c r="J63" s="1127">
        <v>7</v>
      </c>
      <c r="K63" s="1127">
        <v>20</v>
      </c>
      <c r="L63" s="1127">
        <v>9</v>
      </c>
      <c r="M63" s="1127">
        <v>17</v>
      </c>
      <c r="N63" s="1127">
        <v>15</v>
      </c>
      <c r="O63" s="1127">
        <v>12</v>
      </c>
      <c r="P63" s="1127">
        <v>6</v>
      </c>
      <c r="Q63" s="1127">
        <v>5</v>
      </c>
      <c r="R63" s="1127">
        <v>8</v>
      </c>
      <c r="S63" s="1127">
        <v>2</v>
      </c>
      <c r="T63" s="1127">
        <v>3</v>
      </c>
      <c r="U63" s="1127">
        <v>2</v>
      </c>
      <c r="V63" s="1127">
        <v>1</v>
      </c>
      <c r="W63" s="1127">
        <v>1</v>
      </c>
      <c r="X63" s="1127"/>
      <c r="Y63" s="1127">
        <v>14</v>
      </c>
      <c r="Z63" s="1127">
        <v>34</v>
      </c>
      <c r="AA63" s="1127">
        <v>10</v>
      </c>
      <c r="AB63" s="1127">
        <v>7</v>
      </c>
      <c r="AC63" s="1127">
        <v>29</v>
      </c>
      <c r="AD63" s="1127">
        <v>32</v>
      </c>
      <c r="AE63" s="1127">
        <v>18</v>
      </c>
      <c r="AF63" s="1127">
        <v>13</v>
      </c>
      <c r="AG63" s="1127">
        <v>5</v>
      </c>
      <c r="AH63" s="1127">
        <v>3</v>
      </c>
      <c r="AI63" s="1127">
        <v>1</v>
      </c>
      <c r="AJ63" s="1127"/>
      <c r="AK63" s="1127">
        <f t="shared" si="6"/>
        <v>58</v>
      </c>
      <c r="AL63" s="1127">
        <f t="shared" si="7"/>
        <v>108</v>
      </c>
    </row>
    <row r="64" spans="1:38">
      <c r="A64" s="1120">
        <v>121</v>
      </c>
      <c r="B64" s="184" t="s">
        <v>725</v>
      </c>
      <c r="C64" s="1127">
        <v>2536</v>
      </c>
      <c r="D64" s="1127">
        <v>40</v>
      </c>
      <c r="E64" s="1127">
        <v>162</v>
      </c>
      <c r="F64" s="1127">
        <v>133</v>
      </c>
      <c r="G64" s="1127">
        <v>129</v>
      </c>
      <c r="H64" s="1127">
        <v>71</v>
      </c>
      <c r="I64" s="1127">
        <v>363</v>
      </c>
      <c r="J64" s="1127">
        <v>651</v>
      </c>
      <c r="K64" s="1127">
        <v>273</v>
      </c>
      <c r="L64" s="1127">
        <v>187</v>
      </c>
      <c r="M64" s="1127">
        <v>144</v>
      </c>
      <c r="N64" s="1127">
        <v>100</v>
      </c>
      <c r="O64" s="1127">
        <v>72</v>
      </c>
      <c r="P64" s="1127">
        <v>75</v>
      </c>
      <c r="Q64" s="1127">
        <v>45</v>
      </c>
      <c r="R64" s="1127">
        <v>25</v>
      </c>
      <c r="S64" s="1127">
        <v>23</v>
      </c>
      <c r="T64" s="1127">
        <v>24</v>
      </c>
      <c r="U64" s="1127">
        <v>7</v>
      </c>
      <c r="V64" s="1127">
        <v>8</v>
      </c>
      <c r="W64" s="1127">
        <v>4</v>
      </c>
      <c r="X64" s="1127"/>
      <c r="Y64" s="1127">
        <v>202</v>
      </c>
      <c r="Z64" s="1127">
        <v>262</v>
      </c>
      <c r="AA64" s="1127">
        <v>434</v>
      </c>
      <c r="AB64" s="1127">
        <v>651</v>
      </c>
      <c r="AC64" s="1127">
        <v>460</v>
      </c>
      <c r="AD64" s="1127">
        <v>244</v>
      </c>
      <c r="AE64" s="1127">
        <v>147</v>
      </c>
      <c r="AF64" s="1127">
        <v>70</v>
      </c>
      <c r="AG64" s="1127">
        <v>47</v>
      </c>
      <c r="AH64" s="1127">
        <v>15</v>
      </c>
      <c r="AI64" s="1127">
        <v>4</v>
      </c>
      <c r="AJ64" s="1127"/>
      <c r="AK64" s="1127">
        <f t="shared" si="6"/>
        <v>898</v>
      </c>
      <c r="AL64" s="1127">
        <f t="shared" si="7"/>
        <v>1638</v>
      </c>
    </row>
    <row r="65" spans="1:38">
      <c r="A65" s="1120">
        <v>125</v>
      </c>
      <c r="B65" s="184" t="s">
        <v>726</v>
      </c>
      <c r="C65" s="1127">
        <v>459</v>
      </c>
      <c r="D65" s="1127">
        <v>6</v>
      </c>
      <c r="E65" s="1127">
        <v>44</v>
      </c>
      <c r="F65" s="1127">
        <v>53</v>
      </c>
      <c r="G65" s="1127">
        <v>49</v>
      </c>
      <c r="H65" s="1127">
        <v>19</v>
      </c>
      <c r="I65" s="1127">
        <v>13</v>
      </c>
      <c r="J65" s="1127">
        <v>35</v>
      </c>
      <c r="K65" s="1127">
        <v>43</v>
      </c>
      <c r="L65" s="1127">
        <v>44</v>
      </c>
      <c r="M65" s="1127">
        <v>37</v>
      </c>
      <c r="N65" s="1127">
        <v>24</v>
      </c>
      <c r="O65" s="1127">
        <v>26</v>
      </c>
      <c r="P65" s="1127">
        <v>26</v>
      </c>
      <c r="Q65" s="1127">
        <v>10</v>
      </c>
      <c r="R65" s="1127">
        <v>8</v>
      </c>
      <c r="S65" s="1127">
        <v>7</v>
      </c>
      <c r="T65" s="1127">
        <v>6</v>
      </c>
      <c r="U65" s="1127">
        <v>3</v>
      </c>
      <c r="V65" s="1127">
        <v>4</v>
      </c>
      <c r="W65" s="1127">
        <v>2</v>
      </c>
      <c r="X65" s="1127"/>
      <c r="Y65" s="1127">
        <v>50</v>
      </c>
      <c r="Z65" s="1127">
        <v>102</v>
      </c>
      <c r="AA65" s="1127">
        <v>32</v>
      </c>
      <c r="AB65" s="1127">
        <v>35</v>
      </c>
      <c r="AC65" s="1127">
        <v>87</v>
      </c>
      <c r="AD65" s="1127">
        <v>61</v>
      </c>
      <c r="AE65" s="1127">
        <v>52</v>
      </c>
      <c r="AF65" s="1127">
        <v>18</v>
      </c>
      <c r="AG65" s="1127">
        <v>13</v>
      </c>
      <c r="AH65" s="1127">
        <v>7</v>
      </c>
      <c r="AI65" s="1127">
        <v>2</v>
      </c>
      <c r="AJ65" s="1127"/>
      <c r="AK65" s="1127">
        <f t="shared" si="6"/>
        <v>184</v>
      </c>
      <c r="AL65" s="1127">
        <f t="shared" si="7"/>
        <v>275</v>
      </c>
    </row>
    <row r="66" spans="1:38">
      <c r="A66" s="1120">
        <v>127</v>
      </c>
      <c r="B66" s="184" t="s">
        <v>727</v>
      </c>
      <c r="C66" s="1127">
        <v>390</v>
      </c>
      <c r="D66" s="1127">
        <v>12</v>
      </c>
      <c r="E66" s="1127">
        <v>40</v>
      </c>
      <c r="F66" s="1127">
        <v>37</v>
      </c>
      <c r="G66" s="1127">
        <v>41</v>
      </c>
      <c r="H66" s="1127">
        <v>29</v>
      </c>
      <c r="I66" s="1127">
        <v>9</v>
      </c>
      <c r="J66" s="1127">
        <v>21</v>
      </c>
      <c r="K66" s="1127">
        <v>37</v>
      </c>
      <c r="L66" s="1127">
        <v>30</v>
      </c>
      <c r="M66" s="1127">
        <v>26</v>
      </c>
      <c r="N66" s="1127">
        <v>26</v>
      </c>
      <c r="O66" s="1127">
        <v>22</v>
      </c>
      <c r="P66" s="1127">
        <v>24</v>
      </c>
      <c r="Q66" s="1127">
        <v>12</v>
      </c>
      <c r="R66" s="1127">
        <v>9</v>
      </c>
      <c r="S66" s="1127">
        <v>4</v>
      </c>
      <c r="T66" s="1127">
        <v>4</v>
      </c>
      <c r="U66" s="1127">
        <v>5</v>
      </c>
      <c r="V66" s="1127">
        <v>1</v>
      </c>
      <c r="W66" s="1127">
        <v>1</v>
      </c>
      <c r="X66" s="1127"/>
      <c r="Y66" s="1127">
        <v>52</v>
      </c>
      <c r="Z66" s="1127">
        <v>78</v>
      </c>
      <c r="AA66" s="1127">
        <v>38</v>
      </c>
      <c r="AB66" s="1127">
        <v>21</v>
      </c>
      <c r="AC66" s="1127">
        <v>67</v>
      </c>
      <c r="AD66" s="1127">
        <v>52</v>
      </c>
      <c r="AE66" s="1127">
        <v>46</v>
      </c>
      <c r="AF66" s="1127">
        <v>21</v>
      </c>
      <c r="AG66" s="1127">
        <v>8</v>
      </c>
      <c r="AH66" s="1127">
        <v>6</v>
      </c>
      <c r="AI66" s="1127">
        <v>1</v>
      </c>
      <c r="AJ66" s="1127"/>
      <c r="AK66" s="1127">
        <f t="shared" si="6"/>
        <v>168</v>
      </c>
      <c r="AL66" s="1127">
        <f t="shared" si="7"/>
        <v>222</v>
      </c>
    </row>
    <row r="67" spans="1:38">
      <c r="A67" s="1120">
        <v>131</v>
      </c>
      <c r="B67" s="184" t="s">
        <v>728</v>
      </c>
      <c r="C67" s="1127">
        <v>874</v>
      </c>
      <c r="D67" s="1127">
        <v>19</v>
      </c>
      <c r="E67" s="1127">
        <v>108</v>
      </c>
      <c r="F67" s="1127">
        <v>83</v>
      </c>
      <c r="G67" s="1127">
        <v>75</v>
      </c>
      <c r="H67" s="1127">
        <v>29</v>
      </c>
      <c r="I67" s="1127">
        <v>29</v>
      </c>
      <c r="J67" s="1127">
        <v>107</v>
      </c>
      <c r="K67" s="1127">
        <v>115</v>
      </c>
      <c r="L67" s="1127">
        <v>73</v>
      </c>
      <c r="M67" s="1127">
        <v>48</v>
      </c>
      <c r="N67" s="1127">
        <v>45</v>
      </c>
      <c r="O67" s="1127">
        <v>51</v>
      </c>
      <c r="P67" s="1127">
        <v>31</v>
      </c>
      <c r="Q67" s="1127">
        <v>19</v>
      </c>
      <c r="R67" s="1127">
        <v>15</v>
      </c>
      <c r="S67" s="1127">
        <v>12</v>
      </c>
      <c r="T67" s="1127">
        <v>5</v>
      </c>
      <c r="U67" s="1127">
        <v>3</v>
      </c>
      <c r="V67" s="1127">
        <v>0</v>
      </c>
      <c r="W67" s="1127">
        <v>7</v>
      </c>
      <c r="X67" s="1127"/>
      <c r="Y67" s="1127">
        <v>127</v>
      </c>
      <c r="Z67" s="1127">
        <v>158</v>
      </c>
      <c r="AA67" s="1127">
        <v>58</v>
      </c>
      <c r="AB67" s="1127">
        <v>107</v>
      </c>
      <c r="AC67" s="1127">
        <v>188</v>
      </c>
      <c r="AD67" s="1127">
        <v>93</v>
      </c>
      <c r="AE67" s="1127">
        <v>82</v>
      </c>
      <c r="AF67" s="1127">
        <v>34</v>
      </c>
      <c r="AG67" s="1127">
        <v>17</v>
      </c>
      <c r="AH67" s="1127">
        <v>3</v>
      </c>
      <c r="AI67" s="1127">
        <v>7</v>
      </c>
      <c r="AJ67" s="1127"/>
      <c r="AK67" s="1127">
        <f t="shared" si="6"/>
        <v>343</v>
      </c>
      <c r="AL67" s="1127">
        <f t="shared" si="7"/>
        <v>531</v>
      </c>
    </row>
    <row r="68" spans="1:38">
      <c r="A68" s="1120">
        <v>133</v>
      </c>
      <c r="B68" s="184" t="s">
        <v>729</v>
      </c>
      <c r="C68" s="1127">
        <v>382</v>
      </c>
      <c r="D68" s="1127">
        <v>7</v>
      </c>
      <c r="E68" s="1127">
        <v>39</v>
      </c>
      <c r="F68" s="1127">
        <v>31</v>
      </c>
      <c r="G68" s="1127">
        <v>29</v>
      </c>
      <c r="H68" s="1127">
        <v>23</v>
      </c>
      <c r="I68" s="1127">
        <v>17</v>
      </c>
      <c r="J68" s="1127">
        <v>39</v>
      </c>
      <c r="K68" s="1127">
        <v>51</v>
      </c>
      <c r="L68" s="1127">
        <v>35</v>
      </c>
      <c r="M68" s="1127">
        <v>22</v>
      </c>
      <c r="N68" s="1127">
        <v>18</v>
      </c>
      <c r="O68" s="1127">
        <v>17</v>
      </c>
      <c r="P68" s="1127">
        <v>15</v>
      </c>
      <c r="Q68" s="1127">
        <v>13</v>
      </c>
      <c r="R68" s="1127">
        <v>10</v>
      </c>
      <c r="S68" s="1127">
        <v>4</v>
      </c>
      <c r="T68" s="1127">
        <v>3</v>
      </c>
      <c r="U68" s="1127">
        <v>5</v>
      </c>
      <c r="V68" s="1127">
        <v>4</v>
      </c>
      <c r="W68" s="1127">
        <v>0</v>
      </c>
      <c r="X68" s="1127"/>
      <c r="Y68" s="1127">
        <v>46</v>
      </c>
      <c r="Z68" s="1127">
        <v>60</v>
      </c>
      <c r="AA68" s="1127">
        <v>40</v>
      </c>
      <c r="AB68" s="1127">
        <v>39</v>
      </c>
      <c r="AC68" s="1127">
        <v>86</v>
      </c>
      <c r="AD68" s="1127">
        <v>40</v>
      </c>
      <c r="AE68" s="1127">
        <v>32</v>
      </c>
      <c r="AF68" s="1127">
        <v>23</v>
      </c>
      <c r="AG68" s="1127">
        <v>7</v>
      </c>
      <c r="AH68" s="1127">
        <v>9</v>
      </c>
      <c r="AI68" s="1127">
        <v>0</v>
      </c>
      <c r="AJ68" s="1127"/>
      <c r="AK68" s="1127">
        <f t="shared" si="6"/>
        <v>146</v>
      </c>
      <c r="AL68" s="1127">
        <f t="shared" si="7"/>
        <v>236</v>
      </c>
    </row>
    <row r="69" spans="1:38">
      <c r="A69" s="1120">
        <v>135</v>
      </c>
      <c r="B69" s="184" t="s">
        <v>730</v>
      </c>
      <c r="C69" s="1127">
        <v>609</v>
      </c>
      <c r="D69" s="1127">
        <v>12</v>
      </c>
      <c r="E69" s="1127">
        <v>60</v>
      </c>
      <c r="F69" s="1127">
        <v>55</v>
      </c>
      <c r="G69" s="1127">
        <v>37</v>
      </c>
      <c r="H69" s="1127">
        <v>29</v>
      </c>
      <c r="I69" s="1127">
        <v>14</v>
      </c>
      <c r="J69" s="1127">
        <v>72</v>
      </c>
      <c r="K69" s="1127">
        <v>80</v>
      </c>
      <c r="L69" s="1127">
        <v>77</v>
      </c>
      <c r="M69" s="1127">
        <v>53</v>
      </c>
      <c r="N69" s="1127">
        <v>39</v>
      </c>
      <c r="O69" s="1127">
        <v>24</v>
      </c>
      <c r="P69" s="1127">
        <v>10</v>
      </c>
      <c r="Q69" s="1127">
        <v>17</v>
      </c>
      <c r="R69" s="1127">
        <v>7</v>
      </c>
      <c r="S69" s="1127">
        <v>6</v>
      </c>
      <c r="T69" s="1127">
        <v>10</v>
      </c>
      <c r="U69" s="1127">
        <v>3</v>
      </c>
      <c r="V69" s="1127">
        <v>2</v>
      </c>
      <c r="W69" s="1127">
        <v>2</v>
      </c>
      <c r="X69" s="1127"/>
      <c r="Y69" s="1127">
        <v>72</v>
      </c>
      <c r="Z69" s="1127">
        <v>92</v>
      </c>
      <c r="AA69" s="1127">
        <v>43</v>
      </c>
      <c r="AB69" s="1127">
        <v>72</v>
      </c>
      <c r="AC69" s="1127">
        <v>157</v>
      </c>
      <c r="AD69" s="1127">
        <v>92</v>
      </c>
      <c r="AE69" s="1127">
        <v>34</v>
      </c>
      <c r="AF69" s="1127">
        <v>24</v>
      </c>
      <c r="AG69" s="1127">
        <v>16</v>
      </c>
      <c r="AH69" s="1127">
        <v>5</v>
      </c>
      <c r="AI69" s="1127">
        <v>2</v>
      </c>
      <c r="AJ69" s="1127"/>
      <c r="AK69" s="1127">
        <f t="shared" si="6"/>
        <v>207</v>
      </c>
      <c r="AL69" s="1127">
        <f t="shared" si="7"/>
        <v>402</v>
      </c>
    </row>
    <row r="70" spans="1:38">
      <c r="A70" s="1120">
        <v>137</v>
      </c>
      <c r="B70" s="184" t="s">
        <v>731</v>
      </c>
      <c r="C70" s="1127">
        <v>1139</v>
      </c>
      <c r="D70" s="1127">
        <v>24</v>
      </c>
      <c r="E70" s="1127">
        <v>104</v>
      </c>
      <c r="F70" s="1127">
        <v>129</v>
      </c>
      <c r="G70" s="1127">
        <v>118</v>
      </c>
      <c r="H70" s="1127">
        <v>55</v>
      </c>
      <c r="I70" s="1127">
        <v>40</v>
      </c>
      <c r="J70" s="1127">
        <v>95</v>
      </c>
      <c r="K70" s="1127">
        <v>93</v>
      </c>
      <c r="L70" s="1127">
        <v>85</v>
      </c>
      <c r="M70" s="1127">
        <v>90</v>
      </c>
      <c r="N70" s="1127">
        <v>96</v>
      </c>
      <c r="O70" s="1127">
        <v>62</v>
      </c>
      <c r="P70" s="1127">
        <v>38</v>
      </c>
      <c r="Q70" s="1127">
        <v>31</v>
      </c>
      <c r="R70" s="1127">
        <v>26</v>
      </c>
      <c r="S70" s="1127">
        <v>16</v>
      </c>
      <c r="T70" s="1127">
        <v>13</v>
      </c>
      <c r="U70" s="1127">
        <v>12</v>
      </c>
      <c r="V70" s="1127">
        <v>5</v>
      </c>
      <c r="W70" s="1127">
        <v>7</v>
      </c>
      <c r="X70" s="1127"/>
      <c r="Y70" s="1127">
        <v>128</v>
      </c>
      <c r="Z70" s="1127">
        <v>247</v>
      </c>
      <c r="AA70" s="1127">
        <v>95</v>
      </c>
      <c r="AB70" s="1127">
        <v>95</v>
      </c>
      <c r="AC70" s="1127">
        <v>178</v>
      </c>
      <c r="AD70" s="1127">
        <v>186</v>
      </c>
      <c r="AE70" s="1127">
        <v>100</v>
      </c>
      <c r="AF70" s="1127">
        <v>57</v>
      </c>
      <c r="AG70" s="1127">
        <v>29</v>
      </c>
      <c r="AH70" s="1127">
        <v>17</v>
      </c>
      <c r="AI70" s="1127">
        <v>7</v>
      </c>
      <c r="AJ70" s="1127"/>
      <c r="AK70" s="1127">
        <f t="shared" si="6"/>
        <v>470</v>
      </c>
      <c r="AL70" s="1127">
        <f t="shared" si="7"/>
        <v>669</v>
      </c>
    </row>
    <row r="71" spans="1:38">
      <c r="A71" s="1120">
        <v>139</v>
      </c>
      <c r="B71" s="184" t="s">
        <v>732</v>
      </c>
      <c r="C71" s="1127">
        <v>373</v>
      </c>
      <c r="D71" s="1127">
        <v>8</v>
      </c>
      <c r="E71" s="1127">
        <v>38</v>
      </c>
      <c r="F71" s="1127">
        <v>48</v>
      </c>
      <c r="G71" s="1127">
        <v>32</v>
      </c>
      <c r="H71" s="1127">
        <v>23</v>
      </c>
      <c r="I71" s="1127">
        <v>10</v>
      </c>
      <c r="J71" s="1127">
        <v>26</v>
      </c>
      <c r="K71" s="1127">
        <v>28</v>
      </c>
      <c r="L71" s="1127">
        <v>30</v>
      </c>
      <c r="M71" s="1127">
        <v>41</v>
      </c>
      <c r="N71" s="1127">
        <v>15</v>
      </c>
      <c r="O71" s="1127">
        <v>20</v>
      </c>
      <c r="P71" s="1127">
        <v>15</v>
      </c>
      <c r="Q71" s="1127">
        <v>9</v>
      </c>
      <c r="R71" s="1127">
        <v>7</v>
      </c>
      <c r="S71" s="1127">
        <v>10</v>
      </c>
      <c r="T71" s="1127">
        <v>7</v>
      </c>
      <c r="U71" s="1127">
        <v>4</v>
      </c>
      <c r="V71" s="1127">
        <v>1</v>
      </c>
      <c r="W71" s="1127">
        <v>1</v>
      </c>
      <c r="X71" s="1127"/>
      <c r="Y71" s="1127">
        <v>46</v>
      </c>
      <c r="Z71" s="1127">
        <v>80</v>
      </c>
      <c r="AA71" s="1127">
        <v>33</v>
      </c>
      <c r="AB71" s="1127">
        <v>26</v>
      </c>
      <c r="AC71" s="1127">
        <v>58</v>
      </c>
      <c r="AD71" s="1127">
        <v>56</v>
      </c>
      <c r="AE71" s="1127">
        <v>35</v>
      </c>
      <c r="AF71" s="1127">
        <v>16</v>
      </c>
      <c r="AG71" s="1127">
        <v>17</v>
      </c>
      <c r="AH71" s="1127">
        <v>5</v>
      </c>
      <c r="AI71" s="1127">
        <v>1</v>
      </c>
      <c r="AJ71" s="1127"/>
      <c r="AK71" s="1127">
        <f t="shared" si="6"/>
        <v>159</v>
      </c>
      <c r="AL71" s="1127">
        <f t="shared" si="7"/>
        <v>214</v>
      </c>
    </row>
    <row r="72" spans="1:38">
      <c r="A72" s="1120">
        <v>141</v>
      </c>
      <c r="B72" s="184" t="s">
        <v>733</v>
      </c>
      <c r="C72" s="1127">
        <v>444</v>
      </c>
      <c r="D72" s="1127">
        <v>10</v>
      </c>
      <c r="E72" s="1127">
        <v>51</v>
      </c>
      <c r="F72" s="1127">
        <v>49</v>
      </c>
      <c r="G72" s="1127">
        <v>43</v>
      </c>
      <c r="H72" s="1127">
        <v>23</v>
      </c>
      <c r="I72" s="1127">
        <v>18</v>
      </c>
      <c r="J72" s="1127">
        <v>29</v>
      </c>
      <c r="K72" s="1127">
        <v>33</v>
      </c>
      <c r="L72" s="1127">
        <v>33</v>
      </c>
      <c r="M72" s="1127">
        <v>39</v>
      </c>
      <c r="N72" s="1127">
        <v>22</v>
      </c>
      <c r="O72" s="1127">
        <v>33</v>
      </c>
      <c r="P72" s="1127">
        <v>16</v>
      </c>
      <c r="Q72" s="1127">
        <v>12</v>
      </c>
      <c r="R72" s="1127">
        <v>6</v>
      </c>
      <c r="S72" s="1127">
        <v>13</v>
      </c>
      <c r="T72" s="1127">
        <v>5</v>
      </c>
      <c r="U72" s="1127">
        <v>4</v>
      </c>
      <c r="V72" s="1127">
        <v>3</v>
      </c>
      <c r="W72" s="1127">
        <v>2</v>
      </c>
      <c r="X72" s="1127"/>
      <c r="Y72" s="1127">
        <v>61</v>
      </c>
      <c r="Z72" s="1127">
        <v>92</v>
      </c>
      <c r="AA72" s="1127">
        <v>41</v>
      </c>
      <c r="AB72" s="1127">
        <v>29</v>
      </c>
      <c r="AC72" s="1127">
        <v>66</v>
      </c>
      <c r="AD72" s="1127">
        <v>61</v>
      </c>
      <c r="AE72" s="1127">
        <v>49</v>
      </c>
      <c r="AF72" s="1127">
        <v>18</v>
      </c>
      <c r="AG72" s="1127">
        <v>18</v>
      </c>
      <c r="AH72" s="1127">
        <v>7</v>
      </c>
      <c r="AI72" s="1127">
        <v>2</v>
      </c>
      <c r="AJ72" s="1127"/>
      <c r="AK72" s="1127">
        <f t="shared" si="6"/>
        <v>194</v>
      </c>
      <c r="AL72" s="1127">
        <f t="shared" si="7"/>
        <v>250</v>
      </c>
    </row>
    <row r="73" spans="1:38">
      <c r="A73" s="1120">
        <v>143</v>
      </c>
      <c r="B73" s="184" t="s">
        <v>734</v>
      </c>
      <c r="C73" s="1127">
        <v>1332</v>
      </c>
      <c r="D73" s="1127">
        <v>34</v>
      </c>
      <c r="E73" s="1127">
        <v>122</v>
      </c>
      <c r="F73" s="1127">
        <v>132</v>
      </c>
      <c r="G73" s="1127">
        <v>126</v>
      </c>
      <c r="H73" s="1127">
        <v>69</v>
      </c>
      <c r="I73" s="1127">
        <v>44</v>
      </c>
      <c r="J73" s="1127">
        <v>134</v>
      </c>
      <c r="K73" s="1127">
        <v>119</v>
      </c>
      <c r="L73" s="1127">
        <v>117</v>
      </c>
      <c r="M73" s="1127">
        <v>124</v>
      </c>
      <c r="N73" s="1127">
        <v>80</v>
      </c>
      <c r="O73" s="1127">
        <v>63</v>
      </c>
      <c r="P73" s="1127">
        <v>44</v>
      </c>
      <c r="Q73" s="1127">
        <v>42</v>
      </c>
      <c r="R73" s="1127">
        <v>25</v>
      </c>
      <c r="S73" s="1127">
        <v>18</v>
      </c>
      <c r="T73" s="1127">
        <v>14</v>
      </c>
      <c r="U73" s="1127">
        <v>13</v>
      </c>
      <c r="V73" s="1127">
        <v>4</v>
      </c>
      <c r="W73" s="1127">
        <v>8</v>
      </c>
      <c r="X73" s="1127"/>
      <c r="Y73" s="1127">
        <v>156</v>
      </c>
      <c r="Z73" s="1127">
        <v>258</v>
      </c>
      <c r="AA73" s="1127">
        <v>113</v>
      </c>
      <c r="AB73" s="1127">
        <v>134</v>
      </c>
      <c r="AC73" s="1127">
        <v>236</v>
      </c>
      <c r="AD73" s="1127">
        <v>204</v>
      </c>
      <c r="AE73" s="1127">
        <v>107</v>
      </c>
      <c r="AF73" s="1127">
        <v>67</v>
      </c>
      <c r="AG73" s="1127">
        <v>32</v>
      </c>
      <c r="AH73" s="1127">
        <v>17</v>
      </c>
      <c r="AI73" s="1127">
        <v>8</v>
      </c>
      <c r="AJ73" s="1127"/>
      <c r="AK73" s="1127">
        <f t="shared" si="6"/>
        <v>527</v>
      </c>
      <c r="AL73" s="1127">
        <f t="shared" si="7"/>
        <v>805</v>
      </c>
    </row>
    <row r="74" spans="1:38">
      <c r="A74" s="1120">
        <v>145</v>
      </c>
      <c r="B74" s="184" t="s">
        <v>735</v>
      </c>
      <c r="C74" s="1127">
        <v>502</v>
      </c>
      <c r="D74" s="1127">
        <v>12</v>
      </c>
      <c r="E74" s="1127">
        <v>45</v>
      </c>
      <c r="F74" s="1127">
        <v>49</v>
      </c>
      <c r="G74" s="1127">
        <v>48</v>
      </c>
      <c r="H74" s="1127">
        <v>25</v>
      </c>
      <c r="I74" s="1127">
        <v>12</v>
      </c>
      <c r="J74" s="1127">
        <v>28</v>
      </c>
      <c r="K74" s="1127">
        <v>41</v>
      </c>
      <c r="L74" s="1127">
        <v>45</v>
      </c>
      <c r="M74" s="1127">
        <v>42</v>
      </c>
      <c r="N74" s="1127">
        <v>43</v>
      </c>
      <c r="O74" s="1127">
        <v>41</v>
      </c>
      <c r="P74" s="1127">
        <v>21</v>
      </c>
      <c r="Q74" s="1127">
        <v>17</v>
      </c>
      <c r="R74" s="1127">
        <v>12</v>
      </c>
      <c r="S74" s="1127">
        <v>11</v>
      </c>
      <c r="T74" s="1127">
        <v>5</v>
      </c>
      <c r="U74" s="1127">
        <v>0</v>
      </c>
      <c r="V74" s="1127">
        <v>3</v>
      </c>
      <c r="W74" s="1127">
        <v>2</v>
      </c>
      <c r="X74" s="1127"/>
      <c r="Y74" s="1127">
        <v>57</v>
      </c>
      <c r="Z74" s="1127">
        <v>97</v>
      </c>
      <c r="AA74" s="1127">
        <v>37</v>
      </c>
      <c r="AB74" s="1127">
        <v>28</v>
      </c>
      <c r="AC74" s="1127">
        <v>86</v>
      </c>
      <c r="AD74" s="1127">
        <v>85</v>
      </c>
      <c r="AE74" s="1127">
        <v>62</v>
      </c>
      <c r="AF74" s="1127">
        <v>29</v>
      </c>
      <c r="AG74" s="1127">
        <v>16</v>
      </c>
      <c r="AH74" s="1127">
        <v>3</v>
      </c>
      <c r="AI74" s="1127">
        <v>2</v>
      </c>
      <c r="AJ74" s="1127"/>
      <c r="AK74" s="1127">
        <f t="shared" si="6"/>
        <v>191</v>
      </c>
      <c r="AL74" s="1127">
        <f t="shared" si="7"/>
        <v>311</v>
      </c>
    </row>
    <row r="75" spans="1:38">
      <c r="A75" s="1120">
        <v>147</v>
      </c>
      <c r="B75" s="184" t="s">
        <v>736</v>
      </c>
      <c r="C75" s="1127">
        <v>525</v>
      </c>
      <c r="D75" s="1127">
        <v>6</v>
      </c>
      <c r="E75" s="1127">
        <v>29</v>
      </c>
      <c r="F75" s="1127">
        <v>35</v>
      </c>
      <c r="G75" s="1127">
        <v>40</v>
      </c>
      <c r="H75" s="1127">
        <v>17</v>
      </c>
      <c r="I75" s="1127">
        <v>57</v>
      </c>
      <c r="J75" s="1127">
        <v>108</v>
      </c>
      <c r="K75" s="1127">
        <v>36</v>
      </c>
      <c r="L75" s="1127">
        <v>40</v>
      </c>
      <c r="M75" s="1127">
        <v>38</v>
      </c>
      <c r="N75" s="1127">
        <v>28</v>
      </c>
      <c r="O75" s="1127">
        <v>18</v>
      </c>
      <c r="P75" s="1127">
        <v>22</v>
      </c>
      <c r="Q75" s="1127">
        <v>17</v>
      </c>
      <c r="R75" s="1127">
        <v>15</v>
      </c>
      <c r="S75" s="1127">
        <v>5</v>
      </c>
      <c r="T75" s="1127">
        <v>3</v>
      </c>
      <c r="U75" s="1127">
        <v>1</v>
      </c>
      <c r="V75" s="1127">
        <v>7</v>
      </c>
      <c r="W75" s="1127">
        <v>3</v>
      </c>
      <c r="X75" s="1127"/>
      <c r="Y75" s="1127">
        <v>35</v>
      </c>
      <c r="Z75" s="1127">
        <v>75</v>
      </c>
      <c r="AA75" s="1127">
        <v>74</v>
      </c>
      <c r="AB75" s="1127">
        <v>108</v>
      </c>
      <c r="AC75" s="1127">
        <v>76</v>
      </c>
      <c r="AD75" s="1127">
        <v>66</v>
      </c>
      <c r="AE75" s="1127">
        <v>40</v>
      </c>
      <c r="AF75" s="1127">
        <v>32</v>
      </c>
      <c r="AG75" s="1127">
        <v>8</v>
      </c>
      <c r="AH75" s="1127">
        <v>8</v>
      </c>
      <c r="AI75" s="1127">
        <v>3</v>
      </c>
      <c r="AJ75" s="1127"/>
      <c r="AK75" s="1127">
        <f t="shared" si="6"/>
        <v>184</v>
      </c>
      <c r="AL75" s="1127">
        <f t="shared" si="7"/>
        <v>341</v>
      </c>
    </row>
    <row r="76" spans="1:38">
      <c r="A76" s="1120">
        <v>149</v>
      </c>
      <c r="B76" s="184" t="s">
        <v>737</v>
      </c>
      <c r="C76" s="1127">
        <v>2058</v>
      </c>
      <c r="D76" s="1127">
        <v>30</v>
      </c>
      <c r="E76" s="1127">
        <v>147</v>
      </c>
      <c r="F76" s="1127">
        <v>210</v>
      </c>
      <c r="G76" s="1127">
        <v>171</v>
      </c>
      <c r="H76" s="1127">
        <v>90</v>
      </c>
      <c r="I76" s="1127">
        <v>75</v>
      </c>
      <c r="J76" s="1127">
        <v>170</v>
      </c>
      <c r="K76" s="1127">
        <v>222</v>
      </c>
      <c r="L76" s="1127">
        <v>232</v>
      </c>
      <c r="M76" s="1127">
        <v>173</v>
      </c>
      <c r="N76" s="1127">
        <v>189</v>
      </c>
      <c r="O76" s="1127">
        <v>124</v>
      </c>
      <c r="P76" s="1127">
        <v>94</v>
      </c>
      <c r="Q76" s="1127">
        <v>53</v>
      </c>
      <c r="R76" s="1127">
        <v>38</v>
      </c>
      <c r="S76" s="1127">
        <v>18</v>
      </c>
      <c r="T76" s="1127">
        <v>7</v>
      </c>
      <c r="U76" s="1127">
        <v>6</v>
      </c>
      <c r="V76" s="1127">
        <v>4</v>
      </c>
      <c r="W76" s="1127">
        <v>5</v>
      </c>
      <c r="X76" s="1127"/>
      <c r="Y76" s="1127">
        <v>177</v>
      </c>
      <c r="Z76" s="1127">
        <v>381</v>
      </c>
      <c r="AA76" s="1127">
        <v>165</v>
      </c>
      <c r="AB76" s="1127">
        <v>170</v>
      </c>
      <c r="AC76" s="1127">
        <v>454</v>
      </c>
      <c r="AD76" s="1127">
        <v>362</v>
      </c>
      <c r="AE76" s="1127">
        <v>218</v>
      </c>
      <c r="AF76" s="1127">
        <v>91</v>
      </c>
      <c r="AG76" s="1127">
        <v>25</v>
      </c>
      <c r="AH76" s="1127">
        <v>10</v>
      </c>
      <c r="AI76" s="1127">
        <v>5</v>
      </c>
      <c r="AJ76" s="1127"/>
      <c r="AK76" s="1127">
        <f t="shared" si="6"/>
        <v>723</v>
      </c>
      <c r="AL76" s="1127">
        <f t="shared" si="7"/>
        <v>1335</v>
      </c>
    </row>
    <row r="77" spans="1:38">
      <c r="A77" s="1120">
        <v>153</v>
      </c>
      <c r="B77" s="184" t="s">
        <v>738</v>
      </c>
      <c r="C77" s="1127">
        <v>81460</v>
      </c>
      <c r="D77" s="1127">
        <v>1785</v>
      </c>
      <c r="E77" s="1127">
        <v>7418</v>
      </c>
      <c r="F77" s="1127">
        <v>8373</v>
      </c>
      <c r="G77" s="1127">
        <v>7336</v>
      </c>
      <c r="H77" s="1127">
        <v>4194</v>
      </c>
      <c r="I77" s="1127">
        <v>2592</v>
      </c>
      <c r="J77" s="1127">
        <v>6281</v>
      </c>
      <c r="K77" s="1127">
        <v>7480</v>
      </c>
      <c r="L77" s="1127">
        <v>8282</v>
      </c>
      <c r="M77" s="1127">
        <v>7739</v>
      </c>
      <c r="N77" s="1127">
        <v>6422</v>
      </c>
      <c r="O77" s="1127">
        <v>4852</v>
      </c>
      <c r="P77" s="1127">
        <v>3368</v>
      </c>
      <c r="Q77" s="1127">
        <v>2185</v>
      </c>
      <c r="R77" s="1127">
        <v>1283</v>
      </c>
      <c r="S77" s="1127">
        <v>813</v>
      </c>
      <c r="T77" s="1127">
        <v>503</v>
      </c>
      <c r="U77" s="1127">
        <v>253</v>
      </c>
      <c r="V77" s="1127">
        <v>168</v>
      </c>
      <c r="W77" s="1127">
        <v>133</v>
      </c>
      <c r="X77" s="1127"/>
      <c r="Y77" s="1127">
        <v>9203</v>
      </c>
      <c r="Z77" s="1127">
        <v>15709</v>
      </c>
      <c r="AA77" s="1127">
        <v>6786</v>
      </c>
      <c r="AB77" s="1127">
        <v>6281</v>
      </c>
      <c r="AC77" s="1127">
        <v>15762</v>
      </c>
      <c r="AD77" s="1127">
        <v>14161</v>
      </c>
      <c r="AE77" s="1127">
        <v>8220</v>
      </c>
      <c r="AF77" s="1127">
        <v>3468</v>
      </c>
      <c r="AG77" s="1127">
        <v>1316</v>
      </c>
      <c r="AH77" s="1127">
        <v>421</v>
      </c>
      <c r="AI77" s="1127">
        <v>133</v>
      </c>
      <c r="AJ77" s="1127"/>
      <c r="AK77" s="1127">
        <f t="shared" si="6"/>
        <v>31698</v>
      </c>
      <c r="AL77" s="1127">
        <f t="shared" si="7"/>
        <v>49762</v>
      </c>
    </row>
    <row r="78" spans="1:38">
      <c r="A78" s="1120">
        <v>155</v>
      </c>
      <c r="B78" s="184" t="s">
        <v>739</v>
      </c>
      <c r="C78" s="1127">
        <v>432</v>
      </c>
      <c r="D78" s="1127">
        <v>15</v>
      </c>
      <c r="E78" s="1127">
        <v>41</v>
      </c>
      <c r="F78" s="1127">
        <v>49</v>
      </c>
      <c r="G78" s="1127">
        <v>36</v>
      </c>
      <c r="H78" s="1127">
        <v>18</v>
      </c>
      <c r="I78" s="1127">
        <v>18</v>
      </c>
      <c r="J78" s="1127">
        <v>28</v>
      </c>
      <c r="K78" s="1127">
        <v>44</v>
      </c>
      <c r="L78" s="1127">
        <v>30</v>
      </c>
      <c r="M78" s="1127">
        <v>37</v>
      </c>
      <c r="N78" s="1127">
        <v>21</v>
      </c>
      <c r="O78" s="1127">
        <v>18</v>
      </c>
      <c r="P78" s="1127">
        <v>20</v>
      </c>
      <c r="Q78" s="1127">
        <v>16</v>
      </c>
      <c r="R78" s="1127">
        <v>12</v>
      </c>
      <c r="S78" s="1127">
        <v>11</v>
      </c>
      <c r="T78" s="1127">
        <v>6</v>
      </c>
      <c r="U78" s="1127">
        <v>5</v>
      </c>
      <c r="V78" s="1127">
        <v>6</v>
      </c>
      <c r="W78" s="1127">
        <v>1</v>
      </c>
      <c r="X78" s="1127"/>
      <c r="Y78" s="1127">
        <v>56</v>
      </c>
      <c r="Z78" s="1127">
        <v>85</v>
      </c>
      <c r="AA78" s="1127">
        <v>36</v>
      </c>
      <c r="AB78" s="1127">
        <v>28</v>
      </c>
      <c r="AC78" s="1127">
        <v>74</v>
      </c>
      <c r="AD78" s="1127">
        <v>58</v>
      </c>
      <c r="AE78" s="1127">
        <v>38</v>
      </c>
      <c r="AF78" s="1127">
        <v>28</v>
      </c>
      <c r="AG78" s="1127">
        <v>17</v>
      </c>
      <c r="AH78" s="1127">
        <v>11</v>
      </c>
      <c r="AI78" s="1127">
        <v>1</v>
      </c>
      <c r="AJ78" s="1127"/>
      <c r="AK78" s="1127">
        <f t="shared" si="6"/>
        <v>177</v>
      </c>
      <c r="AL78" s="1127">
        <f t="shared" si="7"/>
        <v>255</v>
      </c>
    </row>
    <row r="79" spans="1:38">
      <c r="A79" s="1120">
        <v>157</v>
      </c>
      <c r="B79" s="184" t="s">
        <v>740</v>
      </c>
      <c r="C79" s="1127">
        <v>228</v>
      </c>
      <c r="D79" s="1127">
        <v>3</v>
      </c>
      <c r="E79" s="1127">
        <v>18</v>
      </c>
      <c r="F79" s="1127">
        <v>20</v>
      </c>
      <c r="G79" s="1127">
        <v>25</v>
      </c>
      <c r="H79" s="1127">
        <v>19</v>
      </c>
      <c r="I79" s="1127">
        <v>6</v>
      </c>
      <c r="J79" s="1127">
        <v>11</v>
      </c>
      <c r="K79" s="1127">
        <v>17</v>
      </c>
      <c r="L79" s="1127">
        <v>11</v>
      </c>
      <c r="M79" s="1127">
        <v>18</v>
      </c>
      <c r="N79" s="1127">
        <v>13</v>
      </c>
      <c r="O79" s="1127">
        <v>14</v>
      </c>
      <c r="P79" s="1127">
        <v>17</v>
      </c>
      <c r="Q79" s="1127">
        <v>11</v>
      </c>
      <c r="R79" s="1127">
        <v>9</v>
      </c>
      <c r="S79" s="1127">
        <v>7</v>
      </c>
      <c r="T79" s="1127">
        <v>2</v>
      </c>
      <c r="U79" s="1127">
        <v>3</v>
      </c>
      <c r="V79" s="1127">
        <v>2</v>
      </c>
      <c r="W79" s="1127">
        <v>2</v>
      </c>
      <c r="X79" s="1127"/>
      <c r="Y79" s="1127">
        <v>21</v>
      </c>
      <c r="Z79" s="1127">
        <v>45</v>
      </c>
      <c r="AA79" s="1127">
        <v>25</v>
      </c>
      <c r="AB79" s="1127">
        <v>11</v>
      </c>
      <c r="AC79" s="1127">
        <v>28</v>
      </c>
      <c r="AD79" s="1127">
        <v>31</v>
      </c>
      <c r="AE79" s="1127">
        <v>31</v>
      </c>
      <c r="AF79" s="1127">
        <v>20</v>
      </c>
      <c r="AG79" s="1127">
        <v>9</v>
      </c>
      <c r="AH79" s="1127">
        <v>5</v>
      </c>
      <c r="AI79" s="1127">
        <v>2</v>
      </c>
      <c r="AJ79" s="1127"/>
      <c r="AK79" s="1127">
        <f t="shared" si="6"/>
        <v>91</v>
      </c>
      <c r="AL79" s="1127">
        <f t="shared" si="7"/>
        <v>137</v>
      </c>
    </row>
    <row r="80" spans="1:38">
      <c r="A80" s="1120">
        <v>159</v>
      </c>
      <c r="B80" s="184" t="s">
        <v>285</v>
      </c>
      <c r="C80" s="1127">
        <v>510</v>
      </c>
      <c r="D80" s="1127">
        <v>7</v>
      </c>
      <c r="E80" s="1127">
        <v>38</v>
      </c>
      <c r="F80" s="1127">
        <v>47</v>
      </c>
      <c r="G80" s="1127">
        <v>36</v>
      </c>
      <c r="H80" s="1127">
        <v>24</v>
      </c>
      <c r="I80" s="1127">
        <v>28</v>
      </c>
      <c r="J80" s="1127">
        <v>55</v>
      </c>
      <c r="K80" s="1127">
        <v>53</v>
      </c>
      <c r="L80" s="1127">
        <v>66</v>
      </c>
      <c r="M80" s="1127">
        <v>45</v>
      </c>
      <c r="N80" s="1127">
        <v>37</v>
      </c>
      <c r="O80" s="1127">
        <v>23</v>
      </c>
      <c r="P80" s="1127">
        <v>20</v>
      </c>
      <c r="Q80" s="1127">
        <v>10</v>
      </c>
      <c r="R80" s="1127">
        <v>7</v>
      </c>
      <c r="S80" s="1127">
        <v>5</v>
      </c>
      <c r="T80" s="1127">
        <v>1</v>
      </c>
      <c r="U80" s="1127">
        <v>6</v>
      </c>
      <c r="V80" s="1127">
        <v>1</v>
      </c>
      <c r="W80" s="1127">
        <v>1</v>
      </c>
      <c r="X80" s="1127"/>
      <c r="Y80" s="1127">
        <v>45</v>
      </c>
      <c r="Z80" s="1127">
        <v>83</v>
      </c>
      <c r="AA80" s="1127">
        <v>52</v>
      </c>
      <c r="AB80" s="1127">
        <v>55</v>
      </c>
      <c r="AC80" s="1127">
        <v>119</v>
      </c>
      <c r="AD80" s="1127">
        <v>82</v>
      </c>
      <c r="AE80" s="1127">
        <v>43</v>
      </c>
      <c r="AF80" s="1127">
        <v>17</v>
      </c>
      <c r="AG80" s="1127">
        <v>6</v>
      </c>
      <c r="AH80" s="1127">
        <v>7</v>
      </c>
      <c r="AI80" s="1127">
        <v>1</v>
      </c>
      <c r="AJ80" s="1127"/>
      <c r="AK80" s="1127">
        <f t="shared" si="6"/>
        <v>180</v>
      </c>
      <c r="AL80" s="1127">
        <f t="shared" si="7"/>
        <v>330</v>
      </c>
    </row>
    <row r="81" spans="1:38">
      <c r="A81" s="1120">
        <v>161</v>
      </c>
      <c r="B81" s="184" t="s">
        <v>368</v>
      </c>
      <c r="C81" s="1127">
        <v>2552</v>
      </c>
      <c r="D81" s="1127">
        <v>55</v>
      </c>
      <c r="E81" s="1127">
        <v>235</v>
      </c>
      <c r="F81" s="1127">
        <v>235</v>
      </c>
      <c r="G81" s="1127">
        <v>227</v>
      </c>
      <c r="H81" s="1127">
        <v>172</v>
      </c>
      <c r="I81" s="1127">
        <v>107</v>
      </c>
      <c r="J81" s="1127">
        <v>244</v>
      </c>
      <c r="K81" s="1127">
        <v>208</v>
      </c>
      <c r="L81" s="1127">
        <v>222</v>
      </c>
      <c r="M81" s="1127">
        <v>205</v>
      </c>
      <c r="N81" s="1127">
        <v>158</v>
      </c>
      <c r="O81" s="1127">
        <v>147</v>
      </c>
      <c r="P81" s="1127">
        <v>113</v>
      </c>
      <c r="Q81" s="1127">
        <v>70</v>
      </c>
      <c r="R81" s="1127">
        <v>44</v>
      </c>
      <c r="S81" s="1127">
        <v>43</v>
      </c>
      <c r="T81" s="1127">
        <v>19</v>
      </c>
      <c r="U81" s="1127">
        <v>25</v>
      </c>
      <c r="V81" s="1127">
        <v>13</v>
      </c>
      <c r="W81" s="1127">
        <v>10</v>
      </c>
      <c r="X81" s="1127"/>
      <c r="Y81" s="1127">
        <v>290</v>
      </c>
      <c r="Z81" s="1127">
        <v>462</v>
      </c>
      <c r="AA81" s="1127">
        <v>279</v>
      </c>
      <c r="AB81" s="1127">
        <v>244</v>
      </c>
      <c r="AC81" s="1127">
        <v>430</v>
      </c>
      <c r="AD81" s="1127">
        <v>363</v>
      </c>
      <c r="AE81" s="1127">
        <v>260</v>
      </c>
      <c r="AF81" s="1127">
        <v>114</v>
      </c>
      <c r="AG81" s="1127">
        <v>62</v>
      </c>
      <c r="AH81" s="1127">
        <v>38</v>
      </c>
      <c r="AI81" s="1127">
        <v>10</v>
      </c>
      <c r="AJ81" s="1127"/>
      <c r="AK81" s="1127">
        <v>1031</v>
      </c>
      <c r="AL81" s="1127">
        <v>1521</v>
      </c>
    </row>
    <row r="82" spans="1:38">
      <c r="A82" s="1120">
        <v>163</v>
      </c>
      <c r="B82" s="184" t="s">
        <v>1119</v>
      </c>
      <c r="C82" s="1127">
        <v>670</v>
      </c>
      <c r="D82" s="1127">
        <v>11</v>
      </c>
      <c r="E82" s="1127">
        <v>42</v>
      </c>
      <c r="F82" s="1127">
        <v>48</v>
      </c>
      <c r="G82" s="1127">
        <v>53</v>
      </c>
      <c r="H82" s="1127">
        <v>29</v>
      </c>
      <c r="I82" s="1127">
        <v>63</v>
      </c>
      <c r="J82" s="1127">
        <v>135</v>
      </c>
      <c r="K82" s="1127">
        <v>49</v>
      </c>
      <c r="L82" s="1127">
        <v>48</v>
      </c>
      <c r="M82" s="1127">
        <v>39</v>
      </c>
      <c r="N82" s="1127">
        <v>31</v>
      </c>
      <c r="O82" s="1127">
        <v>39</v>
      </c>
      <c r="P82" s="1127">
        <v>22</v>
      </c>
      <c r="Q82" s="1127">
        <v>16</v>
      </c>
      <c r="R82" s="1127">
        <v>7</v>
      </c>
      <c r="S82" s="1127">
        <v>11</v>
      </c>
      <c r="T82" s="1127">
        <v>9</v>
      </c>
      <c r="U82" s="1127">
        <v>12</v>
      </c>
      <c r="V82" s="1127">
        <v>2</v>
      </c>
      <c r="W82" s="1127">
        <v>4</v>
      </c>
      <c r="X82" s="1127"/>
      <c r="Y82" s="1127">
        <v>53</v>
      </c>
      <c r="Z82" s="1127">
        <v>101</v>
      </c>
      <c r="AA82" s="1127">
        <v>92</v>
      </c>
      <c r="AB82" s="1127">
        <v>135</v>
      </c>
      <c r="AC82" s="1127">
        <v>97</v>
      </c>
      <c r="AD82" s="1127">
        <v>70</v>
      </c>
      <c r="AE82" s="1127">
        <v>61</v>
      </c>
      <c r="AF82" s="1127">
        <v>23</v>
      </c>
      <c r="AG82" s="1127">
        <v>20</v>
      </c>
      <c r="AH82" s="1127">
        <v>14</v>
      </c>
      <c r="AI82" s="1127">
        <v>4</v>
      </c>
      <c r="AJ82" s="1127"/>
      <c r="AK82" s="1127">
        <v>246</v>
      </c>
      <c r="AL82" s="1127">
        <v>424</v>
      </c>
    </row>
    <row r="83" spans="1:38">
      <c r="A83" s="1120">
        <v>165</v>
      </c>
      <c r="B83" s="184" t="s">
        <v>1120</v>
      </c>
      <c r="C83" s="1127">
        <v>11741</v>
      </c>
      <c r="D83" s="1127">
        <v>303</v>
      </c>
      <c r="E83" s="1127">
        <v>1140</v>
      </c>
      <c r="F83" s="1127">
        <v>1266</v>
      </c>
      <c r="G83" s="1127">
        <v>1026</v>
      </c>
      <c r="H83" s="1127">
        <v>583</v>
      </c>
      <c r="I83" s="1127">
        <v>553</v>
      </c>
      <c r="J83" s="1127">
        <v>1361</v>
      </c>
      <c r="K83" s="1127">
        <v>1165</v>
      </c>
      <c r="L83" s="1127">
        <v>1082</v>
      </c>
      <c r="M83" s="1127">
        <v>915</v>
      </c>
      <c r="N83" s="1127">
        <v>760</v>
      </c>
      <c r="O83" s="1127">
        <v>617</v>
      </c>
      <c r="P83" s="1127">
        <v>399</v>
      </c>
      <c r="Q83" s="1127">
        <v>230</v>
      </c>
      <c r="R83" s="1127">
        <v>159</v>
      </c>
      <c r="S83" s="1127">
        <v>69</v>
      </c>
      <c r="T83" s="1127">
        <v>49</v>
      </c>
      <c r="U83" s="1127">
        <v>30</v>
      </c>
      <c r="V83" s="1127">
        <v>19</v>
      </c>
      <c r="W83" s="1127">
        <v>15</v>
      </c>
      <c r="X83" s="1127"/>
      <c r="Y83" s="1127">
        <v>1443</v>
      </c>
      <c r="Z83" s="1127">
        <v>2292</v>
      </c>
      <c r="AA83" s="1127">
        <v>1136</v>
      </c>
      <c r="AB83" s="1127">
        <v>1361</v>
      </c>
      <c r="AC83" s="1127">
        <v>2247</v>
      </c>
      <c r="AD83" s="1127">
        <v>1675</v>
      </c>
      <c r="AE83" s="1127">
        <v>1016</v>
      </c>
      <c r="AF83" s="1127">
        <v>389</v>
      </c>
      <c r="AG83" s="1127">
        <v>118</v>
      </c>
      <c r="AH83" s="1127">
        <v>49</v>
      </c>
      <c r="AI83" s="1127">
        <v>15</v>
      </c>
      <c r="AJ83" s="1127"/>
      <c r="AK83" s="1127">
        <v>4871</v>
      </c>
      <c r="AL83" s="1127">
        <v>6870</v>
      </c>
    </row>
    <row r="84" spans="1:38">
      <c r="A84" s="1120">
        <v>167</v>
      </c>
      <c r="B84" s="184" t="s">
        <v>741</v>
      </c>
      <c r="C84" s="1127">
        <v>275</v>
      </c>
      <c r="D84" s="1127">
        <v>6</v>
      </c>
      <c r="E84" s="1127">
        <v>36</v>
      </c>
      <c r="F84" s="1127">
        <v>30</v>
      </c>
      <c r="G84" s="1127">
        <v>20</v>
      </c>
      <c r="H84" s="1127">
        <v>13</v>
      </c>
      <c r="I84" s="1127">
        <v>11</v>
      </c>
      <c r="J84" s="1127">
        <v>20</v>
      </c>
      <c r="K84" s="1127">
        <v>35</v>
      </c>
      <c r="L84" s="1127">
        <v>24</v>
      </c>
      <c r="M84" s="1127">
        <v>15</v>
      </c>
      <c r="N84" s="1127">
        <v>19</v>
      </c>
      <c r="O84" s="1127">
        <v>8</v>
      </c>
      <c r="P84" s="1127">
        <v>8</v>
      </c>
      <c r="Q84" s="1127">
        <v>8</v>
      </c>
      <c r="R84" s="1127">
        <v>6</v>
      </c>
      <c r="S84" s="1127">
        <v>7</v>
      </c>
      <c r="T84" s="1127">
        <v>4</v>
      </c>
      <c r="U84" s="1127">
        <v>3</v>
      </c>
      <c r="V84" s="1127">
        <v>2</v>
      </c>
      <c r="W84" s="1127">
        <v>0</v>
      </c>
      <c r="X84" s="1127"/>
      <c r="Y84" s="1127">
        <v>42</v>
      </c>
      <c r="Z84" s="1127">
        <v>50</v>
      </c>
      <c r="AA84" s="1127">
        <v>24</v>
      </c>
      <c r="AB84" s="1127">
        <v>20</v>
      </c>
      <c r="AC84" s="1127">
        <v>59</v>
      </c>
      <c r="AD84" s="1127">
        <v>34</v>
      </c>
      <c r="AE84" s="1127">
        <v>16</v>
      </c>
      <c r="AF84" s="1127">
        <v>14</v>
      </c>
      <c r="AG84" s="1127">
        <v>11</v>
      </c>
      <c r="AH84" s="1127">
        <v>5</v>
      </c>
      <c r="AI84" s="1127">
        <v>0</v>
      </c>
      <c r="AJ84" s="1127"/>
      <c r="AK84" s="1127">
        <f t="shared" ref="AK84:AK98" si="8">SUM(D84:I84)</f>
        <v>116</v>
      </c>
      <c r="AL84" s="1127">
        <f t="shared" ref="AL84:AL98" si="9">SUM(J84:W84)</f>
        <v>159</v>
      </c>
    </row>
    <row r="85" spans="1:38">
      <c r="A85" s="1120">
        <v>169</v>
      </c>
      <c r="B85" s="184" t="s">
        <v>742</v>
      </c>
      <c r="C85" s="1127">
        <v>234</v>
      </c>
      <c r="D85" s="1127">
        <v>5</v>
      </c>
      <c r="E85" s="1127">
        <v>28</v>
      </c>
      <c r="F85" s="1127">
        <v>31</v>
      </c>
      <c r="G85" s="1127">
        <v>24</v>
      </c>
      <c r="H85" s="1127">
        <v>10</v>
      </c>
      <c r="I85" s="1127">
        <v>10</v>
      </c>
      <c r="J85" s="1127">
        <v>14</v>
      </c>
      <c r="K85" s="1127">
        <v>19</v>
      </c>
      <c r="L85" s="1127">
        <v>21</v>
      </c>
      <c r="M85" s="1127">
        <v>17</v>
      </c>
      <c r="N85" s="1127">
        <v>13</v>
      </c>
      <c r="O85" s="1127">
        <v>11</v>
      </c>
      <c r="P85" s="1127">
        <v>7</v>
      </c>
      <c r="Q85" s="1127">
        <v>5</v>
      </c>
      <c r="R85" s="1127">
        <v>6</v>
      </c>
      <c r="S85" s="1127">
        <v>4</v>
      </c>
      <c r="T85" s="1127">
        <v>2</v>
      </c>
      <c r="U85" s="1127">
        <v>4</v>
      </c>
      <c r="V85" s="1127">
        <v>3</v>
      </c>
      <c r="W85" s="1127">
        <v>0</v>
      </c>
      <c r="X85" s="1127"/>
      <c r="Y85" s="1127">
        <v>33</v>
      </c>
      <c r="Z85" s="1127">
        <v>55</v>
      </c>
      <c r="AA85" s="1127">
        <v>20</v>
      </c>
      <c r="AB85" s="1127">
        <v>14</v>
      </c>
      <c r="AC85" s="1127">
        <v>40</v>
      </c>
      <c r="AD85" s="1127">
        <v>30</v>
      </c>
      <c r="AE85" s="1127">
        <v>18</v>
      </c>
      <c r="AF85" s="1127">
        <v>11</v>
      </c>
      <c r="AG85" s="1127">
        <v>6</v>
      </c>
      <c r="AH85" s="1127">
        <v>7</v>
      </c>
      <c r="AI85" s="1127">
        <v>0</v>
      </c>
      <c r="AJ85" s="1127"/>
      <c r="AK85" s="1127">
        <f t="shared" si="8"/>
        <v>108</v>
      </c>
      <c r="AL85" s="1127">
        <f t="shared" si="9"/>
        <v>126</v>
      </c>
    </row>
    <row r="86" spans="1:38">
      <c r="A86" s="1120">
        <v>171</v>
      </c>
      <c r="B86" s="184" t="s">
        <v>743</v>
      </c>
      <c r="C86" s="1127">
        <v>2577</v>
      </c>
      <c r="D86" s="1127">
        <v>66</v>
      </c>
      <c r="E86" s="1127">
        <v>270</v>
      </c>
      <c r="F86" s="1127">
        <v>285</v>
      </c>
      <c r="G86" s="1127">
        <v>248</v>
      </c>
      <c r="H86" s="1127">
        <v>150</v>
      </c>
      <c r="I86" s="1127">
        <v>104</v>
      </c>
      <c r="J86" s="1127">
        <v>209</v>
      </c>
      <c r="K86" s="1127">
        <v>238</v>
      </c>
      <c r="L86" s="1127">
        <v>218</v>
      </c>
      <c r="M86" s="1127">
        <v>203</v>
      </c>
      <c r="N86" s="1127">
        <v>202</v>
      </c>
      <c r="O86" s="1127">
        <v>121</v>
      </c>
      <c r="P86" s="1127">
        <v>97</v>
      </c>
      <c r="Q86" s="1127">
        <v>53</v>
      </c>
      <c r="R86" s="1127">
        <v>40</v>
      </c>
      <c r="S86" s="1127">
        <v>31</v>
      </c>
      <c r="T86" s="1127">
        <v>15</v>
      </c>
      <c r="U86" s="1127">
        <v>14</v>
      </c>
      <c r="V86" s="1127">
        <v>10</v>
      </c>
      <c r="W86" s="1127">
        <v>3</v>
      </c>
      <c r="X86" s="1127"/>
      <c r="Y86" s="1127">
        <v>336</v>
      </c>
      <c r="Z86" s="1127">
        <v>533</v>
      </c>
      <c r="AA86" s="1127">
        <v>254</v>
      </c>
      <c r="AB86" s="1127">
        <v>209</v>
      </c>
      <c r="AC86" s="1127">
        <v>456</v>
      </c>
      <c r="AD86" s="1127">
        <v>405</v>
      </c>
      <c r="AE86" s="1127">
        <v>218</v>
      </c>
      <c r="AF86" s="1127">
        <v>93</v>
      </c>
      <c r="AG86" s="1127">
        <v>46</v>
      </c>
      <c r="AH86" s="1127">
        <v>24</v>
      </c>
      <c r="AI86" s="1127">
        <v>3</v>
      </c>
      <c r="AJ86" s="1127"/>
      <c r="AK86" s="1127">
        <f t="shared" si="8"/>
        <v>1123</v>
      </c>
      <c r="AL86" s="1127">
        <f t="shared" si="9"/>
        <v>1454</v>
      </c>
    </row>
    <row r="87" spans="1:38">
      <c r="A87" s="1120">
        <v>173</v>
      </c>
      <c r="B87" s="184" t="s">
        <v>744</v>
      </c>
      <c r="C87" s="1127">
        <v>527</v>
      </c>
      <c r="D87" s="1127">
        <v>17</v>
      </c>
      <c r="E87" s="1127">
        <v>54</v>
      </c>
      <c r="F87" s="1127">
        <v>67</v>
      </c>
      <c r="G87" s="1127">
        <v>42</v>
      </c>
      <c r="H87" s="1127">
        <v>20</v>
      </c>
      <c r="I87" s="1127">
        <v>26</v>
      </c>
      <c r="J87" s="1127">
        <v>46</v>
      </c>
      <c r="K87" s="1127">
        <v>56</v>
      </c>
      <c r="L87" s="1127">
        <v>51</v>
      </c>
      <c r="M87" s="1127">
        <v>37</v>
      </c>
      <c r="N87" s="1127">
        <v>25</v>
      </c>
      <c r="O87" s="1127">
        <v>21</v>
      </c>
      <c r="P87" s="1127">
        <v>11</v>
      </c>
      <c r="Q87" s="1127">
        <v>22</v>
      </c>
      <c r="R87" s="1127">
        <v>9</v>
      </c>
      <c r="S87" s="1127">
        <v>5</v>
      </c>
      <c r="T87" s="1127">
        <v>4</v>
      </c>
      <c r="U87" s="1127">
        <v>7</v>
      </c>
      <c r="V87" s="1127">
        <v>5</v>
      </c>
      <c r="W87" s="1127">
        <v>2</v>
      </c>
      <c r="X87" s="1127"/>
      <c r="Y87" s="1127">
        <v>71</v>
      </c>
      <c r="Z87" s="1127">
        <v>109</v>
      </c>
      <c r="AA87" s="1127">
        <v>46</v>
      </c>
      <c r="AB87" s="1127">
        <v>46</v>
      </c>
      <c r="AC87" s="1127">
        <v>107</v>
      </c>
      <c r="AD87" s="1127">
        <v>62</v>
      </c>
      <c r="AE87" s="1127">
        <v>32</v>
      </c>
      <c r="AF87" s="1127">
        <v>31</v>
      </c>
      <c r="AG87" s="1127">
        <v>9</v>
      </c>
      <c r="AH87" s="1127">
        <v>12</v>
      </c>
      <c r="AI87" s="1127">
        <v>2</v>
      </c>
      <c r="AJ87" s="1127"/>
      <c r="AK87" s="1127">
        <f t="shared" si="8"/>
        <v>226</v>
      </c>
      <c r="AL87" s="1127">
        <f t="shared" si="9"/>
        <v>301</v>
      </c>
    </row>
    <row r="88" spans="1:38">
      <c r="A88" s="1120">
        <v>175</v>
      </c>
      <c r="B88" s="184" t="s">
        <v>745</v>
      </c>
      <c r="C88" s="1127">
        <v>203</v>
      </c>
      <c r="D88" s="1127">
        <v>0</v>
      </c>
      <c r="E88" s="1127">
        <v>15</v>
      </c>
      <c r="F88" s="1127">
        <v>28</v>
      </c>
      <c r="G88" s="1127">
        <v>30</v>
      </c>
      <c r="H88" s="1127">
        <v>15</v>
      </c>
      <c r="I88" s="1127">
        <v>7</v>
      </c>
      <c r="J88" s="1127">
        <v>7</v>
      </c>
      <c r="K88" s="1127">
        <v>9</v>
      </c>
      <c r="L88" s="1127">
        <v>16</v>
      </c>
      <c r="M88" s="1127">
        <v>12</v>
      </c>
      <c r="N88" s="1127">
        <v>13</v>
      </c>
      <c r="O88" s="1127">
        <v>15</v>
      </c>
      <c r="P88" s="1127">
        <v>8</v>
      </c>
      <c r="Q88" s="1127">
        <v>8</v>
      </c>
      <c r="R88" s="1127">
        <v>6</v>
      </c>
      <c r="S88" s="1127">
        <v>3</v>
      </c>
      <c r="T88" s="1127">
        <v>5</v>
      </c>
      <c r="U88" s="1127">
        <v>3</v>
      </c>
      <c r="V88" s="1127">
        <v>1</v>
      </c>
      <c r="W88" s="1127">
        <v>2</v>
      </c>
      <c r="X88" s="1127"/>
      <c r="Y88" s="1127">
        <v>15</v>
      </c>
      <c r="Z88" s="1127">
        <v>58</v>
      </c>
      <c r="AA88" s="1127">
        <v>22</v>
      </c>
      <c r="AB88" s="1127">
        <v>7</v>
      </c>
      <c r="AC88" s="1127">
        <v>25</v>
      </c>
      <c r="AD88" s="1127">
        <v>25</v>
      </c>
      <c r="AE88" s="1127">
        <v>23</v>
      </c>
      <c r="AF88" s="1127">
        <v>14</v>
      </c>
      <c r="AG88" s="1127">
        <v>8</v>
      </c>
      <c r="AH88" s="1127">
        <v>4</v>
      </c>
      <c r="AI88" s="1127">
        <v>2</v>
      </c>
      <c r="AJ88" s="1127"/>
      <c r="AK88" s="1127">
        <f t="shared" si="8"/>
        <v>95</v>
      </c>
      <c r="AL88" s="1127">
        <f t="shared" si="9"/>
        <v>108</v>
      </c>
    </row>
    <row r="89" spans="1:38">
      <c r="A89" s="1120">
        <v>177</v>
      </c>
      <c r="B89" s="184" t="s">
        <v>746</v>
      </c>
      <c r="C89" s="1127">
        <v>9278</v>
      </c>
      <c r="D89" s="1127">
        <v>198</v>
      </c>
      <c r="E89" s="1127">
        <v>865</v>
      </c>
      <c r="F89" s="1127">
        <v>996</v>
      </c>
      <c r="G89" s="1127">
        <v>877</v>
      </c>
      <c r="H89" s="1127">
        <v>601</v>
      </c>
      <c r="I89" s="1127">
        <v>273</v>
      </c>
      <c r="J89" s="1127">
        <v>738</v>
      </c>
      <c r="K89" s="1127">
        <v>856</v>
      </c>
      <c r="L89" s="1127">
        <v>794</v>
      </c>
      <c r="M89" s="1127">
        <v>766</v>
      </c>
      <c r="N89" s="1127">
        <v>693</v>
      </c>
      <c r="O89" s="1127">
        <v>568</v>
      </c>
      <c r="P89" s="1127">
        <v>414</v>
      </c>
      <c r="Q89" s="1127">
        <v>232</v>
      </c>
      <c r="R89" s="1127">
        <v>143</v>
      </c>
      <c r="S89" s="1127">
        <v>108</v>
      </c>
      <c r="T89" s="1127">
        <v>83</v>
      </c>
      <c r="U89" s="1127">
        <v>39</v>
      </c>
      <c r="V89" s="1127">
        <v>22</v>
      </c>
      <c r="W89" s="1127">
        <v>12</v>
      </c>
      <c r="X89" s="1127"/>
      <c r="Y89" s="1127">
        <v>1063</v>
      </c>
      <c r="Z89" s="1127">
        <v>1873</v>
      </c>
      <c r="AA89" s="1127">
        <v>874</v>
      </c>
      <c r="AB89" s="1127">
        <v>738</v>
      </c>
      <c r="AC89" s="1127">
        <v>1650</v>
      </c>
      <c r="AD89" s="1127">
        <v>1459</v>
      </c>
      <c r="AE89" s="1127">
        <v>982</v>
      </c>
      <c r="AF89" s="1127">
        <v>375</v>
      </c>
      <c r="AG89" s="1127">
        <v>191</v>
      </c>
      <c r="AH89" s="1127">
        <v>61</v>
      </c>
      <c r="AI89" s="1127">
        <v>12</v>
      </c>
      <c r="AJ89" s="1127"/>
      <c r="AK89" s="1127">
        <f t="shared" si="8"/>
        <v>3810</v>
      </c>
      <c r="AL89" s="1127">
        <f t="shared" si="9"/>
        <v>5468</v>
      </c>
    </row>
    <row r="90" spans="1:38">
      <c r="A90" s="1120">
        <v>179</v>
      </c>
      <c r="B90" s="184" t="s">
        <v>747</v>
      </c>
      <c r="C90" s="1127">
        <v>11875</v>
      </c>
      <c r="D90" s="1127">
        <v>246</v>
      </c>
      <c r="E90" s="1127">
        <v>1105</v>
      </c>
      <c r="F90" s="1127">
        <v>1304</v>
      </c>
      <c r="G90" s="1127">
        <v>1221</v>
      </c>
      <c r="H90" s="1127">
        <v>746</v>
      </c>
      <c r="I90" s="1127">
        <v>358</v>
      </c>
      <c r="J90" s="1127">
        <v>899</v>
      </c>
      <c r="K90" s="1127">
        <v>1009</v>
      </c>
      <c r="L90" s="1127">
        <v>1007</v>
      </c>
      <c r="M90" s="1127">
        <v>1023</v>
      </c>
      <c r="N90" s="1127">
        <v>894</v>
      </c>
      <c r="O90" s="1127">
        <v>772</v>
      </c>
      <c r="P90" s="1127">
        <v>518</v>
      </c>
      <c r="Q90" s="1127">
        <v>304</v>
      </c>
      <c r="R90" s="1127">
        <v>199</v>
      </c>
      <c r="S90" s="1127">
        <v>113</v>
      </c>
      <c r="T90" s="1127">
        <v>63</v>
      </c>
      <c r="U90" s="1127">
        <v>47</v>
      </c>
      <c r="V90" s="1127">
        <v>25</v>
      </c>
      <c r="W90" s="1127">
        <v>22</v>
      </c>
      <c r="X90" s="1127"/>
      <c r="Y90" s="1127">
        <v>1351</v>
      </c>
      <c r="Z90" s="1127">
        <v>2525</v>
      </c>
      <c r="AA90" s="1127">
        <v>1104</v>
      </c>
      <c r="AB90" s="1127">
        <v>899</v>
      </c>
      <c r="AC90" s="1127">
        <v>2016</v>
      </c>
      <c r="AD90" s="1127">
        <v>1917</v>
      </c>
      <c r="AE90" s="1127">
        <v>1290</v>
      </c>
      <c r="AF90" s="1127">
        <v>503</v>
      </c>
      <c r="AG90" s="1127">
        <v>176</v>
      </c>
      <c r="AH90" s="1127">
        <v>72</v>
      </c>
      <c r="AI90" s="1127">
        <v>22</v>
      </c>
      <c r="AJ90" s="1127"/>
      <c r="AK90" s="1127">
        <f t="shared" si="8"/>
        <v>4980</v>
      </c>
      <c r="AL90" s="1127">
        <f t="shared" si="9"/>
        <v>6895</v>
      </c>
    </row>
    <row r="91" spans="1:38">
      <c r="A91" s="1120">
        <v>181</v>
      </c>
      <c r="B91" s="184" t="s">
        <v>748</v>
      </c>
      <c r="C91" s="1127">
        <v>86</v>
      </c>
      <c r="D91" s="1127">
        <v>1</v>
      </c>
      <c r="E91" s="1127">
        <v>6</v>
      </c>
      <c r="F91" s="1127">
        <v>5</v>
      </c>
      <c r="G91" s="1127">
        <v>11</v>
      </c>
      <c r="H91" s="1127">
        <v>1</v>
      </c>
      <c r="I91" s="1127">
        <v>2</v>
      </c>
      <c r="J91" s="1127">
        <v>16</v>
      </c>
      <c r="K91" s="1127">
        <v>4</v>
      </c>
      <c r="L91" s="1127">
        <v>5</v>
      </c>
      <c r="M91" s="1127">
        <v>6</v>
      </c>
      <c r="N91" s="1127">
        <v>9</v>
      </c>
      <c r="O91" s="1127">
        <v>2</v>
      </c>
      <c r="P91" s="1127">
        <v>6</v>
      </c>
      <c r="Q91" s="1127">
        <v>4</v>
      </c>
      <c r="R91" s="1127">
        <v>4</v>
      </c>
      <c r="S91" s="1127">
        <v>1</v>
      </c>
      <c r="T91" s="1127">
        <v>1</v>
      </c>
      <c r="U91" s="1127">
        <v>0</v>
      </c>
      <c r="V91" s="1127">
        <v>2</v>
      </c>
      <c r="W91" s="1127">
        <v>0</v>
      </c>
      <c r="X91" s="1127"/>
      <c r="Y91" s="1127">
        <v>7</v>
      </c>
      <c r="Z91" s="1127">
        <v>16</v>
      </c>
      <c r="AA91" s="1127">
        <v>3</v>
      </c>
      <c r="AB91" s="1127">
        <v>16</v>
      </c>
      <c r="AC91" s="1127">
        <v>9</v>
      </c>
      <c r="AD91" s="1127">
        <v>15</v>
      </c>
      <c r="AE91" s="1127">
        <v>8</v>
      </c>
      <c r="AF91" s="1127">
        <v>8</v>
      </c>
      <c r="AG91" s="1127">
        <v>2</v>
      </c>
      <c r="AH91" s="1127">
        <v>2</v>
      </c>
      <c r="AI91" s="1127">
        <v>0</v>
      </c>
      <c r="AJ91" s="1127"/>
      <c r="AK91" s="1127">
        <f t="shared" si="8"/>
        <v>26</v>
      </c>
      <c r="AL91" s="1127">
        <f t="shared" si="9"/>
        <v>60</v>
      </c>
    </row>
    <row r="92" spans="1:38">
      <c r="A92" s="1120">
        <v>183</v>
      </c>
      <c r="B92" s="184" t="s">
        <v>749</v>
      </c>
      <c r="C92" s="1127">
        <v>268</v>
      </c>
      <c r="D92" s="1127">
        <v>2</v>
      </c>
      <c r="E92" s="1127">
        <v>31</v>
      </c>
      <c r="F92" s="1127">
        <v>22</v>
      </c>
      <c r="G92" s="1127">
        <v>15</v>
      </c>
      <c r="H92" s="1127">
        <v>9</v>
      </c>
      <c r="I92" s="1127">
        <v>4</v>
      </c>
      <c r="J92" s="1127">
        <v>39</v>
      </c>
      <c r="K92" s="1127">
        <v>39</v>
      </c>
      <c r="L92" s="1127">
        <v>33</v>
      </c>
      <c r="M92" s="1127">
        <v>28</v>
      </c>
      <c r="N92" s="1127">
        <v>11</v>
      </c>
      <c r="O92" s="1127">
        <v>9</v>
      </c>
      <c r="P92" s="1127">
        <v>15</v>
      </c>
      <c r="Q92" s="1127">
        <v>7</v>
      </c>
      <c r="R92" s="1127">
        <v>1</v>
      </c>
      <c r="S92" s="1127">
        <v>1</v>
      </c>
      <c r="T92" s="1127">
        <v>0</v>
      </c>
      <c r="U92" s="1127">
        <v>1</v>
      </c>
      <c r="V92" s="1127">
        <v>1</v>
      </c>
      <c r="W92" s="1127">
        <v>0</v>
      </c>
      <c r="X92" s="1127"/>
      <c r="Y92" s="1127">
        <v>33</v>
      </c>
      <c r="Z92" s="1127">
        <v>37</v>
      </c>
      <c r="AA92" s="1127">
        <v>13</v>
      </c>
      <c r="AB92" s="1127">
        <v>39</v>
      </c>
      <c r="AC92" s="1127">
        <v>72</v>
      </c>
      <c r="AD92" s="1127">
        <v>39</v>
      </c>
      <c r="AE92" s="1127">
        <v>24</v>
      </c>
      <c r="AF92" s="1127">
        <v>8</v>
      </c>
      <c r="AG92" s="1127">
        <v>1</v>
      </c>
      <c r="AH92" s="1127">
        <v>2</v>
      </c>
      <c r="AI92" s="1127">
        <v>0</v>
      </c>
      <c r="AJ92" s="1127"/>
      <c r="AK92" s="1127">
        <f t="shared" si="8"/>
        <v>83</v>
      </c>
      <c r="AL92" s="1127">
        <f t="shared" si="9"/>
        <v>185</v>
      </c>
    </row>
    <row r="93" spans="1:38">
      <c r="A93" s="1120">
        <v>185</v>
      </c>
      <c r="B93" s="184" t="s">
        <v>750</v>
      </c>
      <c r="C93" s="1127">
        <v>296</v>
      </c>
      <c r="D93" s="1127">
        <v>7</v>
      </c>
      <c r="E93" s="1127">
        <v>21</v>
      </c>
      <c r="F93" s="1127">
        <v>23</v>
      </c>
      <c r="G93" s="1127">
        <v>17</v>
      </c>
      <c r="H93" s="1127">
        <v>17</v>
      </c>
      <c r="I93" s="1127">
        <v>12</v>
      </c>
      <c r="J93" s="1127">
        <v>34</v>
      </c>
      <c r="K93" s="1127">
        <v>30</v>
      </c>
      <c r="L93" s="1127">
        <v>33</v>
      </c>
      <c r="M93" s="1127">
        <v>20</v>
      </c>
      <c r="N93" s="1127">
        <v>12</v>
      </c>
      <c r="O93" s="1127">
        <v>17</v>
      </c>
      <c r="P93" s="1127">
        <v>13</v>
      </c>
      <c r="Q93" s="1127">
        <v>9</v>
      </c>
      <c r="R93" s="1127">
        <v>6</v>
      </c>
      <c r="S93" s="1127">
        <v>6</v>
      </c>
      <c r="T93" s="1127">
        <v>12</v>
      </c>
      <c r="U93" s="1127">
        <v>4</v>
      </c>
      <c r="V93" s="1127">
        <v>3</v>
      </c>
      <c r="W93" s="1127">
        <v>0</v>
      </c>
      <c r="X93" s="1127"/>
      <c r="Y93" s="1127">
        <v>28</v>
      </c>
      <c r="Z93" s="1127">
        <v>40</v>
      </c>
      <c r="AA93" s="1127">
        <v>29</v>
      </c>
      <c r="AB93" s="1127">
        <v>34</v>
      </c>
      <c r="AC93" s="1127">
        <v>63</v>
      </c>
      <c r="AD93" s="1127">
        <v>32</v>
      </c>
      <c r="AE93" s="1127">
        <v>30</v>
      </c>
      <c r="AF93" s="1127">
        <v>15</v>
      </c>
      <c r="AG93" s="1127">
        <v>18</v>
      </c>
      <c r="AH93" s="1127">
        <v>7</v>
      </c>
      <c r="AI93" s="1127">
        <v>0</v>
      </c>
      <c r="AJ93" s="1127"/>
      <c r="AK93" s="1127">
        <f t="shared" si="8"/>
        <v>97</v>
      </c>
      <c r="AL93" s="1127">
        <f t="shared" si="9"/>
        <v>199</v>
      </c>
    </row>
    <row r="94" spans="1:38">
      <c r="A94" s="1120">
        <v>187</v>
      </c>
      <c r="B94" s="184" t="s">
        <v>751</v>
      </c>
      <c r="C94" s="1127">
        <v>1318</v>
      </c>
      <c r="D94" s="1127">
        <v>31</v>
      </c>
      <c r="E94" s="1127">
        <v>128</v>
      </c>
      <c r="F94" s="1127">
        <v>137</v>
      </c>
      <c r="G94" s="1127">
        <v>135</v>
      </c>
      <c r="H94" s="1127">
        <v>80</v>
      </c>
      <c r="I94" s="1127">
        <v>42</v>
      </c>
      <c r="J94" s="1127">
        <v>81</v>
      </c>
      <c r="K94" s="1127">
        <v>95</v>
      </c>
      <c r="L94" s="1127">
        <v>122</v>
      </c>
      <c r="M94" s="1127">
        <v>109</v>
      </c>
      <c r="N94" s="1127">
        <v>101</v>
      </c>
      <c r="O94" s="1127">
        <v>78</v>
      </c>
      <c r="P94" s="1127">
        <v>69</v>
      </c>
      <c r="Q94" s="1127">
        <v>42</v>
      </c>
      <c r="R94" s="1127">
        <v>19</v>
      </c>
      <c r="S94" s="1127">
        <v>19</v>
      </c>
      <c r="T94" s="1127">
        <v>14</v>
      </c>
      <c r="U94" s="1127">
        <v>7</v>
      </c>
      <c r="V94" s="1127">
        <v>4</v>
      </c>
      <c r="W94" s="1127">
        <v>5</v>
      </c>
      <c r="X94" s="1127"/>
      <c r="Y94" s="1127">
        <v>159</v>
      </c>
      <c r="Z94" s="1127">
        <v>272</v>
      </c>
      <c r="AA94" s="1127">
        <v>122</v>
      </c>
      <c r="AB94" s="1127">
        <v>81</v>
      </c>
      <c r="AC94" s="1127">
        <v>217</v>
      </c>
      <c r="AD94" s="1127">
        <v>210</v>
      </c>
      <c r="AE94" s="1127">
        <v>147</v>
      </c>
      <c r="AF94" s="1127">
        <v>61</v>
      </c>
      <c r="AG94" s="1127">
        <v>33</v>
      </c>
      <c r="AH94" s="1127">
        <v>11</v>
      </c>
      <c r="AI94" s="1127">
        <v>5</v>
      </c>
      <c r="AJ94" s="1127"/>
      <c r="AK94" s="1127">
        <f t="shared" si="8"/>
        <v>553</v>
      </c>
      <c r="AL94" s="1127">
        <f t="shared" si="9"/>
        <v>765</v>
      </c>
    </row>
    <row r="95" spans="1:38">
      <c r="A95" s="1120">
        <v>191</v>
      </c>
      <c r="B95" s="184" t="s">
        <v>752</v>
      </c>
      <c r="C95" s="1127">
        <v>724</v>
      </c>
      <c r="D95" s="1127">
        <v>12</v>
      </c>
      <c r="E95" s="1127">
        <v>57</v>
      </c>
      <c r="F95" s="1127">
        <v>80</v>
      </c>
      <c r="G95" s="1127">
        <v>57</v>
      </c>
      <c r="H95" s="1127">
        <v>26</v>
      </c>
      <c r="I95" s="1127">
        <v>18</v>
      </c>
      <c r="J95" s="1127">
        <v>61</v>
      </c>
      <c r="K95" s="1127">
        <v>74</v>
      </c>
      <c r="L95" s="1127">
        <v>65</v>
      </c>
      <c r="M95" s="1127">
        <v>67</v>
      </c>
      <c r="N95" s="1127">
        <v>46</v>
      </c>
      <c r="O95" s="1127">
        <v>44</v>
      </c>
      <c r="P95" s="1127">
        <v>31</v>
      </c>
      <c r="Q95" s="1127">
        <v>17</v>
      </c>
      <c r="R95" s="1127">
        <v>20</v>
      </c>
      <c r="S95" s="1127">
        <v>14</v>
      </c>
      <c r="T95" s="1127">
        <v>11</v>
      </c>
      <c r="U95" s="1127">
        <v>15</v>
      </c>
      <c r="V95" s="1127">
        <v>7</v>
      </c>
      <c r="W95" s="1127">
        <v>2</v>
      </c>
      <c r="X95" s="1127"/>
      <c r="Y95" s="1127">
        <v>69</v>
      </c>
      <c r="Z95" s="1127">
        <v>137</v>
      </c>
      <c r="AA95" s="1127">
        <v>44</v>
      </c>
      <c r="AB95" s="1127">
        <v>61</v>
      </c>
      <c r="AC95" s="1127">
        <v>139</v>
      </c>
      <c r="AD95" s="1127">
        <v>113</v>
      </c>
      <c r="AE95" s="1127">
        <v>75</v>
      </c>
      <c r="AF95" s="1127">
        <v>37</v>
      </c>
      <c r="AG95" s="1127">
        <v>25</v>
      </c>
      <c r="AH95" s="1127">
        <v>22</v>
      </c>
      <c r="AI95" s="1127">
        <v>2</v>
      </c>
      <c r="AJ95" s="1127"/>
      <c r="AK95" s="1127">
        <f t="shared" si="8"/>
        <v>250</v>
      </c>
      <c r="AL95" s="1127">
        <f t="shared" si="9"/>
        <v>474</v>
      </c>
    </row>
    <row r="96" spans="1:38">
      <c r="A96" s="1120">
        <v>193</v>
      </c>
      <c r="B96" s="184" t="s">
        <v>753</v>
      </c>
      <c r="C96" s="1127">
        <v>1002</v>
      </c>
      <c r="D96" s="1127">
        <v>16</v>
      </c>
      <c r="E96" s="1127">
        <v>106</v>
      </c>
      <c r="F96" s="1127">
        <v>98</v>
      </c>
      <c r="G96" s="1127">
        <v>83</v>
      </c>
      <c r="H96" s="1127">
        <v>60</v>
      </c>
      <c r="I96" s="1127">
        <v>47</v>
      </c>
      <c r="J96" s="1127">
        <v>118</v>
      </c>
      <c r="K96" s="1127">
        <v>91</v>
      </c>
      <c r="L96" s="1127">
        <v>90</v>
      </c>
      <c r="M96" s="1127">
        <v>77</v>
      </c>
      <c r="N96" s="1127">
        <v>64</v>
      </c>
      <c r="O96" s="1127">
        <v>56</v>
      </c>
      <c r="P96" s="1127">
        <v>24</v>
      </c>
      <c r="Q96" s="1127">
        <v>30</v>
      </c>
      <c r="R96" s="1127">
        <v>14</v>
      </c>
      <c r="S96" s="1127">
        <v>6</v>
      </c>
      <c r="T96" s="1127">
        <v>9</v>
      </c>
      <c r="U96" s="1127">
        <v>5</v>
      </c>
      <c r="V96" s="1127">
        <v>5</v>
      </c>
      <c r="W96" s="1127">
        <v>3</v>
      </c>
      <c r="X96" s="1127"/>
      <c r="Y96" s="1127">
        <v>122</v>
      </c>
      <c r="Z96" s="1127">
        <v>181</v>
      </c>
      <c r="AA96" s="1127">
        <v>107</v>
      </c>
      <c r="AB96" s="1127">
        <v>118</v>
      </c>
      <c r="AC96" s="1127">
        <v>181</v>
      </c>
      <c r="AD96" s="1127">
        <v>141</v>
      </c>
      <c r="AE96" s="1127">
        <v>80</v>
      </c>
      <c r="AF96" s="1127">
        <v>44</v>
      </c>
      <c r="AG96" s="1127">
        <v>15</v>
      </c>
      <c r="AH96" s="1127">
        <v>10</v>
      </c>
      <c r="AI96" s="1127">
        <v>3</v>
      </c>
      <c r="AJ96" s="1127"/>
      <c r="AK96" s="1127">
        <f t="shared" si="8"/>
        <v>410</v>
      </c>
      <c r="AL96" s="1127">
        <f t="shared" si="9"/>
        <v>592</v>
      </c>
    </row>
    <row r="97" spans="1:38">
      <c r="A97" s="1120">
        <v>195</v>
      </c>
      <c r="B97" s="184" t="s">
        <v>754</v>
      </c>
      <c r="C97" s="1127">
        <v>471</v>
      </c>
      <c r="D97" s="1127">
        <v>10</v>
      </c>
      <c r="E97" s="1127">
        <v>44</v>
      </c>
      <c r="F97" s="1127">
        <v>36</v>
      </c>
      <c r="G97" s="1127">
        <v>29</v>
      </c>
      <c r="H97" s="1127">
        <v>22</v>
      </c>
      <c r="I97" s="1127">
        <v>32</v>
      </c>
      <c r="J97" s="1127">
        <v>54</v>
      </c>
      <c r="K97" s="1127">
        <v>61</v>
      </c>
      <c r="L97" s="1127">
        <v>47</v>
      </c>
      <c r="M97" s="1127">
        <v>36</v>
      </c>
      <c r="N97" s="1127">
        <v>25</v>
      </c>
      <c r="O97" s="1127">
        <v>16</v>
      </c>
      <c r="P97" s="1127">
        <v>14</v>
      </c>
      <c r="Q97" s="1127">
        <v>12</v>
      </c>
      <c r="R97" s="1127">
        <v>9</v>
      </c>
      <c r="S97" s="1127">
        <v>3</v>
      </c>
      <c r="T97" s="1127">
        <v>4</v>
      </c>
      <c r="U97" s="1127">
        <v>11</v>
      </c>
      <c r="V97" s="1127">
        <v>5</v>
      </c>
      <c r="W97" s="1127">
        <v>1</v>
      </c>
      <c r="X97" s="1127"/>
      <c r="Y97" s="1127">
        <v>54</v>
      </c>
      <c r="Z97" s="1127">
        <v>65</v>
      </c>
      <c r="AA97" s="1127">
        <v>54</v>
      </c>
      <c r="AB97" s="1127">
        <v>54</v>
      </c>
      <c r="AC97" s="1127">
        <v>108</v>
      </c>
      <c r="AD97" s="1127">
        <v>61</v>
      </c>
      <c r="AE97" s="1127">
        <v>30</v>
      </c>
      <c r="AF97" s="1127">
        <v>21</v>
      </c>
      <c r="AG97" s="1127">
        <v>7</v>
      </c>
      <c r="AH97" s="1127">
        <v>16</v>
      </c>
      <c r="AI97" s="1127">
        <v>1</v>
      </c>
      <c r="AJ97" s="1127"/>
      <c r="AK97" s="1127">
        <f t="shared" si="8"/>
        <v>173</v>
      </c>
      <c r="AL97" s="1127">
        <f t="shared" si="9"/>
        <v>298</v>
      </c>
    </row>
    <row r="98" spans="1:38">
      <c r="A98" s="1120">
        <v>197</v>
      </c>
      <c r="B98" s="184" t="s">
        <v>755</v>
      </c>
      <c r="C98" s="1127">
        <v>280</v>
      </c>
      <c r="D98" s="1127">
        <v>5</v>
      </c>
      <c r="E98" s="1127">
        <v>29</v>
      </c>
      <c r="F98" s="1127">
        <v>34</v>
      </c>
      <c r="G98" s="1127">
        <v>23</v>
      </c>
      <c r="H98" s="1127">
        <v>13</v>
      </c>
      <c r="I98" s="1127">
        <v>7</v>
      </c>
      <c r="J98" s="1127">
        <v>25</v>
      </c>
      <c r="K98" s="1127">
        <v>17</v>
      </c>
      <c r="L98" s="1127">
        <v>24</v>
      </c>
      <c r="M98" s="1127">
        <v>21</v>
      </c>
      <c r="N98" s="1127">
        <v>23</v>
      </c>
      <c r="O98" s="1127">
        <v>20</v>
      </c>
      <c r="P98" s="1127">
        <v>6</v>
      </c>
      <c r="Q98" s="1127">
        <v>9</v>
      </c>
      <c r="R98" s="1127">
        <v>13</v>
      </c>
      <c r="S98" s="1127">
        <v>4</v>
      </c>
      <c r="T98" s="1127">
        <v>0</v>
      </c>
      <c r="U98" s="1127">
        <v>2</v>
      </c>
      <c r="V98" s="1127">
        <v>2</v>
      </c>
      <c r="W98" s="1127">
        <v>3</v>
      </c>
      <c r="X98" s="1127"/>
      <c r="Y98" s="1127">
        <v>34</v>
      </c>
      <c r="Z98" s="1127">
        <v>57</v>
      </c>
      <c r="AA98" s="1127">
        <v>20</v>
      </c>
      <c r="AB98" s="1127">
        <v>25</v>
      </c>
      <c r="AC98" s="1127">
        <v>41</v>
      </c>
      <c r="AD98" s="1127">
        <v>44</v>
      </c>
      <c r="AE98" s="1127">
        <v>26</v>
      </c>
      <c r="AF98" s="1127">
        <v>22</v>
      </c>
      <c r="AG98" s="1127">
        <v>4</v>
      </c>
      <c r="AH98" s="1127">
        <v>4</v>
      </c>
      <c r="AI98" s="1127">
        <v>3</v>
      </c>
      <c r="AJ98" s="1127"/>
      <c r="AK98" s="1127">
        <f t="shared" si="8"/>
        <v>111</v>
      </c>
      <c r="AL98" s="1127">
        <f t="shared" si="9"/>
        <v>169</v>
      </c>
    </row>
    <row r="99" spans="1:38">
      <c r="A99" s="1120">
        <v>199</v>
      </c>
      <c r="B99" s="184" t="s">
        <v>1118</v>
      </c>
      <c r="C99" s="1127">
        <v>3113</v>
      </c>
      <c r="D99" s="1127">
        <v>58</v>
      </c>
      <c r="E99" s="1127">
        <v>302</v>
      </c>
      <c r="F99" s="1127">
        <v>390</v>
      </c>
      <c r="G99" s="1127">
        <v>325</v>
      </c>
      <c r="H99" s="1127">
        <v>200</v>
      </c>
      <c r="I99" s="1127">
        <v>93</v>
      </c>
      <c r="J99" s="1127">
        <v>226</v>
      </c>
      <c r="K99" s="1127">
        <v>254</v>
      </c>
      <c r="L99" s="1127">
        <v>253</v>
      </c>
      <c r="M99" s="1127">
        <v>200</v>
      </c>
      <c r="N99" s="1127">
        <v>234</v>
      </c>
      <c r="O99" s="1127">
        <v>182</v>
      </c>
      <c r="P99" s="1127">
        <v>164</v>
      </c>
      <c r="Q99" s="1127">
        <v>94</v>
      </c>
      <c r="R99" s="1127">
        <v>49</v>
      </c>
      <c r="S99" s="1127">
        <v>34</v>
      </c>
      <c r="T99" s="1127">
        <v>28</v>
      </c>
      <c r="U99" s="1127">
        <v>13</v>
      </c>
      <c r="V99" s="1127">
        <v>9</v>
      </c>
      <c r="W99" s="1127">
        <v>5</v>
      </c>
      <c r="X99" s="1127"/>
      <c r="Y99" s="1127">
        <v>360</v>
      </c>
      <c r="Z99" s="1127">
        <v>715</v>
      </c>
      <c r="AA99" s="1127">
        <v>293</v>
      </c>
      <c r="AB99" s="1127">
        <v>226</v>
      </c>
      <c r="AC99" s="1127">
        <v>507</v>
      </c>
      <c r="AD99" s="1127">
        <v>434</v>
      </c>
      <c r="AE99" s="1127">
        <v>346</v>
      </c>
      <c r="AF99" s="1127">
        <v>143</v>
      </c>
      <c r="AG99" s="1127">
        <v>62</v>
      </c>
      <c r="AH99" s="1127">
        <v>22</v>
      </c>
      <c r="AI99" s="1127">
        <v>5</v>
      </c>
      <c r="AJ99" s="1127"/>
      <c r="AK99" s="1127">
        <v>1368</v>
      </c>
      <c r="AL99" s="1127">
        <v>1745</v>
      </c>
    </row>
    <row r="100" spans="1:38">
      <c r="A100" s="1120">
        <v>510</v>
      </c>
      <c r="B100" s="184" t="s">
        <v>1081</v>
      </c>
      <c r="C100" s="1127">
        <v>22524</v>
      </c>
      <c r="D100" s="1127">
        <v>491</v>
      </c>
      <c r="E100" s="1127">
        <v>1811</v>
      </c>
      <c r="F100" s="1127">
        <v>1521</v>
      </c>
      <c r="G100" s="1127">
        <v>1142</v>
      </c>
      <c r="H100" s="1127">
        <v>692</v>
      </c>
      <c r="I100" s="1127">
        <v>564</v>
      </c>
      <c r="J100" s="1127">
        <v>1976</v>
      </c>
      <c r="K100" s="1127">
        <v>3085</v>
      </c>
      <c r="L100" s="1127">
        <v>2852</v>
      </c>
      <c r="M100" s="1127">
        <v>2275</v>
      </c>
      <c r="N100" s="1127">
        <v>1752</v>
      </c>
      <c r="O100" s="1127">
        <v>1328</v>
      </c>
      <c r="P100" s="1127">
        <v>1055</v>
      </c>
      <c r="Q100" s="1127">
        <v>761</v>
      </c>
      <c r="R100" s="1127">
        <v>487</v>
      </c>
      <c r="S100" s="1127">
        <v>284</v>
      </c>
      <c r="T100" s="1127">
        <v>184</v>
      </c>
      <c r="U100" s="1127">
        <v>114</v>
      </c>
      <c r="V100" s="1127">
        <v>82</v>
      </c>
      <c r="W100" s="1127">
        <v>68</v>
      </c>
      <c r="X100" s="1127"/>
      <c r="Y100" s="1127">
        <v>2302</v>
      </c>
      <c r="Z100" s="1127">
        <v>2663</v>
      </c>
      <c r="AA100" s="1127">
        <v>1256</v>
      </c>
      <c r="AB100" s="1127">
        <v>1976</v>
      </c>
      <c r="AC100" s="1127">
        <v>5937</v>
      </c>
      <c r="AD100" s="1127">
        <v>4027</v>
      </c>
      <c r="AE100" s="1127">
        <v>2383</v>
      </c>
      <c r="AF100" s="1127">
        <v>1248</v>
      </c>
      <c r="AG100" s="1127">
        <v>468</v>
      </c>
      <c r="AH100" s="1127">
        <v>196</v>
      </c>
      <c r="AI100" s="1127">
        <v>68</v>
      </c>
      <c r="AJ100" s="1127"/>
      <c r="AK100" s="1127">
        <f t="shared" ref="AK100:AK124" si="10">SUM(D100:I100)</f>
        <v>6221</v>
      </c>
      <c r="AL100" s="1127">
        <f t="shared" ref="AL100:AL124" si="11">SUM(J100:W100)</f>
        <v>16303</v>
      </c>
    </row>
    <row r="101" spans="1:38">
      <c r="A101" s="1120">
        <v>520</v>
      </c>
      <c r="B101" s="184" t="s">
        <v>1077</v>
      </c>
      <c r="C101" s="1127">
        <v>221</v>
      </c>
      <c r="D101" s="1127">
        <v>6</v>
      </c>
      <c r="E101" s="1127">
        <v>20</v>
      </c>
      <c r="F101" s="1127">
        <v>19</v>
      </c>
      <c r="G101" s="1127">
        <v>26</v>
      </c>
      <c r="H101" s="1127">
        <v>7</v>
      </c>
      <c r="I101" s="1127">
        <v>12</v>
      </c>
      <c r="J101" s="1127">
        <v>27</v>
      </c>
      <c r="K101" s="1127">
        <v>19</v>
      </c>
      <c r="L101" s="1127">
        <v>12</v>
      </c>
      <c r="M101" s="1127">
        <v>11</v>
      </c>
      <c r="N101" s="1127">
        <v>16</v>
      </c>
      <c r="O101" s="1127">
        <v>18</v>
      </c>
      <c r="P101" s="1127">
        <v>7</v>
      </c>
      <c r="Q101" s="1127">
        <v>6</v>
      </c>
      <c r="R101" s="1127">
        <v>5</v>
      </c>
      <c r="S101" s="1127">
        <v>1</v>
      </c>
      <c r="T101" s="1127">
        <v>5</v>
      </c>
      <c r="U101" s="1127">
        <v>3</v>
      </c>
      <c r="V101" s="1127">
        <v>0</v>
      </c>
      <c r="W101" s="1127">
        <v>1</v>
      </c>
      <c r="X101" s="1127"/>
      <c r="Y101" s="1127">
        <v>26</v>
      </c>
      <c r="Z101" s="1127">
        <v>45</v>
      </c>
      <c r="AA101" s="1127">
        <v>19</v>
      </c>
      <c r="AB101" s="1127">
        <v>27</v>
      </c>
      <c r="AC101" s="1127">
        <v>31</v>
      </c>
      <c r="AD101" s="1127">
        <v>27</v>
      </c>
      <c r="AE101" s="1127">
        <v>25</v>
      </c>
      <c r="AF101" s="1127">
        <v>11</v>
      </c>
      <c r="AG101" s="1127">
        <v>6</v>
      </c>
      <c r="AH101" s="1127">
        <v>3</v>
      </c>
      <c r="AI101" s="1127">
        <v>1</v>
      </c>
      <c r="AJ101" s="1127"/>
      <c r="AK101" s="1127">
        <f t="shared" si="10"/>
        <v>90</v>
      </c>
      <c r="AL101" s="1127">
        <f t="shared" si="11"/>
        <v>131</v>
      </c>
    </row>
    <row r="102" spans="1:38">
      <c r="A102" s="1120">
        <v>540</v>
      </c>
      <c r="B102" s="184" t="s">
        <v>1083</v>
      </c>
      <c r="C102" s="1127">
        <v>2223</v>
      </c>
      <c r="D102" s="1127">
        <v>48</v>
      </c>
      <c r="E102" s="1127">
        <v>185</v>
      </c>
      <c r="F102" s="1127">
        <v>137</v>
      </c>
      <c r="G102" s="1127">
        <v>87</v>
      </c>
      <c r="H102" s="1127">
        <v>54</v>
      </c>
      <c r="I102" s="1127">
        <v>106</v>
      </c>
      <c r="J102" s="1127">
        <v>589</v>
      </c>
      <c r="K102" s="1127">
        <v>326</v>
      </c>
      <c r="L102" s="1127">
        <v>229</v>
      </c>
      <c r="M102" s="1127">
        <v>151</v>
      </c>
      <c r="N102" s="1127">
        <v>107</v>
      </c>
      <c r="O102" s="1127">
        <v>65</v>
      </c>
      <c r="P102" s="1127">
        <v>34</v>
      </c>
      <c r="Q102" s="1127">
        <v>27</v>
      </c>
      <c r="R102" s="1127">
        <v>26</v>
      </c>
      <c r="S102" s="1127">
        <v>21</v>
      </c>
      <c r="T102" s="1127">
        <v>16</v>
      </c>
      <c r="U102" s="1127">
        <v>8</v>
      </c>
      <c r="V102" s="1127">
        <v>7</v>
      </c>
      <c r="W102" s="1127">
        <v>0</v>
      </c>
      <c r="X102" s="1127"/>
      <c r="Y102" s="1127">
        <v>233</v>
      </c>
      <c r="Z102" s="1127">
        <v>224</v>
      </c>
      <c r="AA102" s="1127">
        <v>160</v>
      </c>
      <c r="AB102" s="1127">
        <v>589</v>
      </c>
      <c r="AC102" s="1127">
        <v>555</v>
      </c>
      <c r="AD102" s="1127">
        <v>258</v>
      </c>
      <c r="AE102" s="1127">
        <v>99</v>
      </c>
      <c r="AF102" s="1127">
        <v>53</v>
      </c>
      <c r="AG102" s="1127">
        <v>37</v>
      </c>
      <c r="AH102" s="1127">
        <v>15</v>
      </c>
      <c r="AI102" s="1127">
        <v>0</v>
      </c>
      <c r="AJ102" s="1127"/>
      <c r="AK102" s="1127">
        <f t="shared" si="10"/>
        <v>617</v>
      </c>
      <c r="AL102" s="1127">
        <f t="shared" si="11"/>
        <v>1606</v>
      </c>
    </row>
    <row r="103" spans="1:38">
      <c r="A103" s="1120">
        <v>550</v>
      </c>
      <c r="B103" s="184" t="s">
        <v>1089</v>
      </c>
      <c r="C103" s="1127">
        <v>9706</v>
      </c>
      <c r="D103" s="1127">
        <v>251</v>
      </c>
      <c r="E103" s="1127">
        <v>942</v>
      </c>
      <c r="F103" s="1127">
        <v>979</v>
      </c>
      <c r="G103" s="1127">
        <v>929</v>
      </c>
      <c r="H103" s="1127">
        <v>528</v>
      </c>
      <c r="I103" s="1127">
        <v>342</v>
      </c>
      <c r="J103" s="1127">
        <v>905</v>
      </c>
      <c r="K103" s="1127">
        <v>927</v>
      </c>
      <c r="L103" s="1127">
        <v>794</v>
      </c>
      <c r="M103" s="1127">
        <v>752</v>
      </c>
      <c r="N103" s="1127">
        <v>627</v>
      </c>
      <c r="O103" s="1127">
        <v>574</v>
      </c>
      <c r="P103" s="1127">
        <v>446</v>
      </c>
      <c r="Q103" s="1127">
        <v>216</v>
      </c>
      <c r="R103" s="1127">
        <v>165</v>
      </c>
      <c r="S103" s="1127">
        <v>105</v>
      </c>
      <c r="T103" s="1127">
        <v>95</v>
      </c>
      <c r="U103" s="1127">
        <v>58</v>
      </c>
      <c r="V103" s="1127">
        <v>40</v>
      </c>
      <c r="W103" s="1127">
        <v>31</v>
      </c>
      <c r="X103" s="1127"/>
      <c r="Y103" s="1127">
        <v>1193</v>
      </c>
      <c r="Z103" s="1127">
        <v>1908</v>
      </c>
      <c r="AA103" s="1127">
        <v>870</v>
      </c>
      <c r="AB103" s="1127">
        <v>905</v>
      </c>
      <c r="AC103" s="1127">
        <v>1721</v>
      </c>
      <c r="AD103" s="1127">
        <v>1379</v>
      </c>
      <c r="AE103" s="1127">
        <v>1020</v>
      </c>
      <c r="AF103" s="1127">
        <v>381</v>
      </c>
      <c r="AG103" s="1127">
        <v>200</v>
      </c>
      <c r="AH103" s="1127">
        <v>98</v>
      </c>
      <c r="AI103" s="1127">
        <v>31</v>
      </c>
      <c r="AJ103" s="1127"/>
      <c r="AK103" s="1127">
        <f t="shared" si="10"/>
        <v>3971</v>
      </c>
      <c r="AL103" s="1127">
        <f t="shared" si="11"/>
        <v>5735</v>
      </c>
    </row>
    <row r="104" spans="1:38">
      <c r="A104" s="1120">
        <v>590</v>
      </c>
      <c r="B104" s="184" t="s">
        <v>1085</v>
      </c>
      <c r="C104" s="1127">
        <v>1245</v>
      </c>
      <c r="D104" s="1127">
        <v>35</v>
      </c>
      <c r="E104" s="1127">
        <v>126</v>
      </c>
      <c r="F104" s="1127">
        <v>157</v>
      </c>
      <c r="G104" s="1127">
        <v>110</v>
      </c>
      <c r="H104" s="1127">
        <v>49</v>
      </c>
      <c r="I104" s="1127">
        <v>33</v>
      </c>
      <c r="J104" s="1127">
        <v>118</v>
      </c>
      <c r="K104" s="1127">
        <v>142</v>
      </c>
      <c r="L104" s="1127">
        <v>111</v>
      </c>
      <c r="M104" s="1127">
        <v>115</v>
      </c>
      <c r="N104" s="1127">
        <v>82</v>
      </c>
      <c r="O104" s="1127">
        <v>36</v>
      </c>
      <c r="P104" s="1127">
        <v>50</v>
      </c>
      <c r="Q104" s="1127">
        <v>28</v>
      </c>
      <c r="R104" s="1127">
        <v>15</v>
      </c>
      <c r="S104" s="1127">
        <v>13</v>
      </c>
      <c r="T104" s="1127">
        <v>11</v>
      </c>
      <c r="U104" s="1127">
        <v>4</v>
      </c>
      <c r="V104" s="1127">
        <v>5</v>
      </c>
      <c r="W104" s="1127">
        <v>5</v>
      </c>
      <c r="X104" s="1127"/>
      <c r="Y104" s="1127">
        <v>161</v>
      </c>
      <c r="Z104" s="1127">
        <v>267</v>
      </c>
      <c r="AA104" s="1127">
        <v>82</v>
      </c>
      <c r="AB104" s="1127">
        <v>118</v>
      </c>
      <c r="AC104" s="1127">
        <v>253</v>
      </c>
      <c r="AD104" s="1127">
        <v>197</v>
      </c>
      <c r="AE104" s="1127">
        <v>86</v>
      </c>
      <c r="AF104" s="1127">
        <v>43</v>
      </c>
      <c r="AG104" s="1127">
        <v>24</v>
      </c>
      <c r="AH104" s="1127">
        <v>9</v>
      </c>
      <c r="AI104" s="1127">
        <v>5</v>
      </c>
      <c r="AJ104" s="1127"/>
      <c r="AK104" s="1127">
        <f t="shared" si="10"/>
        <v>510</v>
      </c>
      <c r="AL104" s="1127">
        <f t="shared" si="11"/>
        <v>735</v>
      </c>
    </row>
    <row r="105" spans="1:38">
      <c r="A105" s="1120">
        <v>620</v>
      </c>
      <c r="B105" s="184" t="s">
        <v>84</v>
      </c>
      <c r="C105" s="1127">
        <v>141</v>
      </c>
      <c r="D105" s="1127">
        <v>5</v>
      </c>
      <c r="E105" s="1127">
        <v>9</v>
      </c>
      <c r="F105" s="1127">
        <v>15</v>
      </c>
      <c r="G105" s="1127">
        <v>22</v>
      </c>
      <c r="H105" s="1127">
        <v>10</v>
      </c>
      <c r="I105" s="1127">
        <v>5</v>
      </c>
      <c r="J105" s="1127">
        <v>8</v>
      </c>
      <c r="K105" s="1127">
        <v>10</v>
      </c>
      <c r="L105" s="1127">
        <v>11</v>
      </c>
      <c r="M105" s="1127">
        <v>11</v>
      </c>
      <c r="N105" s="1127">
        <v>12</v>
      </c>
      <c r="O105" s="1127">
        <v>4</v>
      </c>
      <c r="P105" s="1127">
        <v>6</v>
      </c>
      <c r="Q105" s="1127">
        <v>4</v>
      </c>
      <c r="R105" s="1127">
        <v>1</v>
      </c>
      <c r="S105" s="1127">
        <v>5</v>
      </c>
      <c r="T105" s="1127">
        <v>1</v>
      </c>
      <c r="U105" s="1127">
        <v>1</v>
      </c>
      <c r="V105" s="1127">
        <v>0</v>
      </c>
      <c r="W105" s="1127">
        <v>1</v>
      </c>
      <c r="X105" s="1127"/>
      <c r="Y105" s="1127">
        <v>14</v>
      </c>
      <c r="Z105" s="1127">
        <v>37</v>
      </c>
      <c r="AA105" s="1127">
        <v>15</v>
      </c>
      <c r="AB105" s="1127">
        <v>8</v>
      </c>
      <c r="AC105" s="1127">
        <v>21</v>
      </c>
      <c r="AD105" s="1127">
        <v>23</v>
      </c>
      <c r="AE105" s="1127">
        <v>10</v>
      </c>
      <c r="AF105" s="1127">
        <v>5</v>
      </c>
      <c r="AG105" s="1127">
        <v>6</v>
      </c>
      <c r="AH105" s="1127">
        <v>1</v>
      </c>
      <c r="AI105" s="1127">
        <v>1</v>
      </c>
      <c r="AJ105" s="1127"/>
      <c r="AK105" s="1127">
        <f t="shared" si="10"/>
        <v>66</v>
      </c>
      <c r="AL105" s="1127">
        <f t="shared" si="11"/>
        <v>75</v>
      </c>
    </row>
    <row r="106" spans="1:38">
      <c r="A106" s="1120">
        <v>630</v>
      </c>
      <c r="B106" s="184" t="s">
        <v>1086</v>
      </c>
      <c r="C106" s="1127">
        <v>2607</v>
      </c>
      <c r="D106" s="1127">
        <v>65</v>
      </c>
      <c r="E106" s="1127">
        <v>287</v>
      </c>
      <c r="F106" s="1127">
        <v>242</v>
      </c>
      <c r="G106" s="1127">
        <v>153</v>
      </c>
      <c r="H106" s="1127">
        <v>97</v>
      </c>
      <c r="I106" s="1127">
        <v>112</v>
      </c>
      <c r="J106" s="1127">
        <v>355</v>
      </c>
      <c r="K106" s="1127">
        <v>354</v>
      </c>
      <c r="L106" s="1127">
        <v>291</v>
      </c>
      <c r="M106" s="1127">
        <v>202</v>
      </c>
      <c r="N106" s="1127">
        <v>153</v>
      </c>
      <c r="O106" s="1127">
        <v>99</v>
      </c>
      <c r="P106" s="1127">
        <v>71</v>
      </c>
      <c r="Q106" s="1127">
        <v>51</v>
      </c>
      <c r="R106" s="1127">
        <v>26</v>
      </c>
      <c r="S106" s="1127">
        <v>14</v>
      </c>
      <c r="T106" s="1127">
        <v>15</v>
      </c>
      <c r="U106" s="1127">
        <v>10</v>
      </c>
      <c r="V106" s="1127">
        <v>6</v>
      </c>
      <c r="W106" s="1127">
        <v>4</v>
      </c>
      <c r="X106" s="1127"/>
      <c r="Y106" s="1127">
        <v>352</v>
      </c>
      <c r="Z106" s="1127">
        <v>395</v>
      </c>
      <c r="AA106" s="1127">
        <v>209</v>
      </c>
      <c r="AB106" s="1127">
        <v>355</v>
      </c>
      <c r="AC106" s="1127">
        <v>645</v>
      </c>
      <c r="AD106" s="1127">
        <v>355</v>
      </c>
      <c r="AE106" s="1127">
        <v>170</v>
      </c>
      <c r="AF106" s="1127">
        <v>77</v>
      </c>
      <c r="AG106" s="1127">
        <v>29</v>
      </c>
      <c r="AH106" s="1127">
        <v>16</v>
      </c>
      <c r="AI106" s="1127">
        <v>4</v>
      </c>
      <c r="AJ106" s="1127"/>
      <c r="AK106" s="1127">
        <f t="shared" si="10"/>
        <v>956</v>
      </c>
      <c r="AL106" s="1127">
        <f t="shared" si="11"/>
        <v>1651</v>
      </c>
    </row>
    <row r="107" spans="1:38">
      <c r="A107" s="1120">
        <v>640</v>
      </c>
      <c r="B107" s="184" t="s">
        <v>1078</v>
      </c>
      <c r="C107" s="1127">
        <v>989</v>
      </c>
      <c r="D107" s="1127">
        <v>41</v>
      </c>
      <c r="E107" s="1127">
        <v>110</v>
      </c>
      <c r="F107" s="1127">
        <v>121</v>
      </c>
      <c r="G107" s="1127">
        <v>111</v>
      </c>
      <c r="H107" s="1127">
        <v>53</v>
      </c>
      <c r="I107" s="1127">
        <v>38</v>
      </c>
      <c r="J107" s="1127">
        <v>83</v>
      </c>
      <c r="K107" s="1127">
        <v>96</v>
      </c>
      <c r="L107" s="1127">
        <v>96</v>
      </c>
      <c r="M107" s="1127">
        <v>89</v>
      </c>
      <c r="N107" s="1127">
        <v>49</v>
      </c>
      <c r="O107" s="1127">
        <v>39</v>
      </c>
      <c r="P107" s="1127">
        <v>29</v>
      </c>
      <c r="Q107" s="1127">
        <v>11</v>
      </c>
      <c r="R107" s="1127">
        <v>9</v>
      </c>
      <c r="S107" s="1127">
        <v>5</v>
      </c>
      <c r="T107" s="1127">
        <v>5</v>
      </c>
      <c r="U107" s="1127">
        <v>2</v>
      </c>
      <c r="V107" s="1127">
        <v>1</v>
      </c>
      <c r="W107" s="1127">
        <v>1</v>
      </c>
      <c r="X107" s="1127"/>
      <c r="Y107" s="1127">
        <v>151</v>
      </c>
      <c r="Z107" s="1127">
        <v>232</v>
      </c>
      <c r="AA107" s="1127">
        <v>91</v>
      </c>
      <c r="AB107" s="1127">
        <v>83</v>
      </c>
      <c r="AC107" s="1127">
        <v>192</v>
      </c>
      <c r="AD107" s="1127">
        <v>138</v>
      </c>
      <c r="AE107" s="1127">
        <v>68</v>
      </c>
      <c r="AF107" s="1127">
        <v>20</v>
      </c>
      <c r="AG107" s="1127">
        <v>10</v>
      </c>
      <c r="AH107" s="1127">
        <v>3</v>
      </c>
      <c r="AI107" s="1127">
        <v>1</v>
      </c>
      <c r="AJ107" s="1127"/>
      <c r="AK107" s="1127">
        <f t="shared" si="10"/>
        <v>474</v>
      </c>
      <c r="AL107" s="1127">
        <f t="shared" si="11"/>
        <v>515</v>
      </c>
    </row>
    <row r="108" spans="1:38">
      <c r="A108" s="1120">
        <v>650</v>
      </c>
      <c r="B108" s="184" t="s">
        <v>1094</v>
      </c>
      <c r="C108" s="1127">
        <v>6241</v>
      </c>
      <c r="D108" s="1127">
        <v>152</v>
      </c>
      <c r="E108" s="1127">
        <v>590</v>
      </c>
      <c r="F108" s="1127">
        <v>602</v>
      </c>
      <c r="G108" s="1127">
        <v>494</v>
      </c>
      <c r="H108" s="1127">
        <v>276</v>
      </c>
      <c r="I108" s="1127">
        <v>258</v>
      </c>
      <c r="J108" s="1127">
        <v>765</v>
      </c>
      <c r="K108" s="1127">
        <v>697</v>
      </c>
      <c r="L108" s="1127">
        <v>509</v>
      </c>
      <c r="M108" s="1127">
        <v>417</v>
      </c>
      <c r="N108" s="1127">
        <v>324</v>
      </c>
      <c r="O108" s="1127">
        <v>333</v>
      </c>
      <c r="P108" s="1127">
        <v>302</v>
      </c>
      <c r="Q108" s="1127">
        <v>157</v>
      </c>
      <c r="R108" s="1127">
        <v>118</v>
      </c>
      <c r="S108" s="1127">
        <v>74</v>
      </c>
      <c r="T108" s="1127">
        <v>71</v>
      </c>
      <c r="U108" s="1127">
        <v>53</v>
      </c>
      <c r="V108" s="1127">
        <v>26</v>
      </c>
      <c r="W108" s="1127">
        <v>23</v>
      </c>
      <c r="X108" s="1127"/>
      <c r="Y108" s="1127">
        <v>742</v>
      </c>
      <c r="Z108" s="1127">
        <v>1096</v>
      </c>
      <c r="AA108" s="1127">
        <v>534</v>
      </c>
      <c r="AB108" s="1127">
        <v>765</v>
      </c>
      <c r="AC108" s="1127">
        <v>1206</v>
      </c>
      <c r="AD108" s="1127">
        <v>741</v>
      </c>
      <c r="AE108" s="1127">
        <v>635</v>
      </c>
      <c r="AF108" s="1127">
        <v>275</v>
      </c>
      <c r="AG108" s="1127">
        <v>145</v>
      </c>
      <c r="AH108" s="1127">
        <v>79</v>
      </c>
      <c r="AI108" s="1127">
        <v>23</v>
      </c>
      <c r="AJ108" s="1127"/>
      <c r="AK108" s="1127">
        <f t="shared" si="10"/>
        <v>2372</v>
      </c>
      <c r="AL108" s="1127">
        <f t="shared" si="11"/>
        <v>3869</v>
      </c>
    </row>
    <row r="109" spans="1:38">
      <c r="A109" s="1120">
        <v>670</v>
      </c>
      <c r="B109" s="184" t="s">
        <v>1087</v>
      </c>
      <c r="C109" s="1127">
        <v>1480</v>
      </c>
      <c r="D109" s="1127">
        <v>45</v>
      </c>
      <c r="E109" s="1127">
        <v>148</v>
      </c>
      <c r="F109" s="1127">
        <v>143</v>
      </c>
      <c r="G109" s="1127">
        <v>110</v>
      </c>
      <c r="H109" s="1127">
        <v>62</v>
      </c>
      <c r="I109" s="1127">
        <v>47</v>
      </c>
      <c r="J109" s="1127">
        <v>147</v>
      </c>
      <c r="K109" s="1127">
        <v>180</v>
      </c>
      <c r="L109" s="1127">
        <v>143</v>
      </c>
      <c r="M109" s="1127">
        <v>111</v>
      </c>
      <c r="N109" s="1127">
        <v>75</v>
      </c>
      <c r="O109" s="1127">
        <v>92</v>
      </c>
      <c r="P109" s="1127">
        <v>60</v>
      </c>
      <c r="Q109" s="1127">
        <v>43</v>
      </c>
      <c r="R109" s="1127">
        <v>33</v>
      </c>
      <c r="S109" s="1127">
        <v>13</v>
      </c>
      <c r="T109" s="1127">
        <v>14</v>
      </c>
      <c r="U109" s="1127">
        <v>5</v>
      </c>
      <c r="V109" s="1127">
        <v>6</v>
      </c>
      <c r="W109" s="1127">
        <v>3</v>
      </c>
      <c r="X109" s="1127"/>
      <c r="Y109" s="1127">
        <v>193</v>
      </c>
      <c r="Z109" s="1127">
        <v>253</v>
      </c>
      <c r="AA109" s="1127">
        <v>109</v>
      </c>
      <c r="AB109" s="1127">
        <v>147</v>
      </c>
      <c r="AC109" s="1127">
        <v>323</v>
      </c>
      <c r="AD109" s="1127">
        <v>186</v>
      </c>
      <c r="AE109" s="1127">
        <v>152</v>
      </c>
      <c r="AF109" s="1127">
        <v>76</v>
      </c>
      <c r="AG109" s="1127">
        <v>27</v>
      </c>
      <c r="AH109" s="1127">
        <v>11</v>
      </c>
      <c r="AI109" s="1127">
        <v>3</v>
      </c>
      <c r="AJ109" s="1127"/>
      <c r="AK109" s="1127">
        <f t="shared" si="10"/>
        <v>555</v>
      </c>
      <c r="AL109" s="1127">
        <f t="shared" si="11"/>
        <v>925</v>
      </c>
    </row>
    <row r="110" spans="1:38">
      <c r="A110" s="1120">
        <v>680</v>
      </c>
      <c r="B110" s="184" t="s">
        <v>1084</v>
      </c>
      <c r="C110" s="1127">
        <v>2300</v>
      </c>
      <c r="D110" s="1127">
        <v>58</v>
      </c>
      <c r="E110" s="1127">
        <v>189</v>
      </c>
      <c r="F110" s="1127">
        <v>142</v>
      </c>
      <c r="G110" s="1127">
        <v>117</v>
      </c>
      <c r="H110" s="1127">
        <v>91</v>
      </c>
      <c r="I110" s="1127">
        <v>232</v>
      </c>
      <c r="J110" s="1127">
        <v>479</v>
      </c>
      <c r="K110" s="1127">
        <v>259</v>
      </c>
      <c r="L110" s="1127">
        <v>200</v>
      </c>
      <c r="M110" s="1127">
        <v>124</v>
      </c>
      <c r="N110" s="1127">
        <v>115</v>
      </c>
      <c r="O110" s="1127">
        <v>82</v>
      </c>
      <c r="P110" s="1127">
        <v>69</v>
      </c>
      <c r="Q110" s="1127">
        <v>51</v>
      </c>
      <c r="R110" s="1127">
        <v>24</v>
      </c>
      <c r="S110" s="1127">
        <v>22</v>
      </c>
      <c r="T110" s="1127">
        <v>20</v>
      </c>
      <c r="U110" s="1127">
        <v>9</v>
      </c>
      <c r="V110" s="1127">
        <v>8</v>
      </c>
      <c r="W110" s="1127">
        <v>9</v>
      </c>
      <c r="X110" s="1127"/>
      <c r="Y110" s="1127">
        <v>247</v>
      </c>
      <c r="Z110" s="1127">
        <v>259</v>
      </c>
      <c r="AA110" s="1127">
        <v>323</v>
      </c>
      <c r="AB110" s="1127">
        <v>479</v>
      </c>
      <c r="AC110" s="1127">
        <v>459</v>
      </c>
      <c r="AD110" s="1127">
        <v>239</v>
      </c>
      <c r="AE110" s="1127">
        <v>151</v>
      </c>
      <c r="AF110" s="1127">
        <v>75</v>
      </c>
      <c r="AG110" s="1127">
        <v>42</v>
      </c>
      <c r="AH110" s="1127">
        <v>17</v>
      </c>
      <c r="AI110" s="1127">
        <v>9</v>
      </c>
      <c r="AJ110" s="1127"/>
      <c r="AK110" s="1127">
        <f t="shared" si="10"/>
        <v>829</v>
      </c>
      <c r="AL110" s="1127">
        <f t="shared" si="11"/>
        <v>1471</v>
      </c>
    </row>
    <row r="111" spans="1:38">
      <c r="A111" s="1120">
        <v>683</v>
      </c>
      <c r="B111" s="184" t="s">
        <v>307</v>
      </c>
      <c r="C111" s="1127">
        <v>11876</v>
      </c>
      <c r="D111" s="1127">
        <v>253</v>
      </c>
      <c r="E111" s="1127">
        <v>1212</v>
      </c>
      <c r="F111" s="1127">
        <v>1317</v>
      </c>
      <c r="G111" s="1127">
        <v>1153</v>
      </c>
      <c r="H111" s="1127">
        <v>585</v>
      </c>
      <c r="I111" s="1127">
        <v>324</v>
      </c>
      <c r="J111" s="1127">
        <v>932</v>
      </c>
      <c r="K111" s="1127">
        <v>1273</v>
      </c>
      <c r="L111" s="1127">
        <v>1299</v>
      </c>
      <c r="M111" s="1127">
        <v>1154</v>
      </c>
      <c r="N111" s="1127">
        <v>821</v>
      </c>
      <c r="O111" s="1127">
        <v>563</v>
      </c>
      <c r="P111" s="1127">
        <v>419</v>
      </c>
      <c r="Q111" s="1127">
        <v>259</v>
      </c>
      <c r="R111" s="1127">
        <v>148</v>
      </c>
      <c r="S111" s="1127">
        <v>85</v>
      </c>
      <c r="T111" s="1127">
        <v>35</v>
      </c>
      <c r="U111" s="1127">
        <v>21</v>
      </c>
      <c r="V111" s="1127">
        <v>13</v>
      </c>
      <c r="W111" s="1127">
        <v>10</v>
      </c>
      <c r="X111" s="1127"/>
      <c r="Y111" s="1127">
        <v>1465</v>
      </c>
      <c r="Z111" s="1127">
        <v>2470</v>
      </c>
      <c r="AA111" s="1127">
        <v>909</v>
      </c>
      <c r="AB111" s="1127">
        <v>932</v>
      </c>
      <c r="AC111" s="1127">
        <v>2572</v>
      </c>
      <c r="AD111" s="1127">
        <v>1975</v>
      </c>
      <c r="AE111" s="1127">
        <v>982</v>
      </c>
      <c r="AF111" s="1127">
        <v>407</v>
      </c>
      <c r="AG111" s="1127">
        <v>120</v>
      </c>
      <c r="AH111" s="1127">
        <v>34</v>
      </c>
      <c r="AI111" s="1127">
        <v>10</v>
      </c>
      <c r="AJ111" s="1127"/>
      <c r="AK111" s="1127">
        <f t="shared" si="10"/>
        <v>4844</v>
      </c>
      <c r="AL111" s="1127">
        <f t="shared" si="11"/>
        <v>7032</v>
      </c>
    </row>
    <row r="112" spans="1:38">
      <c r="A112" s="1120">
        <v>685</v>
      </c>
      <c r="B112" s="184" t="s">
        <v>1082</v>
      </c>
      <c r="C112" s="1127">
        <v>4645</v>
      </c>
      <c r="D112" s="1127">
        <v>97</v>
      </c>
      <c r="E112" s="1127">
        <v>455</v>
      </c>
      <c r="F112" s="1127">
        <v>450</v>
      </c>
      <c r="G112" s="1127">
        <v>388</v>
      </c>
      <c r="H112" s="1127">
        <v>252</v>
      </c>
      <c r="I112" s="1127">
        <v>134</v>
      </c>
      <c r="J112" s="1127">
        <v>377</v>
      </c>
      <c r="K112" s="1127">
        <v>482</v>
      </c>
      <c r="L112" s="1127">
        <v>503</v>
      </c>
      <c r="M112" s="1127">
        <v>443</v>
      </c>
      <c r="N112" s="1127">
        <v>387</v>
      </c>
      <c r="O112" s="1127">
        <v>274</v>
      </c>
      <c r="P112" s="1127">
        <v>155</v>
      </c>
      <c r="Q112" s="1127">
        <v>96</v>
      </c>
      <c r="R112" s="1127">
        <v>64</v>
      </c>
      <c r="S112" s="1127">
        <v>43</v>
      </c>
      <c r="T112" s="1127">
        <v>19</v>
      </c>
      <c r="U112" s="1127">
        <v>12</v>
      </c>
      <c r="V112" s="1127">
        <v>6</v>
      </c>
      <c r="W112" s="1127">
        <v>8</v>
      </c>
      <c r="X112" s="1127"/>
      <c r="Y112" s="1127">
        <v>552</v>
      </c>
      <c r="Z112" s="1127">
        <v>838</v>
      </c>
      <c r="AA112" s="1127">
        <v>386</v>
      </c>
      <c r="AB112" s="1127">
        <v>377</v>
      </c>
      <c r="AC112" s="1127">
        <v>985</v>
      </c>
      <c r="AD112" s="1127">
        <v>830</v>
      </c>
      <c r="AE112" s="1127">
        <v>429</v>
      </c>
      <c r="AF112" s="1127">
        <v>160</v>
      </c>
      <c r="AG112" s="1127">
        <v>62</v>
      </c>
      <c r="AH112" s="1127">
        <v>18</v>
      </c>
      <c r="AI112" s="1127">
        <v>8</v>
      </c>
      <c r="AJ112" s="1127"/>
      <c r="AK112" s="1127">
        <f t="shared" si="10"/>
        <v>1776</v>
      </c>
      <c r="AL112" s="1127">
        <f t="shared" si="11"/>
        <v>2869</v>
      </c>
    </row>
    <row r="113" spans="1:38">
      <c r="A113" s="1120">
        <v>700</v>
      </c>
      <c r="B113" s="184" t="s">
        <v>1095</v>
      </c>
      <c r="C113" s="1127">
        <v>13590</v>
      </c>
      <c r="D113" s="1127">
        <v>373</v>
      </c>
      <c r="E113" s="1127">
        <v>1284</v>
      </c>
      <c r="F113" s="1127">
        <v>1263</v>
      </c>
      <c r="G113" s="1127">
        <v>1074</v>
      </c>
      <c r="H113" s="1127">
        <v>570</v>
      </c>
      <c r="I113" s="1127">
        <v>515</v>
      </c>
      <c r="J113" s="1127">
        <v>1675</v>
      </c>
      <c r="K113" s="1127">
        <v>1611</v>
      </c>
      <c r="L113" s="1127">
        <v>1327</v>
      </c>
      <c r="M113" s="1127">
        <v>951</v>
      </c>
      <c r="N113" s="1127">
        <v>754</v>
      </c>
      <c r="O113" s="1127">
        <v>680</v>
      </c>
      <c r="P113" s="1127">
        <v>546</v>
      </c>
      <c r="Q113" s="1127">
        <v>352</v>
      </c>
      <c r="R113" s="1127">
        <v>227</v>
      </c>
      <c r="S113" s="1127">
        <v>129</v>
      </c>
      <c r="T113" s="1127">
        <v>92</v>
      </c>
      <c r="U113" s="1127">
        <v>72</v>
      </c>
      <c r="V113" s="1127">
        <v>49</v>
      </c>
      <c r="W113" s="1127">
        <v>46</v>
      </c>
      <c r="X113" s="1127"/>
      <c r="Y113" s="1127">
        <v>1657</v>
      </c>
      <c r="Z113" s="1127">
        <v>2337</v>
      </c>
      <c r="AA113" s="1127">
        <v>1085</v>
      </c>
      <c r="AB113" s="1127">
        <v>1675</v>
      </c>
      <c r="AC113" s="1127">
        <v>2938</v>
      </c>
      <c r="AD113" s="1127">
        <v>1705</v>
      </c>
      <c r="AE113" s="1127">
        <v>1226</v>
      </c>
      <c r="AF113" s="1127">
        <v>579</v>
      </c>
      <c r="AG113" s="1127">
        <v>221</v>
      </c>
      <c r="AH113" s="1127">
        <v>121</v>
      </c>
      <c r="AI113" s="1127">
        <v>46</v>
      </c>
      <c r="AJ113" s="1127"/>
      <c r="AK113" s="1127">
        <f t="shared" si="10"/>
        <v>5079</v>
      </c>
      <c r="AL113" s="1127">
        <f t="shared" si="11"/>
        <v>8511</v>
      </c>
    </row>
    <row r="114" spans="1:38">
      <c r="A114" s="1120">
        <v>710</v>
      </c>
      <c r="B114" s="184" t="s">
        <v>1090</v>
      </c>
      <c r="C114" s="1127">
        <v>16144</v>
      </c>
      <c r="D114" s="1127">
        <v>396</v>
      </c>
      <c r="E114" s="1127">
        <v>1333</v>
      </c>
      <c r="F114" s="1127">
        <v>1195</v>
      </c>
      <c r="G114" s="1127">
        <v>878</v>
      </c>
      <c r="H114" s="1127">
        <v>449</v>
      </c>
      <c r="I114" s="1127">
        <v>799</v>
      </c>
      <c r="J114" s="1127">
        <v>3740</v>
      </c>
      <c r="K114" s="1127">
        <v>2241</v>
      </c>
      <c r="L114" s="1127">
        <v>1445</v>
      </c>
      <c r="M114" s="1127">
        <v>1054</v>
      </c>
      <c r="N114" s="1127">
        <v>686</v>
      </c>
      <c r="O114" s="1127">
        <v>579</v>
      </c>
      <c r="P114" s="1127">
        <v>462</v>
      </c>
      <c r="Q114" s="1127">
        <v>314</v>
      </c>
      <c r="R114" s="1127">
        <v>207</v>
      </c>
      <c r="S114" s="1127">
        <v>133</v>
      </c>
      <c r="T114" s="1127">
        <v>86</v>
      </c>
      <c r="U114" s="1127">
        <v>60</v>
      </c>
      <c r="V114" s="1127">
        <v>47</v>
      </c>
      <c r="W114" s="1127">
        <v>40</v>
      </c>
      <c r="X114" s="1127"/>
      <c r="Y114" s="1127">
        <v>1729</v>
      </c>
      <c r="Z114" s="1127">
        <v>2073</v>
      </c>
      <c r="AA114" s="1127">
        <v>1248</v>
      </c>
      <c r="AB114" s="1127">
        <v>3740</v>
      </c>
      <c r="AC114" s="1127">
        <v>3686</v>
      </c>
      <c r="AD114" s="1127">
        <v>1740</v>
      </c>
      <c r="AE114" s="1127">
        <v>1041</v>
      </c>
      <c r="AF114" s="1127">
        <v>521</v>
      </c>
      <c r="AG114" s="1127">
        <v>219</v>
      </c>
      <c r="AH114" s="1127">
        <v>107</v>
      </c>
      <c r="AI114" s="1127">
        <v>40</v>
      </c>
      <c r="AJ114" s="1127"/>
      <c r="AK114" s="1127">
        <f t="shared" si="10"/>
        <v>5050</v>
      </c>
      <c r="AL114" s="1127">
        <f t="shared" si="11"/>
        <v>11094</v>
      </c>
    </row>
    <row r="115" spans="1:38">
      <c r="A115" s="1120">
        <v>720</v>
      </c>
      <c r="B115" s="184" t="s">
        <v>1076</v>
      </c>
      <c r="C115" s="1127">
        <v>68</v>
      </c>
      <c r="D115" s="1127">
        <v>0</v>
      </c>
      <c r="E115" s="1127">
        <v>3</v>
      </c>
      <c r="F115" s="1127">
        <v>5</v>
      </c>
      <c r="G115" s="1127">
        <v>9</v>
      </c>
      <c r="H115" s="1127">
        <v>3</v>
      </c>
      <c r="I115" s="1127">
        <v>4</v>
      </c>
      <c r="J115" s="1127">
        <v>12</v>
      </c>
      <c r="K115" s="1127">
        <v>4</v>
      </c>
      <c r="L115" s="1127">
        <v>4</v>
      </c>
      <c r="M115" s="1127">
        <v>7</v>
      </c>
      <c r="N115" s="1127">
        <v>5</v>
      </c>
      <c r="O115" s="1127">
        <v>1</v>
      </c>
      <c r="P115" s="1127">
        <v>4</v>
      </c>
      <c r="Q115" s="1127">
        <v>1</v>
      </c>
      <c r="R115" s="1127">
        <v>4</v>
      </c>
      <c r="S115" s="1127">
        <v>0</v>
      </c>
      <c r="T115" s="1127">
        <v>1</v>
      </c>
      <c r="U115" s="1127">
        <v>1</v>
      </c>
      <c r="V115" s="1127">
        <v>0</v>
      </c>
      <c r="W115" s="1127">
        <v>0</v>
      </c>
      <c r="X115" s="1127"/>
      <c r="Y115" s="1127">
        <v>3</v>
      </c>
      <c r="Z115" s="1127">
        <v>14</v>
      </c>
      <c r="AA115" s="1127">
        <v>7</v>
      </c>
      <c r="AB115" s="1127">
        <v>12</v>
      </c>
      <c r="AC115" s="1127">
        <v>8</v>
      </c>
      <c r="AD115" s="1127">
        <v>12</v>
      </c>
      <c r="AE115" s="1127">
        <v>5</v>
      </c>
      <c r="AF115" s="1127">
        <v>5</v>
      </c>
      <c r="AG115" s="1127">
        <v>1</v>
      </c>
      <c r="AH115" s="1127">
        <v>1</v>
      </c>
      <c r="AI115" s="1127">
        <v>0</v>
      </c>
      <c r="AJ115" s="1127"/>
      <c r="AK115" s="1127">
        <f t="shared" si="10"/>
        <v>24</v>
      </c>
      <c r="AL115" s="1127">
        <f t="shared" si="11"/>
        <v>44</v>
      </c>
    </row>
    <row r="116" spans="1:38">
      <c r="A116" s="1120">
        <v>730</v>
      </c>
      <c r="B116" s="184" t="s">
        <v>1088</v>
      </c>
      <c r="C116" s="1127">
        <v>1216</v>
      </c>
      <c r="D116" s="1127">
        <v>30</v>
      </c>
      <c r="E116" s="1127">
        <v>131</v>
      </c>
      <c r="F116" s="1127">
        <v>94</v>
      </c>
      <c r="G116" s="1127">
        <v>83</v>
      </c>
      <c r="H116" s="1127">
        <v>38</v>
      </c>
      <c r="I116" s="1127">
        <v>41</v>
      </c>
      <c r="J116" s="1127">
        <v>157</v>
      </c>
      <c r="K116" s="1127">
        <v>174</v>
      </c>
      <c r="L116" s="1127">
        <v>119</v>
      </c>
      <c r="M116" s="1127">
        <v>88</v>
      </c>
      <c r="N116" s="1127">
        <v>66</v>
      </c>
      <c r="O116" s="1127">
        <v>56</v>
      </c>
      <c r="P116" s="1127">
        <v>37</v>
      </c>
      <c r="Q116" s="1127">
        <v>33</v>
      </c>
      <c r="R116" s="1127">
        <v>24</v>
      </c>
      <c r="S116" s="1127">
        <v>17</v>
      </c>
      <c r="T116" s="1127">
        <v>12</v>
      </c>
      <c r="U116" s="1127">
        <v>6</v>
      </c>
      <c r="V116" s="1127">
        <v>7</v>
      </c>
      <c r="W116" s="1127">
        <v>3</v>
      </c>
      <c r="X116" s="1127"/>
      <c r="Y116" s="1127">
        <v>161</v>
      </c>
      <c r="Z116" s="1127">
        <v>177</v>
      </c>
      <c r="AA116" s="1127">
        <v>79</v>
      </c>
      <c r="AB116" s="1127">
        <v>157</v>
      </c>
      <c r="AC116" s="1127">
        <v>293</v>
      </c>
      <c r="AD116" s="1127">
        <v>154</v>
      </c>
      <c r="AE116" s="1127">
        <v>93</v>
      </c>
      <c r="AF116" s="1127">
        <v>57</v>
      </c>
      <c r="AG116" s="1127">
        <v>29</v>
      </c>
      <c r="AH116" s="1127">
        <v>13</v>
      </c>
      <c r="AI116" s="1127">
        <v>3</v>
      </c>
      <c r="AJ116" s="1127"/>
      <c r="AK116" s="1127">
        <f t="shared" si="10"/>
        <v>417</v>
      </c>
      <c r="AL116" s="1127">
        <f t="shared" si="11"/>
        <v>799</v>
      </c>
    </row>
    <row r="117" spans="1:38">
      <c r="A117" s="1120">
        <v>740</v>
      </c>
      <c r="B117" s="184" t="s">
        <v>1091</v>
      </c>
      <c r="C117" s="1127">
        <v>2919</v>
      </c>
      <c r="D117" s="1127">
        <v>80</v>
      </c>
      <c r="E117" s="1127">
        <v>289</v>
      </c>
      <c r="F117" s="1127">
        <v>286</v>
      </c>
      <c r="G117" s="1127">
        <v>224</v>
      </c>
      <c r="H117" s="1127">
        <v>84</v>
      </c>
      <c r="I117" s="1127">
        <v>81</v>
      </c>
      <c r="J117" s="1127">
        <v>355</v>
      </c>
      <c r="K117" s="1127">
        <v>387</v>
      </c>
      <c r="L117" s="1127">
        <v>319</v>
      </c>
      <c r="M117" s="1127">
        <v>196</v>
      </c>
      <c r="N117" s="1127">
        <v>166</v>
      </c>
      <c r="O117" s="1127">
        <v>149</v>
      </c>
      <c r="P117" s="1127">
        <v>95</v>
      </c>
      <c r="Q117" s="1127">
        <v>73</v>
      </c>
      <c r="R117" s="1127">
        <v>52</v>
      </c>
      <c r="S117" s="1127">
        <v>25</v>
      </c>
      <c r="T117" s="1127">
        <v>19</v>
      </c>
      <c r="U117" s="1127">
        <v>12</v>
      </c>
      <c r="V117" s="1127">
        <v>15</v>
      </c>
      <c r="W117" s="1127">
        <v>12</v>
      </c>
      <c r="X117" s="1127"/>
      <c r="Y117" s="1127">
        <v>369</v>
      </c>
      <c r="Z117" s="1127">
        <v>510</v>
      </c>
      <c r="AA117" s="1127">
        <v>165</v>
      </c>
      <c r="AB117" s="1127">
        <v>355</v>
      </c>
      <c r="AC117" s="1127">
        <v>706</v>
      </c>
      <c r="AD117" s="1127">
        <v>362</v>
      </c>
      <c r="AE117" s="1127">
        <v>244</v>
      </c>
      <c r="AF117" s="1127">
        <v>125</v>
      </c>
      <c r="AG117" s="1127">
        <v>44</v>
      </c>
      <c r="AH117" s="1127">
        <v>27</v>
      </c>
      <c r="AI117" s="1127">
        <v>12</v>
      </c>
      <c r="AJ117" s="1127"/>
      <c r="AK117" s="1127">
        <f t="shared" si="10"/>
        <v>1044</v>
      </c>
      <c r="AL117" s="1127">
        <f t="shared" si="11"/>
        <v>1875</v>
      </c>
    </row>
    <row r="118" spans="1:38">
      <c r="A118" s="1120">
        <v>750</v>
      </c>
      <c r="B118" s="184" t="s">
        <v>1079</v>
      </c>
      <c r="C118" s="1127">
        <v>385</v>
      </c>
      <c r="D118" s="1127">
        <v>5</v>
      </c>
      <c r="E118" s="1127">
        <v>16</v>
      </c>
      <c r="F118" s="1127">
        <v>9</v>
      </c>
      <c r="G118" s="1127">
        <v>12</v>
      </c>
      <c r="H118" s="1127">
        <v>10</v>
      </c>
      <c r="I118" s="1127">
        <v>95</v>
      </c>
      <c r="J118" s="1127">
        <v>151</v>
      </c>
      <c r="K118" s="1127">
        <v>27</v>
      </c>
      <c r="L118" s="1127">
        <v>18</v>
      </c>
      <c r="M118" s="1127">
        <v>14</v>
      </c>
      <c r="N118" s="1127">
        <v>10</v>
      </c>
      <c r="O118" s="1127">
        <v>2</v>
      </c>
      <c r="P118" s="1127">
        <v>3</v>
      </c>
      <c r="Q118" s="1127">
        <v>6</v>
      </c>
      <c r="R118" s="1127">
        <v>1</v>
      </c>
      <c r="S118" s="1127">
        <v>3</v>
      </c>
      <c r="T118" s="1127">
        <v>2</v>
      </c>
      <c r="U118" s="1127">
        <v>0</v>
      </c>
      <c r="V118" s="1127">
        <v>0</v>
      </c>
      <c r="W118" s="1127">
        <v>1</v>
      </c>
      <c r="X118" s="1127"/>
      <c r="Y118" s="1127">
        <v>21</v>
      </c>
      <c r="Z118" s="1127">
        <v>21</v>
      </c>
      <c r="AA118" s="1127">
        <v>105</v>
      </c>
      <c r="AB118" s="1127">
        <v>151</v>
      </c>
      <c r="AC118" s="1127">
        <v>45</v>
      </c>
      <c r="AD118" s="1127">
        <v>24</v>
      </c>
      <c r="AE118" s="1127">
        <v>5</v>
      </c>
      <c r="AF118" s="1127">
        <v>7</v>
      </c>
      <c r="AG118" s="1127">
        <v>5</v>
      </c>
      <c r="AH118" s="1127">
        <v>0</v>
      </c>
      <c r="AI118" s="1127">
        <v>1</v>
      </c>
      <c r="AJ118" s="1127"/>
      <c r="AK118" s="1127">
        <f t="shared" si="10"/>
        <v>147</v>
      </c>
      <c r="AL118" s="1127">
        <f t="shared" si="11"/>
        <v>238</v>
      </c>
    </row>
    <row r="119" spans="1:38">
      <c r="A119" s="1120">
        <v>760</v>
      </c>
      <c r="B119" s="184" t="s">
        <v>198</v>
      </c>
      <c r="C119" s="1127">
        <v>12803</v>
      </c>
      <c r="D119" s="1127">
        <v>360</v>
      </c>
      <c r="E119" s="1127">
        <v>1215</v>
      </c>
      <c r="F119" s="1127">
        <v>868</v>
      </c>
      <c r="G119" s="1127">
        <v>540</v>
      </c>
      <c r="H119" s="1127">
        <v>302</v>
      </c>
      <c r="I119" s="1127">
        <v>671</v>
      </c>
      <c r="J119" s="1127">
        <v>2192</v>
      </c>
      <c r="K119" s="1127">
        <v>1923</v>
      </c>
      <c r="L119" s="1127">
        <v>1524</v>
      </c>
      <c r="M119" s="1127">
        <v>1042</v>
      </c>
      <c r="N119" s="1127">
        <v>654</v>
      </c>
      <c r="O119" s="1127">
        <v>507</v>
      </c>
      <c r="P119" s="1127">
        <v>298</v>
      </c>
      <c r="Q119" s="1127">
        <v>289</v>
      </c>
      <c r="R119" s="1127">
        <v>180</v>
      </c>
      <c r="S119" s="1127">
        <v>78</v>
      </c>
      <c r="T119" s="1127">
        <v>62</v>
      </c>
      <c r="U119" s="1127">
        <v>45</v>
      </c>
      <c r="V119" s="1127">
        <v>17</v>
      </c>
      <c r="W119" s="1127">
        <v>36</v>
      </c>
      <c r="X119" s="1127"/>
      <c r="Y119" s="1127">
        <v>1575</v>
      </c>
      <c r="Z119" s="1127">
        <v>1408</v>
      </c>
      <c r="AA119" s="1127">
        <v>973</v>
      </c>
      <c r="AB119" s="1127">
        <v>2192</v>
      </c>
      <c r="AC119" s="1127">
        <v>3447</v>
      </c>
      <c r="AD119" s="1127">
        <v>1696</v>
      </c>
      <c r="AE119" s="1127">
        <v>805</v>
      </c>
      <c r="AF119" s="1127">
        <v>469</v>
      </c>
      <c r="AG119" s="1127">
        <v>140</v>
      </c>
      <c r="AH119" s="1127">
        <v>62</v>
      </c>
      <c r="AI119" s="1127">
        <v>36</v>
      </c>
      <c r="AJ119" s="1127"/>
      <c r="AK119" s="1127">
        <f t="shared" si="10"/>
        <v>3956</v>
      </c>
      <c r="AL119" s="1127">
        <f t="shared" si="11"/>
        <v>8847</v>
      </c>
    </row>
    <row r="120" spans="1:38">
      <c r="A120" s="1120">
        <v>770</v>
      </c>
      <c r="B120" s="184" t="s">
        <v>202</v>
      </c>
      <c r="C120" s="1127">
        <v>5345</v>
      </c>
      <c r="D120" s="1127">
        <v>181</v>
      </c>
      <c r="E120" s="1127">
        <v>644</v>
      </c>
      <c r="F120" s="1127">
        <v>483</v>
      </c>
      <c r="G120" s="1127">
        <v>321</v>
      </c>
      <c r="H120" s="1127">
        <v>165</v>
      </c>
      <c r="I120" s="1127">
        <v>152</v>
      </c>
      <c r="J120" s="1127">
        <v>653</v>
      </c>
      <c r="K120" s="1127">
        <v>720</v>
      </c>
      <c r="L120" s="1127">
        <v>570</v>
      </c>
      <c r="M120" s="1127">
        <v>440</v>
      </c>
      <c r="N120" s="1127">
        <v>295</v>
      </c>
      <c r="O120" s="1127">
        <v>211</v>
      </c>
      <c r="P120" s="1127">
        <v>168</v>
      </c>
      <c r="Q120" s="1127">
        <v>123</v>
      </c>
      <c r="R120" s="1127">
        <v>73</v>
      </c>
      <c r="S120" s="1127">
        <v>55</v>
      </c>
      <c r="T120" s="1127">
        <v>29</v>
      </c>
      <c r="U120" s="1127">
        <v>19</v>
      </c>
      <c r="V120" s="1127">
        <v>23</v>
      </c>
      <c r="W120" s="1127">
        <v>20</v>
      </c>
      <c r="X120" s="1127"/>
      <c r="Y120" s="1127">
        <v>825</v>
      </c>
      <c r="Z120" s="1127">
        <v>804</v>
      </c>
      <c r="AA120" s="1127">
        <v>317</v>
      </c>
      <c r="AB120" s="1127">
        <v>653</v>
      </c>
      <c r="AC120" s="1127">
        <v>1290</v>
      </c>
      <c r="AD120" s="1127">
        <v>735</v>
      </c>
      <c r="AE120" s="1127">
        <v>379</v>
      </c>
      <c r="AF120" s="1127">
        <v>196</v>
      </c>
      <c r="AG120" s="1127">
        <v>84</v>
      </c>
      <c r="AH120" s="1127">
        <v>42</v>
      </c>
      <c r="AI120" s="1127">
        <v>20</v>
      </c>
      <c r="AJ120" s="1127"/>
      <c r="AK120" s="1127">
        <f t="shared" si="10"/>
        <v>1946</v>
      </c>
      <c r="AL120" s="1127">
        <f t="shared" si="11"/>
        <v>3399</v>
      </c>
    </row>
    <row r="121" spans="1:38">
      <c r="A121" s="1120">
        <v>800</v>
      </c>
      <c r="B121" s="184" t="s">
        <v>1092</v>
      </c>
      <c r="C121" s="1127">
        <v>2415</v>
      </c>
      <c r="D121" s="1127">
        <v>43</v>
      </c>
      <c r="E121" s="1127">
        <v>266</v>
      </c>
      <c r="F121" s="1127">
        <v>283</v>
      </c>
      <c r="G121" s="1127">
        <v>223</v>
      </c>
      <c r="H121" s="1127">
        <v>119</v>
      </c>
      <c r="I121" s="1127">
        <v>62</v>
      </c>
      <c r="J121" s="1127">
        <v>180</v>
      </c>
      <c r="K121" s="1127">
        <v>219</v>
      </c>
      <c r="L121" s="1127">
        <v>234</v>
      </c>
      <c r="M121" s="1127">
        <v>202</v>
      </c>
      <c r="N121" s="1127">
        <v>160</v>
      </c>
      <c r="O121" s="1127">
        <v>139</v>
      </c>
      <c r="P121" s="1127">
        <v>108</v>
      </c>
      <c r="Q121" s="1127">
        <v>61</v>
      </c>
      <c r="R121" s="1127">
        <v>45</v>
      </c>
      <c r="S121" s="1127">
        <v>28</v>
      </c>
      <c r="T121" s="1127">
        <v>18</v>
      </c>
      <c r="U121" s="1127">
        <v>13</v>
      </c>
      <c r="V121" s="1127">
        <v>6</v>
      </c>
      <c r="W121" s="1127">
        <v>6</v>
      </c>
      <c r="X121" s="1127"/>
      <c r="Y121" s="1127">
        <v>309</v>
      </c>
      <c r="Z121" s="1127">
        <v>506</v>
      </c>
      <c r="AA121" s="1127">
        <v>181</v>
      </c>
      <c r="AB121" s="1127">
        <v>180</v>
      </c>
      <c r="AC121" s="1127">
        <v>453</v>
      </c>
      <c r="AD121" s="1127">
        <v>362</v>
      </c>
      <c r="AE121" s="1127">
        <v>247</v>
      </c>
      <c r="AF121" s="1127">
        <v>106</v>
      </c>
      <c r="AG121" s="1127">
        <v>46</v>
      </c>
      <c r="AH121" s="1127">
        <v>19</v>
      </c>
      <c r="AI121" s="1127">
        <v>6</v>
      </c>
      <c r="AJ121" s="1127"/>
      <c r="AK121" s="1127">
        <f t="shared" si="10"/>
        <v>996</v>
      </c>
      <c r="AL121" s="1127">
        <f t="shared" si="11"/>
        <v>1419</v>
      </c>
    </row>
    <row r="122" spans="1:38">
      <c r="A122" s="1120">
        <v>810</v>
      </c>
      <c r="B122" s="184" t="s">
        <v>1093</v>
      </c>
      <c r="C122" s="1127">
        <v>28987</v>
      </c>
      <c r="D122" s="1127">
        <v>734</v>
      </c>
      <c r="E122" s="1127">
        <v>2575</v>
      </c>
      <c r="F122" s="1127">
        <v>2783</v>
      </c>
      <c r="G122" s="1127">
        <v>2664</v>
      </c>
      <c r="H122" s="1127">
        <v>1466</v>
      </c>
      <c r="I122" s="1127">
        <v>1002</v>
      </c>
      <c r="J122" s="1127">
        <v>3206</v>
      </c>
      <c r="K122" s="1127">
        <v>3243</v>
      </c>
      <c r="L122" s="1127">
        <v>2512</v>
      </c>
      <c r="M122" s="1127">
        <v>1996</v>
      </c>
      <c r="N122" s="1127">
        <v>1720</v>
      </c>
      <c r="O122" s="1127">
        <v>1557</v>
      </c>
      <c r="P122" s="1127">
        <v>1201</v>
      </c>
      <c r="Q122" s="1127">
        <v>778</v>
      </c>
      <c r="R122" s="1127">
        <v>522</v>
      </c>
      <c r="S122" s="1127">
        <v>370</v>
      </c>
      <c r="T122" s="1127">
        <v>250</v>
      </c>
      <c r="U122" s="1127">
        <v>192</v>
      </c>
      <c r="V122" s="1127">
        <v>136</v>
      </c>
      <c r="W122" s="1127">
        <v>80</v>
      </c>
      <c r="X122" s="1127"/>
      <c r="Y122" s="1127">
        <v>3309</v>
      </c>
      <c r="Z122" s="1127">
        <v>5447</v>
      </c>
      <c r="AA122" s="1127">
        <v>2468</v>
      </c>
      <c r="AB122" s="1127">
        <v>3206</v>
      </c>
      <c r="AC122" s="1127">
        <v>5755</v>
      </c>
      <c r="AD122" s="1127">
        <v>3716</v>
      </c>
      <c r="AE122" s="1127">
        <v>2758</v>
      </c>
      <c r="AF122" s="1127">
        <v>1300</v>
      </c>
      <c r="AG122" s="1127">
        <v>620</v>
      </c>
      <c r="AH122" s="1127">
        <v>328</v>
      </c>
      <c r="AI122" s="1127">
        <v>80</v>
      </c>
      <c r="AJ122" s="1127"/>
      <c r="AK122" s="1127">
        <f t="shared" si="10"/>
        <v>11224</v>
      </c>
      <c r="AL122" s="1127">
        <f t="shared" si="11"/>
        <v>17763</v>
      </c>
    </row>
    <row r="123" spans="1:38">
      <c r="A123" s="1120">
        <v>830</v>
      </c>
      <c r="B123" s="184" t="s">
        <v>1096</v>
      </c>
      <c r="C123" s="1127">
        <v>941</v>
      </c>
      <c r="D123" s="1127">
        <v>17</v>
      </c>
      <c r="E123" s="1127">
        <v>59</v>
      </c>
      <c r="F123" s="1127">
        <v>37</v>
      </c>
      <c r="G123" s="1127">
        <v>37</v>
      </c>
      <c r="H123" s="1127">
        <v>23</v>
      </c>
      <c r="I123" s="1127">
        <v>170</v>
      </c>
      <c r="J123" s="1127">
        <v>287</v>
      </c>
      <c r="K123" s="1127">
        <v>83</v>
      </c>
      <c r="L123" s="1127">
        <v>71</v>
      </c>
      <c r="M123" s="1127">
        <v>43</v>
      </c>
      <c r="N123" s="1127">
        <v>39</v>
      </c>
      <c r="O123" s="1127">
        <v>24</v>
      </c>
      <c r="P123" s="1127">
        <v>20</v>
      </c>
      <c r="Q123" s="1127">
        <v>11</v>
      </c>
      <c r="R123" s="1127">
        <v>5</v>
      </c>
      <c r="S123" s="1127">
        <v>5</v>
      </c>
      <c r="T123" s="1127">
        <v>1</v>
      </c>
      <c r="U123" s="1127">
        <v>4</v>
      </c>
      <c r="V123" s="1127">
        <v>2</v>
      </c>
      <c r="W123" s="1127">
        <v>3</v>
      </c>
      <c r="X123" s="1127"/>
      <c r="Y123" s="1127">
        <v>76</v>
      </c>
      <c r="Z123" s="1127">
        <v>74</v>
      </c>
      <c r="AA123" s="1127">
        <v>193</v>
      </c>
      <c r="AB123" s="1127">
        <v>287</v>
      </c>
      <c r="AC123" s="1127">
        <v>154</v>
      </c>
      <c r="AD123" s="1127">
        <v>82</v>
      </c>
      <c r="AE123" s="1127">
        <v>44</v>
      </c>
      <c r="AF123" s="1127">
        <v>16</v>
      </c>
      <c r="AG123" s="1127">
        <v>6</v>
      </c>
      <c r="AH123" s="1127">
        <v>6</v>
      </c>
      <c r="AI123" s="1127">
        <v>3</v>
      </c>
      <c r="AJ123" s="1127"/>
      <c r="AK123" s="1127">
        <f t="shared" si="10"/>
        <v>343</v>
      </c>
      <c r="AL123" s="1127">
        <f t="shared" si="11"/>
        <v>598</v>
      </c>
    </row>
    <row r="124" spans="1:38">
      <c r="A124" s="1120">
        <v>840</v>
      </c>
      <c r="B124" s="184" t="s">
        <v>1080</v>
      </c>
      <c r="C124" s="1127">
        <v>4041</v>
      </c>
      <c r="D124" s="1127">
        <v>125</v>
      </c>
      <c r="E124" s="1127">
        <v>504</v>
      </c>
      <c r="F124" s="1127">
        <v>467</v>
      </c>
      <c r="G124" s="1127">
        <v>277</v>
      </c>
      <c r="H124" s="1127">
        <v>132</v>
      </c>
      <c r="I124" s="1127">
        <v>124</v>
      </c>
      <c r="J124" s="1127">
        <v>418</v>
      </c>
      <c r="K124" s="1127">
        <v>528</v>
      </c>
      <c r="L124" s="1127">
        <v>480</v>
      </c>
      <c r="M124" s="1127">
        <v>325</v>
      </c>
      <c r="N124" s="1127">
        <v>229</v>
      </c>
      <c r="O124" s="1127">
        <v>159</v>
      </c>
      <c r="P124" s="1127">
        <v>111</v>
      </c>
      <c r="Q124" s="1127">
        <v>57</v>
      </c>
      <c r="R124" s="1127">
        <v>44</v>
      </c>
      <c r="S124" s="1127">
        <v>24</v>
      </c>
      <c r="T124" s="1127">
        <v>11</v>
      </c>
      <c r="U124" s="1127">
        <v>11</v>
      </c>
      <c r="V124" s="1127">
        <v>8</v>
      </c>
      <c r="W124" s="1127">
        <v>7</v>
      </c>
      <c r="X124" s="1127"/>
      <c r="Y124" s="1127">
        <v>629</v>
      </c>
      <c r="Z124" s="1127">
        <v>744</v>
      </c>
      <c r="AA124" s="1127">
        <v>256</v>
      </c>
      <c r="AB124" s="1127">
        <v>418</v>
      </c>
      <c r="AC124" s="1127">
        <v>1008</v>
      </c>
      <c r="AD124" s="1127">
        <v>554</v>
      </c>
      <c r="AE124" s="1127">
        <v>270</v>
      </c>
      <c r="AF124" s="1127">
        <v>101</v>
      </c>
      <c r="AG124" s="1127">
        <v>35</v>
      </c>
      <c r="AH124" s="1127">
        <v>19</v>
      </c>
      <c r="AI124" s="1127">
        <v>7</v>
      </c>
      <c r="AJ124" s="1127"/>
      <c r="AK124" s="1127">
        <f t="shared" si="10"/>
        <v>1629</v>
      </c>
      <c r="AL124" s="1127">
        <f t="shared" si="11"/>
        <v>2412</v>
      </c>
    </row>
    <row r="125" spans="1:38">
      <c r="A125" s="1128">
        <v>999</v>
      </c>
      <c r="B125" s="1120" t="s">
        <v>9</v>
      </c>
      <c r="C125" s="1127">
        <f>SUM(C5:C124)</f>
        <v>631825</v>
      </c>
      <c r="D125" s="1127">
        <f>SUM(D5:D124)</f>
        <v>13573</v>
      </c>
      <c r="E125" s="1127">
        <f t="shared" ref="E125:AL125" si="12">SUM(E5:E124)</f>
        <v>54863</v>
      </c>
      <c r="F125" s="1127">
        <f t="shared" si="12"/>
        <v>57654</v>
      </c>
      <c r="G125" s="1127">
        <f t="shared" si="12"/>
        <v>49956</v>
      </c>
      <c r="H125" s="1127">
        <f t="shared" si="12"/>
        <v>28922</v>
      </c>
      <c r="I125" s="1127">
        <f t="shared" si="12"/>
        <v>20780</v>
      </c>
      <c r="J125" s="1127">
        <f t="shared" si="12"/>
        <v>59924</v>
      </c>
      <c r="K125" s="1127">
        <f t="shared" si="12"/>
        <v>66275</v>
      </c>
      <c r="L125" s="1127">
        <f t="shared" si="12"/>
        <v>63862</v>
      </c>
      <c r="M125" s="1127">
        <f t="shared" si="12"/>
        <v>54688</v>
      </c>
      <c r="N125" s="1127">
        <f t="shared" si="12"/>
        <v>45736</v>
      </c>
      <c r="O125" s="1127">
        <f t="shared" si="12"/>
        <v>37443</v>
      </c>
      <c r="P125" s="1127">
        <f t="shared" si="12"/>
        <v>27746</v>
      </c>
      <c r="Q125" s="1127">
        <f t="shared" si="12"/>
        <v>18415</v>
      </c>
      <c r="R125" s="1127">
        <f t="shared" si="12"/>
        <v>12246</v>
      </c>
      <c r="S125" s="1127">
        <f t="shared" si="12"/>
        <v>7658</v>
      </c>
      <c r="T125" s="1127">
        <f t="shared" si="12"/>
        <v>4999</v>
      </c>
      <c r="U125" s="1127">
        <f t="shared" si="12"/>
        <v>3284</v>
      </c>
      <c r="V125" s="1127">
        <f t="shared" si="12"/>
        <v>2098</v>
      </c>
      <c r="W125" s="1127">
        <f t="shared" si="12"/>
        <v>1703</v>
      </c>
      <c r="X125" s="1127">
        <f t="shared" si="12"/>
        <v>0</v>
      </c>
      <c r="Y125" s="1127">
        <f t="shared" si="12"/>
        <v>68436</v>
      </c>
      <c r="Z125" s="1127">
        <f t="shared" si="12"/>
        <v>107610</v>
      </c>
      <c r="AA125" s="1127">
        <f t="shared" si="12"/>
        <v>49702</v>
      </c>
      <c r="AB125" s="1127">
        <f t="shared" si="12"/>
        <v>59924</v>
      </c>
      <c r="AC125" s="1127">
        <f t="shared" si="12"/>
        <v>130137</v>
      </c>
      <c r="AD125" s="1127">
        <f t="shared" si="12"/>
        <v>100424</v>
      </c>
      <c r="AE125" s="1127">
        <f t="shared" si="12"/>
        <v>65189</v>
      </c>
      <c r="AF125" s="1127">
        <f t="shared" si="12"/>
        <v>30661</v>
      </c>
      <c r="AG125" s="1127">
        <f t="shared" si="12"/>
        <v>12657</v>
      </c>
      <c r="AH125" s="1127">
        <f t="shared" si="12"/>
        <v>5382</v>
      </c>
      <c r="AI125" s="1127">
        <f t="shared" si="12"/>
        <v>1703</v>
      </c>
      <c r="AJ125" s="1127">
        <f t="shared" si="12"/>
        <v>0</v>
      </c>
      <c r="AK125" s="1127">
        <f t="shared" si="12"/>
        <v>225748</v>
      </c>
      <c r="AL125" s="1127">
        <f t="shared" si="12"/>
        <v>406077</v>
      </c>
    </row>
    <row r="126" spans="1:38">
      <c r="C126" s="1127"/>
      <c r="D126" s="1127"/>
      <c r="E126" s="1127"/>
      <c r="F126" s="1127"/>
      <c r="G126" s="1127"/>
      <c r="H126" s="1127"/>
      <c r="I126" s="1127"/>
      <c r="J126" s="1127"/>
      <c r="K126" s="1127"/>
      <c r="L126" s="1127"/>
      <c r="M126" s="1127"/>
      <c r="N126" s="1127"/>
      <c r="O126" s="1127"/>
      <c r="P126" s="1127"/>
      <c r="Q126" s="1127"/>
      <c r="R126" s="1127"/>
      <c r="S126" s="1127"/>
      <c r="T126" s="1127"/>
      <c r="U126" s="1127"/>
      <c r="V126" s="1127"/>
      <c r="W126" s="1127"/>
    </row>
    <row r="128" spans="1:38">
      <c r="B128" s="1120" t="s">
        <v>1097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AV130"/>
  <sheetViews>
    <sheetView workbookViewId="0">
      <pane xSplit="2" ySplit="6" topLeftCell="C101" activePane="bottomRight" state="frozen"/>
      <selection pane="topRight" activeCell="C1" sqref="C1"/>
      <selection pane="bottomLeft" activeCell="A5" sqref="A5"/>
      <selection pane="bottomRight" activeCell="P4" sqref="P4"/>
    </sheetView>
  </sheetViews>
  <sheetFormatPr defaultRowHeight="12.75"/>
  <cols>
    <col min="1" max="1" width="7.25" style="519" customWidth="1"/>
    <col min="2" max="2" width="27.25" style="519" customWidth="1"/>
    <col min="3" max="3" width="10.125" style="519" customWidth="1"/>
    <col min="4" max="4" width="5.625" style="519" bestFit="1" customWidth="1"/>
    <col min="5" max="5" width="5.875" style="519" customWidth="1"/>
    <col min="6" max="6" width="5.875" style="519" bestFit="1" customWidth="1"/>
    <col min="7" max="7" width="7" style="519" customWidth="1"/>
    <col min="8" max="8" width="5.875" style="519" bestFit="1" customWidth="1"/>
    <col min="9" max="9" width="6.75" style="519" customWidth="1"/>
    <col min="10" max="10" width="5.5" style="519" customWidth="1"/>
    <col min="11" max="12" width="5.875" style="519" bestFit="1" customWidth="1"/>
    <col min="13" max="14" width="7" style="519" customWidth="1"/>
    <col min="15" max="15" width="3.25" style="519" customWidth="1"/>
    <col min="16" max="16" width="9.875" style="519" bestFit="1" customWidth="1"/>
    <col min="17" max="17" width="9.625" style="519" bestFit="1" customWidth="1"/>
    <col min="18" max="18" width="11.625" style="519" bestFit="1" customWidth="1"/>
    <col min="19" max="19" width="9.875" style="519" bestFit="1" customWidth="1"/>
    <col min="20" max="20" width="9.625" style="519" bestFit="1" customWidth="1"/>
    <col min="21" max="21" width="13" style="519" bestFit="1" customWidth="1"/>
    <col min="22" max="22" width="9.875" style="519" bestFit="1" customWidth="1"/>
    <col min="23" max="23" width="9.625" style="519" bestFit="1" customWidth="1"/>
    <col min="24" max="24" width="11.75" style="519" customWidth="1"/>
    <col min="25" max="25" width="9" style="519" customWidth="1"/>
    <col min="26" max="26" width="9.625" style="519" bestFit="1" customWidth="1"/>
    <col min="27" max="27" width="11.625" style="519" bestFit="1" customWidth="1"/>
    <col min="28" max="28" width="8.625" style="519" customWidth="1"/>
    <col min="29" max="29" width="9.625" style="519" bestFit="1" customWidth="1"/>
    <col min="30" max="30" width="13.25" style="519" customWidth="1"/>
    <col min="31" max="31" width="8.875" style="519" customWidth="1"/>
    <col min="32" max="32" width="9.625" style="519" bestFit="1" customWidth="1"/>
    <col min="33" max="33" width="11.625" style="519" bestFit="1" customWidth="1"/>
    <col min="34" max="34" width="9.375" style="519" customWidth="1"/>
    <col min="35" max="35" width="9.625" style="519" bestFit="1" customWidth="1"/>
    <col min="36" max="36" width="11.625" style="519" bestFit="1" customWidth="1"/>
    <col min="37" max="37" width="8.875" style="519" customWidth="1"/>
    <col min="38" max="38" width="9.625" style="519" bestFit="1" customWidth="1"/>
    <col min="39" max="39" width="11.625" style="519" bestFit="1" customWidth="1"/>
    <col min="40" max="40" width="8.875" style="519" bestFit="1" customWidth="1"/>
    <col min="41" max="41" width="9.625" style="519" bestFit="1" customWidth="1"/>
    <col min="42" max="42" width="11.625" style="519" bestFit="1" customWidth="1"/>
    <col min="43" max="43" width="9.125" style="519" customWidth="1"/>
    <col min="44" max="44" width="9.625" style="519" bestFit="1" customWidth="1"/>
    <col min="45" max="45" width="11.625" style="519" bestFit="1" customWidth="1"/>
    <col min="46" max="46" width="8.625" style="519" customWidth="1"/>
    <col min="47" max="47" width="9.625" style="519" bestFit="1" customWidth="1"/>
    <col min="48" max="48" width="11.625" style="519" bestFit="1" customWidth="1"/>
    <col min="49" max="16384" width="9" style="519"/>
  </cols>
  <sheetData>
    <row r="1" spans="1:48" ht="15.75">
      <c r="A1" s="518" t="s">
        <v>1170</v>
      </c>
    </row>
    <row r="4" spans="1:48" ht="15.75">
      <c r="A4" s="1306" t="s">
        <v>1171</v>
      </c>
      <c r="B4" s="1306"/>
      <c r="C4" s="1306"/>
      <c r="D4" s="1307"/>
      <c r="E4" s="1307"/>
      <c r="F4" s="1307"/>
      <c r="G4" s="1307"/>
      <c r="H4" s="1307"/>
      <c r="I4" s="1307"/>
      <c r="J4" s="1307"/>
      <c r="K4" s="1307"/>
      <c r="L4" s="1307"/>
      <c r="M4" s="1307"/>
      <c r="N4" s="520"/>
      <c r="Y4" s="521"/>
      <c r="AQ4" s="521"/>
      <c r="AT4" s="1310"/>
      <c r="AU4" s="1310"/>
      <c r="AV4" s="1310"/>
    </row>
    <row r="5" spans="1:48" ht="42" customHeight="1">
      <c r="A5" s="522" t="s">
        <v>4</v>
      </c>
      <c r="B5" s="523" t="s">
        <v>5</v>
      </c>
      <c r="C5" s="524" t="s">
        <v>253</v>
      </c>
      <c r="D5" s="640">
        <v>2001</v>
      </c>
      <c r="E5" s="641">
        <v>2002</v>
      </c>
      <c r="F5" s="641">
        <v>2003</v>
      </c>
      <c r="G5" s="641">
        <v>2004</v>
      </c>
      <c r="H5" s="641">
        <v>2005</v>
      </c>
      <c r="I5" s="641">
        <v>2006</v>
      </c>
      <c r="J5" s="641">
        <v>2007</v>
      </c>
      <c r="K5" s="641">
        <v>2008</v>
      </c>
      <c r="L5" s="641">
        <v>2009</v>
      </c>
      <c r="M5" s="641">
        <v>2010</v>
      </c>
      <c r="N5" s="642" t="s">
        <v>836</v>
      </c>
      <c r="O5" s="525"/>
      <c r="P5" s="605" t="s">
        <v>656</v>
      </c>
      <c r="Q5" s="606" t="s">
        <v>657</v>
      </c>
      <c r="R5" s="617" t="s">
        <v>658</v>
      </c>
      <c r="S5" s="631" t="s">
        <v>659</v>
      </c>
      <c r="T5" s="627" t="s">
        <v>660</v>
      </c>
      <c r="U5" s="628" t="s">
        <v>661</v>
      </c>
      <c r="V5" s="631" t="s">
        <v>662</v>
      </c>
      <c r="W5" s="627" t="s">
        <v>663</v>
      </c>
      <c r="X5" s="628" t="s">
        <v>664</v>
      </c>
      <c r="Y5" s="631" t="s">
        <v>254</v>
      </c>
      <c r="Z5" s="627" t="s">
        <v>255</v>
      </c>
      <c r="AA5" s="628" t="s">
        <v>256</v>
      </c>
      <c r="AB5" s="631" t="s">
        <v>257</v>
      </c>
      <c r="AC5" s="627" t="s">
        <v>258</v>
      </c>
      <c r="AD5" s="628" t="s">
        <v>259</v>
      </c>
      <c r="AE5" s="631" t="s">
        <v>260</v>
      </c>
      <c r="AF5" s="627" t="s">
        <v>261</v>
      </c>
      <c r="AG5" s="628" t="s">
        <v>262</v>
      </c>
      <c r="AH5" s="631" t="s">
        <v>263</v>
      </c>
      <c r="AI5" s="627" t="s">
        <v>264</v>
      </c>
      <c r="AJ5" s="628" t="s">
        <v>265</v>
      </c>
      <c r="AK5" s="631" t="s">
        <v>266</v>
      </c>
      <c r="AL5" s="627" t="s">
        <v>267</v>
      </c>
      <c r="AM5" s="628" t="s">
        <v>268</v>
      </c>
      <c r="AN5" s="629" t="s">
        <v>269</v>
      </c>
      <c r="AO5" s="627" t="s">
        <v>270</v>
      </c>
      <c r="AP5" s="628" t="s">
        <v>271</v>
      </c>
      <c r="AQ5" s="605" t="s">
        <v>845</v>
      </c>
      <c r="AR5" s="606" t="s">
        <v>846</v>
      </c>
      <c r="AS5" s="607" t="s">
        <v>847</v>
      </c>
      <c r="AT5" s="605" t="s">
        <v>848</v>
      </c>
      <c r="AU5" s="606" t="s">
        <v>849</v>
      </c>
      <c r="AV5" s="607" t="s">
        <v>850</v>
      </c>
    </row>
    <row r="6" spans="1:48" ht="15.75">
      <c r="A6" s="603" t="s">
        <v>8</v>
      </c>
      <c r="B6" s="604" t="s">
        <v>9</v>
      </c>
      <c r="C6" s="527"/>
      <c r="D6" s="643">
        <f>+R6</f>
        <v>3.2187783912701044E-2</v>
      </c>
      <c r="E6" s="644">
        <f>+U6</f>
        <v>4.1810282554885593E-2</v>
      </c>
      <c r="F6" s="644">
        <f>+X6</f>
        <v>4.0951027325666245E-2</v>
      </c>
      <c r="G6" s="644">
        <f>+AA6</f>
        <v>3.6983564098822252E-2</v>
      </c>
      <c r="H6" s="644">
        <f>+AD6</f>
        <v>3.5006670478368591E-2</v>
      </c>
      <c r="I6" s="644">
        <f>+AG6</f>
        <v>3.0047576742774661E-2</v>
      </c>
      <c r="J6" s="644">
        <f>+AJ6</f>
        <v>2.9970898696468237E-2</v>
      </c>
      <c r="K6" s="644">
        <f>+AM6</f>
        <v>3.9293121325249841E-2</v>
      </c>
      <c r="L6" s="644">
        <f>+AP6</f>
        <v>6.6504174435482052E-2</v>
      </c>
      <c r="M6" s="644">
        <f>+AS6</f>
        <v>6.9088302581042094E-2</v>
      </c>
      <c r="N6" s="645">
        <f>+AV6</f>
        <v>6.2429897166254779E-2</v>
      </c>
      <c r="O6" s="528"/>
      <c r="P6" s="608">
        <f>SUM(P7:P126)</f>
        <v>3655393</v>
      </c>
      <c r="Q6" s="609">
        <f>SUM(Q7:Q126)</f>
        <v>117659</v>
      </c>
      <c r="R6" s="636">
        <f t="shared" ref="R6:R69" si="0">+Q6/P6</f>
        <v>3.2187783912701044E-2</v>
      </c>
      <c r="S6" s="608">
        <f>SUM(S7:S126)</f>
        <v>3744653</v>
      </c>
      <c r="T6" s="609">
        <f>SUM(T7:T126)</f>
        <v>156565</v>
      </c>
      <c r="U6" s="632">
        <f>+T6/S6</f>
        <v>4.1810282554885593E-2</v>
      </c>
      <c r="V6" s="608">
        <f>SUM(V7:V126)</f>
        <v>3802835</v>
      </c>
      <c r="W6" s="609">
        <f>SUM(W7:W126)</f>
        <v>155730</v>
      </c>
      <c r="X6" s="632">
        <f>+W6/V6</f>
        <v>4.0951027325666245E-2</v>
      </c>
      <c r="Y6" s="608">
        <f>SUM(Y7:Y126)</f>
        <v>3857957</v>
      </c>
      <c r="Z6" s="609">
        <f>SUM(Z7:Z126)</f>
        <v>142681</v>
      </c>
      <c r="AA6" s="632">
        <f>+Z6/Y6</f>
        <v>3.6983564098822252E-2</v>
      </c>
      <c r="AB6" s="608">
        <f>SUM(AB7:AB126)</f>
        <v>3935250</v>
      </c>
      <c r="AC6" s="609">
        <f>SUM(AC7:AC126)</f>
        <v>137760</v>
      </c>
      <c r="AD6" s="632">
        <f>+AC6/AB6</f>
        <v>3.5006670478368591E-2</v>
      </c>
      <c r="AE6" s="608">
        <f>SUM(AE7:AE126)</f>
        <v>4010573</v>
      </c>
      <c r="AF6" s="609">
        <f>SUM(AF7:AF126)</f>
        <v>120508</v>
      </c>
      <c r="AG6" s="632">
        <f>+AF6/AE6</f>
        <v>3.0047576742774661E-2</v>
      </c>
      <c r="AH6" s="608">
        <f>SUM(AH7:AH126)</f>
        <v>4065110</v>
      </c>
      <c r="AI6" s="609">
        <f>SUM(AI7:AI126)</f>
        <v>121835</v>
      </c>
      <c r="AJ6" s="621">
        <f>+AI6/AH6</f>
        <v>2.9970898696468237E-2</v>
      </c>
      <c r="AK6" s="608">
        <f>SUM(AK7:AK126)</f>
        <v>4130723</v>
      </c>
      <c r="AL6" s="609">
        <f>SUM(AL7:AL126)</f>
        <v>162309</v>
      </c>
      <c r="AM6" s="632">
        <f>+AL6/AK6</f>
        <v>3.9293121325249841E-2</v>
      </c>
      <c r="AN6" s="623">
        <f>SUM(AN7:AN126)</f>
        <v>4173738</v>
      </c>
      <c r="AO6" s="609">
        <f>SUM(AO7:AO126)</f>
        <v>277571</v>
      </c>
      <c r="AP6" s="618">
        <f>+AO6/AN6</f>
        <v>6.6504174435482052E-2</v>
      </c>
      <c r="AQ6" s="608">
        <f>SUM(AQ7:AQ126)</f>
        <v>4185325</v>
      </c>
      <c r="AR6" s="609">
        <f>SUM(AR7:AR126)</f>
        <v>289157</v>
      </c>
      <c r="AS6" s="621">
        <f>+AR6/AQ6</f>
        <v>6.9088302581042094E-2</v>
      </c>
      <c r="AT6" s="608">
        <f>SUM(AT7:AT126)</f>
        <v>4306174</v>
      </c>
      <c r="AU6" s="609">
        <f>SUM(AU7:AU126)</f>
        <v>268834</v>
      </c>
      <c r="AV6" s="1201">
        <f>+AU6/AT6</f>
        <v>6.2429897166254779E-2</v>
      </c>
    </row>
    <row r="7" spans="1:48" ht="15" customHeight="1">
      <c r="A7" s="529" t="s">
        <v>10</v>
      </c>
      <c r="B7" s="530" t="s">
        <v>11</v>
      </c>
      <c r="C7" s="531" t="s">
        <v>272</v>
      </c>
      <c r="D7" s="646">
        <f>+R7</f>
        <v>3.3548598949211909E-2</v>
      </c>
      <c r="E7" s="647">
        <f>+U7</f>
        <v>4.1398440362170934E-2</v>
      </c>
      <c r="F7" s="647">
        <f>+X7</f>
        <v>4.3487190018996764E-2</v>
      </c>
      <c r="G7" s="647">
        <f t="shared" ref="G7:G70" si="1">+AA7</f>
        <v>4.57900986010015E-2</v>
      </c>
      <c r="H7" s="647">
        <f t="shared" ref="H7:H70" si="2">+AD7</f>
        <v>4.6037019458946372E-2</v>
      </c>
      <c r="I7" s="647">
        <f t="shared" ref="I7:I70" si="3">+AG7</f>
        <v>4.1579819357597136E-2</v>
      </c>
      <c r="J7" s="647">
        <f t="shared" ref="J7:J70" si="4">+AJ7</f>
        <v>4.0461204844766487E-2</v>
      </c>
      <c r="K7" s="647">
        <f t="shared" ref="K7:K70" si="5">+AM7</f>
        <v>4.9591567852437415E-2</v>
      </c>
      <c r="L7" s="647">
        <f t="shared" ref="L7:L70" si="6">+AP7</f>
        <v>6.6257288817792456E-2</v>
      </c>
      <c r="M7" s="647">
        <f t="shared" ref="M7:M70" si="7">+AS7</f>
        <v>7.2078341701048862E-2</v>
      </c>
      <c r="N7" s="648">
        <f t="shared" ref="N7:N70" si="8">+AV7</f>
        <v>7.1893366918555829E-2</v>
      </c>
      <c r="O7" s="639"/>
      <c r="P7" s="610">
        <v>18272</v>
      </c>
      <c r="Q7" s="611">
        <v>613</v>
      </c>
      <c r="R7" s="637">
        <f t="shared" si="0"/>
        <v>3.3548598949211909E-2</v>
      </c>
      <c r="S7" s="633">
        <v>19107</v>
      </c>
      <c r="T7" s="634">
        <v>791</v>
      </c>
      <c r="U7" s="638">
        <f>+T7/S7</f>
        <v>4.1398440362170934E-2</v>
      </c>
      <c r="V7" s="633">
        <v>19477</v>
      </c>
      <c r="W7" s="634">
        <v>847</v>
      </c>
      <c r="X7" s="638">
        <f>+W7/V7</f>
        <v>4.3487190018996764E-2</v>
      </c>
      <c r="Y7" s="633">
        <v>19371</v>
      </c>
      <c r="Z7" s="634">
        <v>887</v>
      </c>
      <c r="AA7" s="635">
        <f>+Z7/Y7</f>
        <v>4.57900986010015E-2</v>
      </c>
      <c r="AB7" s="633">
        <v>18963</v>
      </c>
      <c r="AC7" s="634">
        <v>873</v>
      </c>
      <c r="AD7" s="635">
        <f>+AC7/AB7</f>
        <v>4.6037019458946372E-2</v>
      </c>
      <c r="AE7" s="633">
        <v>18711</v>
      </c>
      <c r="AF7" s="634">
        <v>778</v>
      </c>
      <c r="AG7" s="635">
        <f>+AF7/AE7</f>
        <v>4.1579819357597136E-2</v>
      </c>
      <c r="AH7" s="610">
        <v>18907</v>
      </c>
      <c r="AI7" s="611">
        <v>765</v>
      </c>
      <c r="AJ7" s="622">
        <f>+AI7/AH7</f>
        <v>4.0461204844766487E-2</v>
      </c>
      <c r="AK7" s="633">
        <v>18975</v>
      </c>
      <c r="AL7" s="634">
        <v>941</v>
      </c>
      <c r="AM7" s="635">
        <f>+AL7/AK7</f>
        <v>4.9591567852437415E-2</v>
      </c>
      <c r="AN7" s="630">
        <v>19379</v>
      </c>
      <c r="AO7" s="611">
        <v>1284</v>
      </c>
      <c r="AP7" s="619">
        <f>+AO7/AN7</f>
        <v>6.6257288817792456E-2</v>
      </c>
      <c r="AQ7" s="610">
        <v>20117</v>
      </c>
      <c r="AR7" s="611">
        <v>1450</v>
      </c>
      <c r="AS7" s="622">
        <f>+AR7/AQ7</f>
        <v>7.2078341701048862E-2</v>
      </c>
      <c r="AT7" s="620">
        <v>19056</v>
      </c>
      <c r="AU7" s="612">
        <v>1370</v>
      </c>
      <c r="AV7" s="613">
        <f t="shared" ref="AV7:AV70" si="9">+AU7/AT7</f>
        <v>7.1893366918555829E-2</v>
      </c>
    </row>
    <row r="8" spans="1:48" ht="15" customHeight="1">
      <c r="A8" s="529" t="s">
        <v>12</v>
      </c>
      <c r="B8" s="532" t="s">
        <v>13</v>
      </c>
      <c r="C8" s="531" t="s">
        <v>273</v>
      </c>
      <c r="D8" s="646">
        <f>+R8</f>
        <v>2.1573084791998182E-2</v>
      </c>
      <c r="E8" s="647">
        <f t="shared" ref="E8:E71" si="10">+U8</f>
        <v>3.1228952449373626E-2</v>
      </c>
      <c r="F8" s="647">
        <f t="shared" ref="F8:F71" si="11">+X8</f>
        <v>3.391626921038686E-2</v>
      </c>
      <c r="G8" s="647">
        <f t="shared" si="1"/>
        <v>3.0472824447222102E-2</v>
      </c>
      <c r="H8" s="647">
        <f t="shared" si="2"/>
        <v>2.79204778014451E-2</v>
      </c>
      <c r="I8" s="647">
        <f t="shared" si="3"/>
        <v>2.3840321585640086E-2</v>
      </c>
      <c r="J8" s="647">
        <f t="shared" si="4"/>
        <v>2.2054556006964595E-2</v>
      </c>
      <c r="K8" s="647">
        <f t="shared" si="5"/>
        <v>2.96482125548777E-2</v>
      </c>
      <c r="L8" s="647">
        <f t="shared" si="6"/>
        <v>5.0672611850060459E-2</v>
      </c>
      <c r="M8" s="647">
        <f t="shared" si="7"/>
        <v>5.4141276078744041E-2</v>
      </c>
      <c r="N8" s="648">
        <f t="shared" si="8"/>
        <v>4.8648357759161931E-2</v>
      </c>
      <c r="O8" s="639"/>
      <c r="P8" s="610">
        <v>43990</v>
      </c>
      <c r="Q8" s="611">
        <v>949</v>
      </c>
      <c r="R8" s="637">
        <f t="shared" si="0"/>
        <v>2.1573084791998182E-2</v>
      </c>
      <c r="S8" s="633">
        <v>44542</v>
      </c>
      <c r="T8" s="634">
        <v>1391</v>
      </c>
      <c r="U8" s="638">
        <f t="shared" ref="U8:U71" si="12">+T8/S8</f>
        <v>3.1228952449373626E-2</v>
      </c>
      <c r="V8" s="633">
        <v>45288</v>
      </c>
      <c r="W8" s="634">
        <v>1536</v>
      </c>
      <c r="X8" s="638">
        <f t="shared" ref="X8:X71" si="13">+W8/V8</f>
        <v>3.391626921038686E-2</v>
      </c>
      <c r="Y8" s="633">
        <v>46402</v>
      </c>
      <c r="Z8" s="634">
        <v>1414</v>
      </c>
      <c r="AA8" s="635">
        <f t="shared" ref="AA8:AA71" si="14">+Z8/Y8</f>
        <v>3.0472824447222102E-2</v>
      </c>
      <c r="AB8" s="633">
        <v>47886</v>
      </c>
      <c r="AC8" s="634">
        <v>1337</v>
      </c>
      <c r="AD8" s="635">
        <f t="shared" ref="AD8:AD71" si="15">+AC8/AB8</f>
        <v>2.79204778014451E-2</v>
      </c>
      <c r="AE8" s="633">
        <v>50251</v>
      </c>
      <c r="AF8" s="634">
        <v>1198</v>
      </c>
      <c r="AG8" s="635">
        <f t="shared" ref="AG8:AG71" si="16">+AF8/AE8</f>
        <v>2.3840321585640086E-2</v>
      </c>
      <c r="AH8" s="610">
        <v>51690</v>
      </c>
      <c r="AI8" s="611">
        <v>1140</v>
      </c>
      <c r="AJ8" s="622">
        <f t="shared" ref="AJ8:AJ71" si="17">+AI8/AH8</f>
        <v>2.2054556006964595E-2</v>
      </c>
      <c r="AK8" s="633">
        <v>52617</v>
      </c>
      <c r="AL8" s="634">
        <v>1560</v>
      </c>
      <c r="AM8" s="635">
        <f t="shared" ref="AM8:AM71" si="18">+AL8/AK8</f>
        <v>2.96482125548777E-2</v>
      </c>
      <c r="AN8" s="630">
        <v>52928</v>
      </c>
      <c r="AO8" s="611">
        <v>2682</v>
      </c>
      <c r="AP8" s="619">
        <f t="shared" ref="AP8:AP71" si="19">+AO8/AN8</f>
        <v>5.0672611850060459E-2</v>
      </c>
      <c r="AQ8" s="610">
        <v>52677</v>
      </c>
      <c r="AR8" s="611">
        <v>2852</v>
      </c>
      <c r="AS8" s="622">
        <f t="shared" ref="AS8:AS71" si="20">+AR8/AQ8</f>
        <v>5.4141276078744041E-2</v>
      </c>
      <c r="AT8" s="620">
        <v>55747</v>
      </c>
      <c r="AU8" s="612">
        <v>2712</v>
      </c>
      <c r="AV8" s="613">
        <f t="shared" si="9"/>
        <v>4.8648357759161931E-2</v>
      </c>
    </row>
    <row r="9" spans="1:48" ht="15" customHeight="1">
      <c r="A9" s="529" t="s">
        <v>16</v>
      </c>
      <c r="B9" s="532" t="s">
        <v>17</v>
      </c>
      <c r="C9" s="531" t="s">
        <v>273</v>
      </c>
      <c r="D9" s="646">
        <f t="shared" ref="D9:D72" si="21">+R9</f>
        <v>4.3324326842448524E-2</v>
      </c>
      <c r="E9" s="647">
        <f t="shared" si="10"/>
        <v>5.5366116295764538E-2</v>
      </c>
      <c r="F9" s="647">
        <f t="shared" si="11"/>
        <v>4.8516797712651896E-2</v>
      </c>
      <c r="G9" s="647">
        <f t="shared" si="1"/>
        <v>4.8531655225019073E-2</v>
      </c>
      <c r="H9" s="647">
        <f t="shared" si="2"/>
        <v>4.9038461538461538E-2</v>
      </c>
      <c r="I9" s="647">
        <f t="shared" si="3"/>
        <v>5.3503184713375798E-2</v>
      </c>
      <c r="J9" s="647">
        <f t="shared" si="4"/>
        <v>4.7184326597599753E-2</v>
      </c>
      <c r="K9" s="647">
        <f t="shared" si="5"/>
        <v>5.7807100219918313E-2</v>
      </c>
      <c r="L9" s="647">
        <f t="shared" si="6"/>
        <v>9.6687370600414074E-2</v>
      </c>
      <c r="M9" s="647">
        <f t="shared" si="7"/>
        <v>9.4781467649136975E-2</v>
      </c>
      <c r="N9" s="648">
        <f t="shared" si="8"/>
        <v>8.5754783841247337E-2</v>
      </c>
      <c r="O9" s="639"/>
      <c r="P9" s="614">
        <v>10733</v>
      </c>
      <c r="Q9" s="615">
        <v>465</v>
      </c>
      <c r="R9" s="637">
        <f t="shared" si="0"/>
        <v>4.3324326842448524E-2</v>
      </c>
      <c r="S9" s="614">
        <v>11144</v>
      </c>
      <c r="T9" s="615">
        <v>617</v>
      </c>
      <c r="U9" s="638">
        <f t="shared" si="12"/>
        <v>5.5366116295764538E-2</v>
      </c>
      <c r="V9" s="614">
        <v>11192</v>
      </c>
      <c r="W9" s="615">
        <v>543</v>
      </c>
      <c r="X9" s="638">
        <f t="shared" si="13"/>
        <v>4.8516797712651896E-2</v>
      </c>
      <c r="Y9" s="614">
        <v>10488</v>
      </c>
      <c r="Z9" s="615">
        <v>509</v>
      </c>
      <c r="AA9" s="635">
        <f t="shared" si="14"/>
        <v>4.8531655225019073E-2</v>
      </c>
      <c r="AB9" s="614">
        <v>10400</v>
      </c>
      <c r="AC9" s="615">
        <v>510</v>
      </c>
      <c r="AD9" s="635">
        <f t="shared" si="15"/>
        <v>4.9038461538461538E-2</v>
      </c>
      <c r="AE9" s="614">
        <v>10205</v>
      </c>
      <c r="AF9" s="615">
        <v>546</v>
      </c>
      <c r="AG9" s="635">
        <f t="shared" si="16"/>
        <v>5.3503184713375798E-2</v>
      </c>
      <c r="AH9" s="614">
        <v>9749</v>
      </c>
      <c r="AI9" s="615">
        <v>460</v>
      </c>
      <c r="AJ9" s="622">
        <f t="shared" si="17"/>
        <v>4.7184326597599753E-2</v>
      </c>
      <c r="AK9" s="614">
        <v>9549</v>
      </c>
      <c r="AL9" s="615">
        <v>552</v>
      </c>
      <c r="AM9" s="635">
        <f t="shared" si="18"/>
        <v>5.7807100219918313E-2</v>
      </c>
      <c r="AN9" s="624">
        <v>9660</v>
      </c>
      <c r="AO9" s="615">
        <v>934</v>
      </c>
      <c r="AP9" s="619">
        <f t="shared" si="19"/>
        <v>9.6687370600414074E-2</v>
      </c>
      <c r="AQ9" s="614">
        <v>9907</v>
      </c>
      <c r="AR9" s="615">
        <v>939</v>
      </c>
      <c r="AS9" s="622">
        <f t="shared" si="20"/>
        <v>9.4781467649136975E-2</v>
      </c>
      <c r="AT9" s="620">
        <v>9877</v>
      </c>
      <c r="AU9" s="612">
        <v>847</v>
      </c>
      <c r="AV9" s="613">
        <f t="shared" si="9"/>
        <v>8.5754783841247337E-2</v>
      </c>
    </row>
    <row r="10" spans="1:48" ht="15" customHeight="1">
      <c r="A10" s="529" t="s">
        <v>18</v>
      </c>
      <c r="B10" s="532" t="s">
        <v>19</v>
      </c>
      <c r="C10" s="531" t="s">
        <v>275</v>
      </c>
      <c r="D10" s="646">
        <f t="shared" si="21"/>
        <v>2.5436662709852467E-2</v>
      </c>
      <c r="E10" s="647">
        <f t="shared" si="10"/>
        <v>3.8499834052439431E-2</v>
      </c>
      <c r="F10" s="647">
        <f t="shared" si="11"/>
        <v>3.9124668435013263E-2</v>
      </c>
      <c r="G10" s="647">
        <f t="shared" si="1"/>
        <v>3.5229476405946994E-2</v>
      </c>
      <c r="H10" s="647">
        <f t="shared" si="2"/>
        <v>3.3861106756544912E-2</v>
      </c>
      <c r="I10" s="647">
        <f t="shared" si="3"/>
        <v>2.9393753827311696E-2</v>
      </c>
      <c r="J10" s="647">
        <f t="shared" si="4"/>
        <v>2.7080181543116491E-2</v>
      </c>
      <c r="K10" s="647">
        <f t="shared" si="5"/>
        <v>4.4694391001923933E-2</v>
      </c>
      <c r="L10" s="647">
        <f t="shared" si="6"/>
        <v>7.6356132075471692E-2</v>
      </c>
      <c r="M10" s="647">
        <f t="shared" si="7"/>
        <v>7.7427039904705175E-2</v>
      </c>
      <c r="N10" s="648">
        <f>+AV10</f>
        <v>6.9135433776317756E-2</v>
      </c>
      <c r="O10" s="639"/>
      <c r="P10" s="610">
        <v>5897</v>
      </c>
      <c r="Q10" s="611">
        <v>150</v>
      </c>
      <c r="R10" s="637">
        <f t="shared" si="0"/>
        <v>2.5436662709852467E-2</v>
      </c>
      <c r="S10" s="633">
        <v>6026</v>
      </c>
      <c r="T10" s="634">
        <v>232</v>
      </c>
      <c r="U10" s="638">
        <f t="shared" si="12"/>
        <v>3.8499834052439431E-2</v>
      </c>
      <c r="V10" s="633">
        <v>6032</v>
      </c>
      <c r="W10" s="634">
        <v>236</v>
      </c>
      <c r="X10" s="638">
        <f t="shared" si="13"/>
        <v>3.9124668435013263E-2</v>
      </c>
      <c r="Y10" s="633">
        <v>6188</v>
      </c>
      <c r="Z10" s="634">
        <v>218</v>
      </c>
      <c r="AA10" s="635">
        <f t="shared" si="14"/>
        <v>3.5229476405946994E-2</v>
      </c>
      <c r="AB10" s="633">
        <v>6379</v>
      </c>
      <c r="AC10" s="634">
        <v>216</v>
      </c>
      <c r="AD10" s="635">
        <f t="shared" si="15"/>
        <v>3.3861106756544912E-2</v>
      </c>
      <c r="AE10" s="633">
        <v>6532</v>
      </c>
      <c r="AF10" s="634">
        <v>192</v>
      </c>
      <c r="AG10" s="635">
        <f t="shared" si="16"/>
        <v>2.9393753827311696E-2</v>
      </c>
      <c r="AH10" s="610">
        <v>6610</v>
      </c>
      <c r="AI10" s="611">
        <v>179</v>
      </c>
      <c r="AJ10" s="622">
        <f t="shared" si="17"/>
        <v>2.7080181543116491E-2</v>
      </c>
      <c r="AK10" s="633">
        <v>6757</v>
      </c>
      <c r="AL10" s="634">
        <v>302</v>
      </c>
      <c r="AM10" s="635">
        <f t="shared" si="18"/>
        <v>4.4694391001923933E-2</v>
      </c>
      <c r="AN10" s="630">
        <v>6784</v>
      </c>
      <c r="AO10" s="611">
        <v>518</v>
      </c>
      <c r="AP10" s="619">
        <f t="shared" si="19"/>
        <v>7.6356132075471692E-2</v>
      </c>
      <c r="AQ10" s="610">
        <v>6716</v>
      </c>
      <c r="AR10" s="611">
        <v>520</v>
      </c>
      <c r="AS10" s="622">
        <f t="shared" si="20"/>
        <v>7.7427039904705175E-2</v>
      </c>
      <c r="AT10" s="620">
        <v>6697</v>
      </c>
      <c r="AU10" s="612">
        <v>463</v>
      </c>
      <c r="AV10" s="613">
        <f t="shared" si="9"/>
        <v>6.9135433776317756E-2</v>
      </c>
    </row>
    <row r="11" spans="1:48" ht="15" customHeight="1">
      <c r="A11" s="529" t="s">
        <v>20</v>
      </c>
      <c r="B11" s="532" t="s">
        <v>21</v>
      </c>
      <c r="C11" s="531" t="s">
        <v>273</v>
      </c>
      <c r="D11" s="646">
        <f t="shared" si="21"/>
        <v>3.6382880201098103E-2</v>
      </c>
      <c r="E11" s="647">
        <f t="shared" si="10"/>
        <v>5.460259264108943E-2</v>
      </c>
      <c r="F11" s="647">
        <f t="shared" si="11"/>
        <v>4.9579777184181377E-2</v>
      </c>
      <c r="G11" s="647">
        <f t="shared" si="1"/>
        <v>4.4838646331085946E-2</v>
      </c>
      <c r="H11" s="647">
        <f t="shared" si="2"/>
        <v>4.0535298681148177E-2</v>
      </c>
      <c r="I11" s="647">
        <f t="shared" si="3"/>
        <v>3.1687216508017632E-2</v>
      </c>
      <c r="J11" s="647">
        <f t="shared" si="4"/>
        <v>3.4279866973650548E-2</v>
      </c>
      <c r="K11" s="647">
        <f t="shared" si="5"/>
        <v>4.1089047083801671E-2</v>
      </c>
      <c r="L11" s="647">
        <f t="shared" si="6"/>
        <v>7.646214343673928E-2</v>
      </c>
      <c r="M11" s="647">
        <f t="shared" si="7"/>
        <v>8.4868753154972235E-2</v>
      </c>
      <c r="N11" s="648">
        <f t="shared" si="8"/>
        <v>7.1754352155200096E-2</v>
      </c>
      <c r="O11" s="639"/>
      <c r="P11" s="610">
        <v>15117</v>
      </c>
      <c r="Q11" s="611">
        <v>550</v>
      </c>
      <c r="R11" s="637">
        <f t="shared" si="0"/>
        <v>3.6382880201098103E-2</v>
      </c>
      <c r="S11" s="633">
        <v>15274</v>
      </c>
      <c r="T11" s="634">
        <v>834</v>
      </c>
      <c r="U11" s="638">
        <f t="shared" si="12"/>
        <v>5.460259264108943E-2</v>
      </c>
      <c r="V11" s="633">
        <v>15349</v>
      </c>
      <c r="W11" s="634">
        <v>761</v>
      </c>
      <c r="X11" s="638">
        <f t="shared" si="13"/>
        <v>4.9579777184181377E-2</v>
      </c>
      <c r="Y11" s="633">
        <v>15277</v>
      </c>
      <c r="Z11" s="634">
        <v>685</v>
      </c>
      <c r="AA11" s="635">
        <f t="shared" si="14"/>
        <v>4.4838646331085946E-2</v>
      </c>
      <c r="AB11" s="633">
        <v>15468</v>
      </c>
      <c r="AC11" s="634">
        <v>627</v>
      </c>
      <c r="AD11" s="635">
        <f t="shared" si="15"/>
        <v>4.0535298681148177E-2</v>
      </c>
      <c r="AE11" s="633">
        <v>15653</v>
      </c>
      <c r="AF11" s="634">
        <v>496</v>
      </c>
      <c r="AG11" s="635">
        <f t="shared" si="16"/>
        <v>3.1687216508017632E-2</v>
      </c>
      <c r="AH11" s="610">
        <v>15636</v>
      </c>
      <c r="AI11" s="611">
        <v>536</v>
      </c>
      <c r="AJ11" s="622">
        <f t="shared" si="17"/>
        <v>3.4279866973650548E-2</v>
      </c>
      <c r="AK11" s="633">
        <v>16014</v>
      </c>
      <c r="AL11" s="634">
        <v>658</v>
      </c>
      <c r="AM11" s="635">
        <f t="shared" si="18"/>
        <v>4.1089047083801671E-2</v>
      </c>
      <c r="AN11" s="630">
        <v>16021</v>
      </c>
      <c r="AO11" s="611">
        <v>1225</v>
      </c>
      <c r="AP11" s="619">
        <f t="shared" si="19"/>
        <v>7.646214343673928E-2</v>
      </c>
      <c r="AQ11" s="610">
        <v>15848</v>
      </c>
      <c r="AR11" s="611">
        <v>1345</v>
      </c>
      <c r="AS11" s="622">
        <f t="shared" si="20"/>
        <v>8.4868753154972235E-2</v>
      </c>
      <c r="AT11" s="620">
        <v>15567</v>
      </c>
      <c r="AU11" s="612">
        <v>1117</v>
      </c>
      <c r="AV11" s="613">
        <f t="shared" si="9"/>
        <v>7.1754352155200096E-2</v>
      </c>
    </row>
    <row r="12" spans="1:48" ht="15" customHeight="1">
      <c r="A12" s="529" t="s">
        <v>22</v>
      </c>
      <c r="B12" s="532" t="s">
        <v>23</v>
      </c>
      <c r="C12" s="531" t="s">
        <v>273</v>
      </c>
      <c r="D12" s="646">
        <f t="shared" si="21"/>
        <v>4.311502312397434E-2</v>
      </c>
      <c r="E12" s="647">
        <f t="shared" si="10"/>
        <v>5.6684968096156703E-2</v>
      </c>
      <c r="F12" s="647">
        <f t="shared" si="11"/>
        <v>5.5621127176158157E-2</v>
      </c>
      <c r="G12" s="647">
        <f t="shared" si="1"/>
        <v>4.4738778513612951E-2</v>
      </c>
      <c r="H12" s="647">
        <f t="shared" si="2"/>
        <v>4.6450863695746844E-2</v>
      </c>
      <c r="I12" s="647">
        <f t="shared" si="3"/>
        <v>3.5917901938426457E-2</v>
      </c>
      <c r="J12" s="647">
        <f t="shared" si="4"/>
        <v>3.8325053229240597E-2</v>
      </c>
      <c r="K12" s="647">
        <f t="shared" si="5"/>
        <v>4.4432254525507406E-2</v>
      </c>
      <c r="L12" s="647">
        <f t="shared" si="6"/>
        <v>7.812714540711245E-2</v>
      </c>
      <c r="M12" s="647">
        <f t="shared" si="7"/>
        <v>8.9457748417285987E-2</v>
      </c>
      <c r="N12" s="648">
        <f t="shared" si="8"/>
        <v>7.3837367419091651E-2</v>
      </c>
      <c r="O12" s="639"/>
      <c r="P12" s="610">
        <v>6703</v>
      </c>
      <c r="Q12" s="611">
        <v>289</v>
      </c>
      <c r="R12" s="637">
        <f t="shared" si="0"/>
        <v>4.311502312397434E-2</v>
      </c>
      <c r="S12" s="633">
        <v>6739</v>
      </c>
      <c r="T12" s="634">
        <v>382</v>
      </c>
      <c r="U12" s="638">
        <f t="shared" si="12"/>
        <v>5.6684968096156703E-2</v>
      </c>
      <c r="V12" s="633">
        <v>6778</v>
      </c>
      <c r="W12" s="634">
        <v>377</v>
      </c>
      <c r="X12" s="638">
        <f t="shared" si="13"/>
        <v>5.5621127176158157E-2</v>
      </c>
      <c r="Y12" s="633">
        <v>6795</v>
      </c>
      <c r="Z12" s="634">
        <v>304</v>
      </c>
      <c r="AA12" s="635">
        <f t="shared" si="14"/>
        <v>4.4738778513612951E-2</v>
      </c>
      <c r="AB12" s="633">
        <v>6889</v>
      </c>
      <c r="AC12" s="634">
        <v>320</v>
      </c>
      <c r="AD12" s="635">
        <f t="shared" si="15"/>
        <v>4.6450863695746844E-2</v>
      </c>
      <c r="AE12" s="633">
        <v>7016</v>
      </c>
      <c r="AF12" s="634">
        <v>252</v>
      </c>
      <c r="AG12" s="635">
        <f t="shared" si="16"/>
        <v>3.5917901938426457E-2</v>
      </c>
      <c r="AH12" s="610">
        <v>7045</v>
      </c>
      <c r="AI12" s="611">
        <v>270</v>
      </c>
      <c r="AJ12" s="622">
        <f t="shared" si="17"/>
        <v>3.8325053229240597E-2</v>
      </c>
      <c r="AK12" s="633">
        <v>7292</v>
      </c>
      <c r="AL12" s="634">
        <v>324</v>
      </c>
      <c r="AM12" s="635">
        <f t="shared" si="18"/>
        <v>4.4432254525507406E-2</v>
      </c>
      <c r="AN12" s="630">
        <v>7283</v>
      </c>
      <c r="AO12" s="611">
        <v>569</v>
      </c>
      <c r="AP12" s="619">
        <f t="shared" si="19"/>
        <v>7.812714540711245E-2</v>
      </c>
      <c r="AQ12" s="610">
        <v>7266</v>
      </c>
      <c r="AR12" s="611">
        <v>650</v>
      </c>
      <c r="AS12" s="622">
        <f t="shared" si="20"/>
        <v>8.9457748417285987E-2</v>
      </c>
      <c r="AT12" s="620">
        <v>7354</v>
      </c>
      <c r="AU12" s="612">
        <v>543</v>
      </c>
      <c r="AV12" s="613">
        <f t="shared" si="9"/>
        <v>7.3837367419091651E-2</v>
      </c>
    </row>
    <row r="13" spans="1:48" ht="15" customHeight="1">
      <c r="A13" s="529" t="s">
        <v>24</v>
      </c>
      <c r="B13" s="532" t="s">
        <v>25</v>
      </c>
      <c r="C13" s="531" t="s">
        <v>276</v>
      </c>
      <c r="D13" s="646">
        <f t="shared" si="21"/>
        <v>2.4040972421112927E-2</v>
      </c>
      <c r="E13" s="647">
        <f t="shared" si="10"/>
        <v>2.9707281405837942E-2</v>
      </c>
      <c r="F13" s="647">
        <f t="shared" si="11"/>
        <v>2.6742175270659006E-2</v>
      </c>
      <c r="G13" s="647">
        <f t="shared" si="1"/>
        <v>2.4003933485406609E-2</v>
      </c>
      <c r="H13" s="647">
        <f t="shared" si="2"/>
        <v>2.2886546628027391E-2</v>
      </c>
      <c r="I13" s="647">
        <f t="shared" si="3"/>
        <v>1.9291878251658932E-2</v>
      </c>
      <c r="J13" s="647">
        <f t="shared" si="4"/>
        <v>1.8955913141405972E-2</v>
      </c>
      <c r="K13" s="647">
        <f t="shared" si="5"/>
        <v>2.4454333855455198E-2</v>
      </c>
      <c r="L13" s="647">
        <f t="shared" si="6"/>
        <v>4.192852452865585E-2</v>
      </c>
      <c r="M13" s="647">
        <f t="shared" si="7"/>
        <v>4.2274384685505928E-2</v>
      </c>
      <c r="N13" s="648">
        <f t="shared" si="8"/>
        <v>3.7943956761196544E-2</v>
      </c>
      <c r="O13" s="639"/>
      <c r="P13" s="610">
        <v>118714</v>
      </c>
      <c r="Q13" s="611">
        <v>2854</v>
      </c>
      <c r="R13" s="637">
        <f t="shared" si="0"/>
        <v>2.4040972421112927E-2</v>
      </c>
      <c r="S13" s="633">
        <v>121721</v>
      </c>
      <c r="T13" s="634">
        <v>3616</v>
      </c>
      <c r="U13" s="638">
        <f t="shared" si="12"/>
        <v>2.9707281405837942E-2</v>
      </c>
      <c r="V13" s="633">
        <v>122017</v>
      </c>
      <c r="W13" s="634">
        <v>3263</v>
      </c>
      <c r="X13" s="638">
        <f t="shared" si="13"/>
        <v>2.6742175270659006E-2</v>
      </c>
      <c r="Y13" s="633">
        <v>124063</v>
      </c>
      <c r="Z13" s="634">
        <v>2978</v>
      </c>
      <c r="AA13" s="635">
        <f t="shared" si="14"/>
        <v>2.4003933485406609E-2</v>
      </c>
      <c r="AB13" s="633">
        <v>124571</v>
      </c>
      <c r="AC13" s="634">
        <v>2851</v>
      </c>
      <c r="AD13" s="635">
        <f t="shared" si="15"/>
        <v>2.2886546628027391E-2</v>
      </c>
      <c r="AE13" s="633">
        <v>128396</v>
      </c>
      <c r="AF13" s="634">
        <v>2477</v>
      </c>
      <c r="AG13" s="635">
        <f t="shared" si="16"/>
        <v>1.9291878251658932E-2</v>
      </c>
      <c r="AH13" s="610">
        <v>132307</v>
      </c>
      <c r="AI13" s="611">
        <v>2508</v>
      </c>
      <c r="AJ13" s="622">
        <f t="shared" si="17"/>
        <v>1.8955913141405972E-2</v>
      </c>
      <c r="AK13" s="633">
        <v>136622</v>
      </c>
      <c r="AL13" s="634">
        <v>3341</v>
      </c>
      <c r="AM13" s="635">
        <f t="shared" si="18"/>
        <v>2.4454333855455198E-2</v>
      </c>
      <c r="AN13" s="630">
        <v>138593</v>
      </c>
      <c r="AO13" s="611">
        <v>5811</v>
      </c>
      <c r="AP13" s="619">
        <f t="shared" si="19"/>
        <v>4.192852452865585E-2</v>
      </c>
      <c r="AQ13" s="610">
        <v>140416</v>
      </c>
      <c r="AR13" s="611">
        <v>5936</v>
      </c>
      <c r="AS13" s="622">
        <f t="shared" si="20"/>
        <v>4.2274384685505928E-2</v>
      </c>
      <c r="AT13" s="620">
        <v>136359</v>
      </c>
      <c r="AU13" s="612">
        <v>5174</v>
      </c>
      <c r="AV13" s="613">
        <f t="shared" si="9"/>
        <v>3.7943956761196544E-2</v>
      </c>
    </row>
    <row r="14" spans="1:48" ht="15.75">
      <c r="A14" s="529" t="s">
        <v>26</v>
      </c>
      <c r="B14" s="1129" t="s">
        <v>1114</v>
      </c>
      <c r="C14" s="531" t="s">
        <v>273</v>
      </c>
      <c r="D14" s="646">
        <f t="shared" si="21"/>
        <v>2.9483809830320586E-2</v>
      </c>
      <c r="E14" s="647">
        <f t="shared" si="10"/>
        <v>3.7718668464461452E-2</v>
      </c>
      <c r="F14" s="647">
        <f t="shared" si="11"/>
        <v>3.691635758605151E-2</v>
      </c>
      <c r="G14" s="647">
        <f t="shared" si="1"/>
        <v>3.2337650894351928E-2</v>
      </c>
      <c r="H14" s="647">
        <f t="shared" si="2"/>
        <v>3.1800044910438224E-2</v>
      </c>
      <c r="I14" s="647">
        <f t="shared" si="3"/>
        <v>2.7573340636018212E-2</v>
      </c>
      <c r="J14" s="647">
        <f t="shared" si="4"/>
        <v>2.818160353492765E-2</v>
      </c>
      <c r="K14" s="647">
        <f t="shared" si="5"/>
        <v>3.9600997506234414E-2</v>
      </c>
      <c r="L14" s="647">
        <f t="shared" si="6"/>
        <v>7.0861706181553089E-2</v>
      </c>
      <c r="M14" s="647">
        <f t="shared" si="7"/>
        <v>7.2219397378909908E-2</v>
      </c>
      <c r="N14" s="648">
        <f t="shared" si="8"/>
        <v>6.4627974234257923E-2</v>
      </c>
      <c r="O14" s="639"/>
      <c r="P14" s="614">
        <v>55929</v>
      </c>
      <c r="Q14" s="615">
        <v>1649</v>
      </c>
      <c r="R14" s="637">
        <f t="shared" si="0"/>
        <v>2.9483809830320586E-2</v>
      </c>
      <c r="S14" s="614">
        <v>57107</v>
      </c>
      <c r="T14" s="615">
        <v>2154</v>
      </c>
      <c r="U14" s="638">
        <f t="shared" si="12"/>
        <v>3.7718668464461452E-2</v>
      </c>
      <c r="V14" s="614">
        <v>57698</v>
      </c>
      <c r="W14" s="615">
        <v>2130</v>
      </c>
      <c r="X14" s="638">
        <f t="shared" si="13"/>
        <v>3.691635758605151E-2</v>
      </c>
      <c r="Y14" s="614">
        <v>56745</v>
      </c>
      <c r="Z14" s="615">
        <v>1835</v>
      </c>
      <c r="AA14" s="635">
        <f t="shared" si="14"/>
        <v>3.2337650894351928E-2</v>
      </c>
      <c r="AB14" s="614">
        <v>57893</v>
      </c>
      <c r="AC14" s="615">
        <v>1841</v>
      </c>
      <c r="AD14" s="635">
        <f t="shared" si="15"/>
        <v>3.1800044910438224E-2</v>
      </c>
      <c r="AE14" s="614">
        <v>58426</v>
      </c>
      <c r="AF14" s="615">
        <v>1611</v>
      </c>
      <c r="AG14" s="635">
        <f t="shared" si="16"/>
        <v>2.7573340636018212E-2</v>
      </c>
      <c r="AH14" s="614">
        <v>59294</v>
      </c>
      <c r="AI14" s="615">
        <v>1671</v>
      </c>
      <c r="AJ14" s="622">
        <f t="shared" si="17"/>
        <v>2.818160353492765E-2</v>
      </c>
      <c r="AK14" s="614">
        <v>60150</v>
      </c>
      <c r="AL14" s="615">
        <v>2382</v>
      </c>
      <c r="AM14" s="635">
        <f t="shared" si="18"/>
        <v>3.9600997506234414E-2</v>
      </c>
      <c r="AN14" s="624">
        <v>60357</v>
      </c>
      <c r="AO14" s="615">
        <v>4277</v>
      </c>
      <c r="AP14" s="619">
        <f t="shared" si="19"/>
        <v>7.0861706181553089E-2</v>
      </c>
      <c r="AQ14" s="614">
        <v>60967</v>
      </c>
      <c r="AR14" s="615">
        <v>4403</v>
      </c>
      <c r="AS14" s="622">
        <f t="shared" si="20"/>
        <v>7.2219397378909908E-2</v>
      </c>
      <c r="AT14" s="620">
        <v>60856</v>
      </c>
      <c r="AU14" s="612">
        <v>3933</v>
      </c>
      <c r="AV14" s="613">
        <f t="shared" si="9"/>
        <v>6.4627974234257923E-2</v>
      </c>
    </row>
    <row r="15" spans="1:48" ht="15" customHeight="1">
      <c r="A15" s="529" t="s">
        <v>27</v>
      </c>
      <c r="B15" s="532" t="s">
        <v>28</v>
      </c>
      <c r="C15" s="531" t="s">
        <v>273</v>
      </c>
      <c r="D15" s="646">
        <f t="shared" si="21"/>
        <v>3.6982248520710061E-2</v>
      </c>
      <c r="E15" s="647">
        <f t="shared" si="10"/>
        <v>4.4018459353922609E-2</v>
      </c>
      <c r="F15" s="647">
        <f t="shared" si="11"/>
        <v>4.5735900962861072E-2</v>
      </c>
      <c r="G15" s="647">
        <f t="shared" si="1"/>
        <v>3.5864978902953586E-2</v>
      </c>
      <c r="H15" s="647">
        <f t="shared" si="2"/>
        <v>3.5182679296346414E-2</v>
      </c>
      <c r="I15" s="647">
        <f t="shared" si="3"/>
        <v>3.1893004115226338E-2</v>
      </c>
      <c r="J15" s="647">
        <f t="shared" si="4"/>
        <v>3.1186440677966103E-2</v>
      </c>
      <c r="K15" s="647">
        <f t="shared" si="5"/>
        <v>4.07725321888412E-2</v>
      </c>
      <c r="L15" s="647">
        <f t="shared" si="6"/>
        <v>6.4054257724189906E-2</v>
      </c>
      <c r="M15" s="647">
        <f t="shared" si="7"/>
        <v>6.2796641109894122E-2</v>
      </c>
      <c r="N15" s="648">
        <f t="shared" si="8"/>
        <v>5.4363376251788269E-2</v>
      </c>
      <c r="O15" s="639"/>
      <c r="P15" s="610">
        <v>2704</v>
      </c>
      <c r="Q15" s="611">
        <v>100</v>
      </c>
      <c r="R15" s="637">
        <f t="shared" si="0"/>
        <v>3.6982248520710061E-2</v>
      </c>
      <c r="S15" s="633">
        <v>2817</v>
      </c>
      <c r="T15" s="634">
        <v>124</v>
      </c>
      <c r="U15" s="638">
        <f t="shared" si="12"/>
        <v>4.4018459353922609E-2</v>
      </c>
      <c r="V15" s="633">
        <v>2908</v>
      </c>
      <c r="W15" s="634">
        <v>133</v>
      </c>
      <c r="X15" s="638">
        <f t="shared" si="13"/>
        <v>4.5735900962861072E-2</v>
      </c>
      <c r="Y15" s="633">
        <v>2844</v>
      </c>
      <c r="Z15" s="634">
        <v>102</v>
      </c>
      <c r="AA15" s="635">
        <f t="shared" si="14"/>
        <v>3.5864978902953586E-2</v>
      </c>
      <c r="AB15" s="633">
        <v>2956</v>
      </c>
      <c r="AC15" s="634">
        <v>104</v>
      </c>
      <c r="AD15" s="635">
        <f t="shared" si="15"/>
        <v>3.5182679296346414E-2</v>
      </c>
      <c r="AE15" s="633">
        <v>2916</v>
      </c>
      <c r="AF15" s="634">
        <v>93</v>
      </c>
      <c r="AG15" s="635">
        <f t="shared" si="16"/>
        <v>3.1893004115226338E-2</v>
      </c>
      <c r="AH15" s="610">
        <v>2950</v>
      </c>
      <c r="AI15" s="611">
        <v>92</v>
      </c>
      <c r="AJ15" s="622">
        <f t="shared" si="17"/>
        <v>3.1186440677966103E-2</v>
      </c>
      <c r="AK15" s="633">
        <v>2796</v>
      </c>
      <c r="AL15" s="634">
        <v>114</v>
      </c>
      <c r="AM15" s="635">
        <f t="shared" si="18"/>
        <v>4.07725321888412E-2</v>
      </c>
      <c r="AN15" s="630">
        <v>2654</v>
      </c>
      <c r="AO15" s="611">
        <v>170</v>
      </c>
      <c r="AP15" s="619">
        <f t="shared" si="19"/>
        <v>6.4054257724189906E-2</v>
      </c>
      <c r="AQ15" s="610">
        <v>2739</v>
      </c>
      <c r="AR15" s="611">
        <v>172</v>
      </c>
      <c r="AS15" s="622">
        <f t="shared" si="20"/>
        <v>6.2796641109894122E-2</v>
      </c>
      <c r="AT15" s="620">
        <v>2796</v>
      </c>
      <c r="AU15" s="612">
        <v>152</v>
      </c>
      <c r="AV15" s="613">
        <f t="shared" si="9"/>
        <v>5.4363376251788269E-2</v>
      </c>
    </row>
    <row r="16" spans="1:48" ht="15" customHeight="1">
      <c r="A16" s="529" t="s">
        <v>29</v>
      </c>
      <c r="B16" s="532" t="s">
        <v>355</v>
      </c>
      <c r="C16" s="531" t="s">
        <v>273</v>
      </c>
      <c r="D16" s="646">
        <f t="shared" si="21"/>
        <v>3.3024944372877389E-2</v>
      </c>
      <c r="E16" s="647">
        <f t="shared" si="10"/>
        <v>4.6328395839899152E-2</v>
      </c>
      <c r="F16" s="647">
        <f t="shared" si="11"/>
        <v>4.1594943138527525E-2</v>
      </c>
      <c r="G16" s="647">
        <f t="shared" si="1"/>
        <v>3.7889340836908675E-2</v>
      </c>
      <c r="H16" s="647">
        <f t="shared" si="2"/>
        <v>3.4373218212918465E-2</v>
      </c>
      <c r="I16" s="647">
        <f t="shared" si="3"/>
        <v>2.9164580973206525E-2</v>
      </c>
      <c r="J16" s="647">
        <f t="shared" si="4"/>
        <v>2.9353692246939581E-2</v>
      </c>
      <c r="K16" s="647">
        <f t="shared" si="5"/>
        <v>3.6492755876940619E-2</v>
      </c>
      <c r="L16" s="647">
        <f t="shared" si="6"/>
        <v>6.7187499999999997E-2</v>
      </c>
      <c r="M16" s="647">
        <f t="shared" si="7"/>
        <v>6.9499289211814877E-2</v>
      </c>
      <c r="N16" s="648">
        <f t="shared" si="8"/>
        <v>6.3209581460601183E-2</v>
      </c>
      <c r="O16" s="639"/>
      <c r="P16" s="614">
        <v>34156</v>
      </c>
      <c r="Q16" s="615">
        <v>1128</v>
      </c>
      <c r="R16" s="637">
        <f t="shared" si="0"/>
        <v>3.3024944372877389E-2</v>
      </c>
      <c r="S16" s="614">
        <v>34903</v>
      </c>
      <c r="T16" s="615">
        <v>1617</v>
      </c>
      <c r="U16" s="638">
        <f t="shared" si="12"/>
        <v>4.6328395839899152E-2</v>
      </c>
      <c r="V16" s="614">
        <v>35437</v>
      </c>
      <c r="W16" s="615">
        <v>1474</v>
      </c>
      <c r="X16" s="638">
        <f t="shared" si="13"/>
        <v>4.1594943138527525E-2</v>
      </c>
      <c r="Y16" s="614">
        <v>35894</v>
      </c>
      <c r="Z16" s="615">
        <v>1360</v>
      </c>
      <c r="AA16" s="635">
        <f t="shared" si="14"/>
        <v>3.7889340836908675E-2</v>
      </c>
      <c r="AB16" s="614">
        <v>36831</v>
      </c>
      <c r="AC16" s="615">
        <v>1266</v>
      </c>
      <c r="AD16" s="635">
        <f t="shared" si="15"/>
        <v>3.4373218212918465E-2</v>
      </c>
      <c r="AE16" s="614">
        <v>37957</v>
      </c>
      <c r="AF16" s="615">
        <v>1107</v>
      </c>
      <c r="AG16" s="635">
        <f t="shared" si="16"/>
        <v>2.9164580973206525E-2</v>
      </c>
      <c r="AH16" s="614">
        <v>37985</v>
      </c>
      <c r="AI16" s="615">
        <v>1115</v>
      </c>
      <c r="AJ16" s="622">
        <f t="shared" si="17"/>
        <v>2.9353692246939581E-2</v>
      </c>
      <c r="AK16" s="614">
        <v>38583</v>
      </c>
      <c r="AL16" s="615">
        <v>1408</v>
      </c>
      <c r="AM16" s="635">
        <f t="shared" si="18"/>
        <v>3.6492755876940619E-2</v>
      </c>
      <c r="AN16" s="624">
        <v>38400</v>
      </c>
      <c r="AO16" s="615">
        <v>2580</v>
      </c>
      <c r="AP16" s="619">
        <f t="shared" si="19"/>
        <v>6.7187499999999997E-2</v>
      </c>
      <c r="AQ16" s="614">
        <v>37986</v>
      </c>
      <c r="AR16" s="615">
        <v>2640</v>
      </c>
      <c r="AS16" s="622">
        <f t="shared" si="20"/>
        <v>6.9499289211814877E-2</v>
      </c>
      <c r="AT16" s="620">
        <v>38491</v>
      </c>
      <c r="AU16" s="612">
        <v>2433</v>
      </c>
      <c r="AV16" s="613">
        <f t="shared" si="9"/>
        <v>6.3209581460601183E-2</v>
      </c>
    </row>
    <row r="17" spans="1:48" ht="15" customHeight="1">
      <c r="A17" s="529" t="s">
        <v>31</v>
      </c>
      <c r="B17" s="532" t="s">
        <v>32</v>
      </c>
      <c r="C17" s="531" t="s">
        <v>278</v>
      </c>
      <c r="D17" s="646">
        <f t="shared" si="21"/>
        <v>5.6653491436100128E-2</v>
      </c>
      <c r="E17" s="647">
        <f t="shared" si="10"/>
        <v>5.2787858792477729E-2</v>
      </c>
      <c r="F17" s="647">
        <f t="shared" si="11"/>
        <v>0.05</v>
      </c>
      <c r="G17" s="647">
        <f t="shared" si="1"/>
        <v>4.5015005001667226E-2</v>
      </c>
      <c r="H17" s="647">
        <f t="shared" si="2"/>
        <v>3.9171252832631918E-2</v>
      </c>
      <c r="I17" s="647">
        <f t="shared" si="3"/>
        <v>3.6945812807881777E-2</v>
      </c>
      <c r="J17" s="647">
        <f t="shared" si="4"/>
        <v>3.7254326782047521E-2</v>
      </c>
      <c r="K17" s="647">
        <f t="shared" si="5"/>
        <v>4.7237331806470086E-2</v>
      </c>
      <c r="L17" s="647">
        <f t="shared" si="6"/>
        <v>7.6340162784170648E-2</v>
      </c>
      <c r="M17" s="647">
        <f t="shared" si="7"/>
        <v>6.7262070890315384E-2</v>
      </c>
      <c r="N17" s="648">
        <f t="shared" si="8"/>
        <v>5.9821685360943344E-2</v>
      </c>
      <c r="O17" s="639"/>
      <c r="P17" s="610">
        <v>3036</v>
      </c>
      <c r="Q17" s="611">
        <v>172</v>
      </c>
      <c r="R17" s="637">
        <f t="shared" si="0"/>
        <v>5.6653491436100128E-2</v>
      </c>
      <c r="S17" s="633">
        <v>3031</v>
      </c>
      <c r="T17" s="634">
        <v>160</v>
      </c>
      <c r="U17" s="638">
        <f t="shared" si="12"/>
        <v>5.2787858792477729E-2</v>
      </c>
      <c r="V17" s="633">
        <v>3060</v>
      </c>
      <c r="W17" s="634">
        <v>153</v>
      </c>
      <c r="X17" s="638">
        <f t="shared" si="13"/>
        <v>0.05</v>
      </c>
      <c r="Y17" s="633">
        <v>2999</v>
      </c>
      <c r="Z17" s="634">
        <v>135</v>
      </c>
      <c r="AA17" s="635">
        <f t="shared" si="14"/>
        <v>4.5015005001667226E-2</v>
      </c>
      <c r="AB17" s="633">
        <v>3089</v>
      </c>
      <c r="AC17" s="634">
        <v>121</v>
      </c>
      <c r="AD17" s="635">
        <f t="shared" si="15"/>
        <v>3.9171252832631918E-2</v>
      </c>
      <c r="AE17" s="633">
        <v>3248</v>
      </c>
      <c r="AF17" s="634">
        <v>120</v>
      </c>
      <c r="AG17" s="635">
        <f t="shared" si="16"/>
        <v>3.6945812807881777E-2</v>
      </c>
      <c r="AH17" s="610">
        <v>3409</v>
      </c>
      <c r="AI17" s="611">
        <v>127</v>
      </c>
      <c r="AJ17" s="622">
        <f t="shared" si="17"/>
        <v>3.7254326782047521E-2</v>
      </c>
      <c r="AK17" s="633">
        <v>3493</v>
      </c>
      <c r="AL17" s="634">
        <v>165</v>
      </c>
      <c r="AM17" s="635">
        <f t="shared" si="18"/>
        <v>4.7237331806470086E-2</v>
      </c>
      <c r="AN17" s="630">
        <v>3563</v>
      </c>
      <c r="AO17" s="611">
        <v>272</v>
      </c>
      <c r="AP17" s="619">
        <f t="shared" si="19"/>
        <v>7.6340162784170648E-2</v>
      </c>
      <c r="AQ17" s="610">
        <v>3583</v>
      </c>
      <c r="AR17" s="611">
        <v>241</v>
      </c>
      <c r="AS17" s="622">
        <f t="shared" si="20"/>
        <v>6.7262070890315384E-2</v>
      </c>
      <c r="AT17" s="620">
        <v>3477</v>
      </c>
      <c r="AU17" s="612">
        <v>208</v>
      </c>
      <c r="AV17" s="613">
        <f t="shared" si="9"/>
        <v>5.9821685360943344E-2</v>
      </c>
    </row>
    <row r="18" spans="1:48" ht="15" customHeight="1">
      <c r="A18" s="529" t="s">
        <v>33</v>
      </c>
      <c r="B18" s="532" t="s">
        <v>34</v>
      </c>
      <c r="C18" s="531" t="s">
        <v>273</v>
      </c>
      <c r="D18" s="646">
        <f t="shared" si="21"/>
        <v>2.6597665182332409E-2</v>
      </c>
      <c r="E18" s="647">
        <f t="shared" si="10"/>
        <v>3.6391117311940474E-2</v>
      </c>
      <c r="F18" s="647">
        <f t="shared" si="11"/>
        <v>3.5630291627469425E-2</v>
      </c>
      <c r="G18" s="647">
        <f t="shared" si="1"/>
        <v>3.2599066910765959E-2</v>
      </c>
      <c r="H18" s="647">
        <f t="shared" si="2"/>
        <v>2.9735234215885947E-2</v>
      </c>
      <c r="I18" s="647">
        <f t="shared" si="3"/>
        <v>2.5268908997780434E-2</v>
      </c>
      <c r="J18" s="647">
        <f t="shared" si="4"/>
        <v>2.5991792065663474E-2</v>
      </c>
      <c r="K18" s="647">
        <f t="shared" si="5"/>
        <v>3.245618977855412E-2</v>
      </c>
      <c r="L18" s="647">
        <f t="shared" si="6"/>
        <v>6.2820440588202159E-2</v>
      </c>
      <c r="M18" s="647">
        <f t="shared" si="7"/>
        <v>6.3077883033637761E-2</v>
      </c>
      <c r="N18" s="648">
        <f t="shared" si="8"/>
        <v>5.5490621695330325E-2</v>
      </c>
      <c r="O18" s="639"/>
      <c r="P18" s="610">
        <v>16618</v>
      </c>
      <c r="Q18" s="611">
        <v>442</v>
      </c>
      <c r="R18" s="637">
        <f t="shared" si="0"/>
        <v>2.6597665182332409E-2</v>
      </c>
      <c r="S18" s="633">
        <v>17202</v>
      </c>
      <c r="T18" s="634">
        <v>626</v>
      </c>
      <c r="U18" s="638">
        <f t="shared" si="12"/>
        <v>3.6391117311940474E-2</v>
      </c>
      <c r="V18" s="633">
        <v>17008</v>
      </c>
      <c r="W18" s="634">
        <v>606</v>
      </c>
      <c r="X18" s="638">
        <f t="shared" si="13"/>
        <v>3.5630291627469425E-2</v>
      </c>
      <c r="Y18" s="633">
        <v>16933</v>
      </c>
      <c r="Z18" s="634">
        <v>552</v>
      </c>
      <c r="AA18" s="635">
        <f t="shared" si="14"/>
        <v>3.2599066910765959E-2</v>
      </c>
      <c r="AB18" s="633">
        <v>17185</v>
      </c>
      <c r="AC18" s="634">
        <v>511</v>
      </c>
      <c r="AD18" s="635">
        <f t="shared" si="15"/>
        <v>2.9735234215885947E-2</v>
      </c>
      <c r="AE18" s="633">
        <v>17571</v>
      </c>
      <c r="AF18" s="634">
        <v>444</v>
      </c>
      <c r="AG18" s="635">
        <f t="shared" si="16"/>
        <v>2.5268908997780434E-2</v>
      </c>
      <c r="AH18" s="610">
        <v>17544</v>
      </c>
      <c r="AI18" s="611">
        <v>456</v>
      </c>
      <c r="AJ18" s="622">
        <f t="shared" si="17"/>
        <v>2.5991792065663474E-2</v>
      </c>
      <c r="AK18" s="633">
        <v>17747</v>
      </c>
      <c r="AL18" s="634">
        <v>576</v>
      </c>
      <c r="AM18" s="635">
        <f t="shared" si="18"/>
        <v>3.245618977855412E-2</v>
      </c>
      <c r="AN18" s="630">
        <v>17749</v>
      </c>
      <c r="AO18" s="611">
        <v>1115</v>
      </c>
      <c r="AP18" s="619">
        <f t="shared" si="19"/>
        <v>6.2820440588202159E-2</v>
      </c>
      <c r="AQ18" s="610">
        <v>17629</v>
      </c>
      <c r="AR18" s="611">
        <v>1112</v>
      </c>
      <c r="AS18" s="622">
        <f t="shared" si="20"/>
        <v>6.3077883033637761E-2</v>
      </c>
      <c r="AT18" s="620">
        <v>17967</v>
      </c>
      <c r="AU18" s="612">
        <v>997</v>
      </c>
      <c r="AV18" s="613">
        <f t="shared" si="9"/>
        <v>5.5490621695330325E-2</v>
      </c>
    </row>
    <row r="19" spans="1:48" ht="15" customHeight="1">
      <c r="A19" s="529" t="s">
        <v>37</v>
      </c>
      <c r="B19" s="532" t="s">
        <v>38</v>
      </c>
      <c r="C19" s="531" t="s">
        <v>272</v>
      </c>
      <c r="D19" s="646">
        <f t="shared" si="21"/>
        <v>5.4026354319180091E-2</v>
      </c>
      <c r="E19" s="647">
        <f t="shared" si="10"/>
        <v>6.3566117509841091E-2</v>
      </c>
      <c r="F19" s="647">
        <f t="shared" si="11"/>
        <v>6.9684420962444663E-2</v>
      </c>
      <c r="G19" s="647">
        <f t="shared" si="1"/>
        <v>6.4218841427735512E-2</v>
      </c>
      <c r="H19" s="647">
        <f t="shared" si="2"/>
        <v>5.0703399765533411E-2</v>
      </c>
      <c r="I19" s="647">
        <f t="shared" si="3"/>
        <v>4.7363068429463896E-2</v>
      </c>
      <c r="J19" s="647">
        <f t="shared" si="4"/>
        <v>4.7398843930635835E-2</v>
      </c>
      <c r="K19" s="647">
        <f t="shared" si="5"/>
        <v>6.5795083132016485E-2</v>
      </c>
      <c r="L19" s="647">
        <f t="shared" si="6"/>
        <v>0.11407056198577604</v>
      </c>
      <c r="M19" s="647">
        <f t="shared" si="7"/>
        <v>0.11707109408258834</v>
      </c>
      <c r="N19" s="648">
        <f t="shared" si="8"/>
        <v>0.10662031001014052</v>
      </c>
      <c r="O19" s="639"/>
      <c r="P19" s="610">
        <v>6830</v>
      </c>
      <c r="Q19" s="611">
        <v>369</v>
      </c>
      <c r="R19" s="637">
        <f t="shared" si="0"/>
        <v>5.4026354319180091E-2</v>
      </c>
      <c r="S19" s="633">
        <v>6859</v>
      </c>
      <c r="T19" s="634">
        <v>436</v>
      </c>
      <c r="U19" s="638">
        <f t="shared" si="12"/>
        <v>6.3566117509841091E-2</v>
      </c>
      <c r="V19" s="633">
        <v>7003</v>
      </c>
      <c r="W19" s="634">
        <v>488</v>
      </c>
      <c r="X19" s="638">
        <f t="shared" si="13"/>
        <v>6.9684420962444663E-2</v>
      </c>
      <c r="Y19" s="633">
        <v>6836</v>
      </c>
      <c r="Z19" s="634">
        <v>439</v>
      </c>
      <c r="AA19" s="635">
        <f t="shared" si="14"/>
        <v>6.4218841427735512E-2</v>
      </c>
      <c r="AB19" s="633">
        <v>6824</v>
      </c>
      <c r="AC19" s="634">
        <v>346</v>
      </c>
      <c r="AD19" s="635">
        <f t="shared" si="15"/>
        <v>5.0703399765533411E-2</v>
      </c>
      <c r="AE19" s="633">
        <v>6883</v>
      </c>
      <c r="AF19" s="634">
        <v>326</v>
      </c>
      <c r="AG19" s="635">
        <f t="shared" si="16"/>
        <v>4.7363068429463896E-2</v>
      </c>
      <c r="AH19" s="610">
        <v>6920</v>
      </c>
      <c r="AI19" s="611">
        <v>328</v>
      </c>
      <c r="AJ19" s="622">
        <f t="shared" si="17"/>
        <v>4.7398843930635835E-2</v>
      </c>
      <c r="AK19" s="633">
        <v>7037</v>
      </c>
      <c r="AL19" s="634">
        <v>463</v>
      </c>
      <c r="AM19" s="635">
        <f t="shared" si="18"/>
        <v>6.5795083132016485E-2</v>
      </c>
      <c r="AN19" s="630">
        <v>7171</v>
      </c>
      <c r="AO19" s="611">
        <v>818</v>
      </c>
      <c r="AP19" s="619">
        <f t="shared" si="19"/>
        <v>0.11407056198577604</v>
      </c>
      <c r="AQ19" s="610">
        <v>7047</v>
      </c>
      <c r="AR19" s="611">
        <v>825</v>
      </c>
      <c r="AS19" s="622">
        <f t="shared" si="20"/>
        <v>0.11707109408258834</v>
      </c>
      <c r="AT19" s="620">
        <v>6903</v>
      </c>
      <c r="AU19" s="612">
        <v>736</v>
      </c>
      <c r="AV19" s="613">
        <f t="shared" si="9"/>
        <v>0.10662031001014052</v>
      </c>
    </row>
    <row r="20" spans="1:48" ht="15" customHeight="1">
      <c r="A20" s="529" t="s">
        <v>39</v>
      </c>
      <c r="B20" s="532" t="s">
        <v>40</v>
      </c>
      <c r="C20" s="531" t="s">
        <v>278</v>
      </c>
      <c r="D20" s="646">
        <f t="shared" si="21"/>
        <v>6.0146975692481626E-2</v>
      </c>
      <c r="E20" s="647">
        <f t="shared" si="10"/>
        <v>7.0692520775623269E-2</v>
      </c>
      <c r="F20" s="647">
        <f t="shared" si="11"/>
        <v>6.9593386952636282E-2</v>
      </c>
      <c r="G20" s="647">
        <f t="shared" si="1"/>
        <v>5.622632575757576E-2</v>
      </c>
      <c r="H20" s="647">
        <f t="shared" si="2"/>
        <v>5.2948113207547172E-2</v>
      </c>
      <c r="I20" s="647">
        <f t="shared" si="3"/>
        <v>4.869134638057062E-2</v>
      </c>
      <c r="J20" s="647">
        <f t="shared" si="4"/>
        <v>4.8072510325837543E-2</v>
      </c>
      <c r="K20" s="647">
        <f t="shared" si="5"/>
        <v>4.9765153209572803E-2</v>
      </c>
      <c r="L20" s="647">
        <f t="shared" si="6"/>
        <v>8.9664987957083428E-2</v>
      </c>
      <c r="M20" s="647">
        <f t="shared" si="7"/>
        <v>8.236536430834214E-2</v>
      </c>
      <c r="N20" s="648">
        <f t="shared" si="8"/>
        <v>7.3265456072215809E-2</v>
      </c>
      <c r="O20" s="639"/>
      <c r="P20" s="610">
        <v>8845</v>
      </c>
      <c r="Q20" s="611">
        <v>532</v>
      </c>
      <c r="R20" s="637">
        <f t="shared" si="0"/>
        <v>6.0146975692481626E-2</v>
      </c>
      <c r="S20" s="633">
        <v>9025</v>
      </c>
      <c r="T20" s="634">
        <v>638</v>
      </c>
      <c r="U20" s="638">
        <f t="shared" si="12"/>
        <v>7.0692520775623269E-2</v>
      </c>
      <c r="V20" s="633">
        <v>8952</v>
      </c>
      <c r="W20" s="634">
        <v>623</v>
      </c>
      <c r="X20" s="638">
        <f t="shared" si="13"/>
        <v>6.9593386952636282E-2</v>
      </c>
      <c r="Y20" s="633">
        <v>8448</v>
      </c>
      <c r="Z20" s="634">
        <v>475</v>
      </c>
      <c r="AA20" s="635">
        <f t="shared" si="14"/>
        <v>5.622632575757576E-2</v>
      </c>
      <c r="AB20" s="633">
        <v>8480</v>
      </c>
      <c r="AC20" s="634">
        <v>449</v>
      </c>
      <c r="AD20" s="635">
        <f t="shared" si="15"/>
        <v>5.2948113207547172E-2</v>
      </c>
      <c r="AE20" s="633">
        <v>8482</v>
      </c>
      <c r="AF20" s="634">
        <v>413</v>
      </c>
      <c r="AG20" s="635">
        <f t="shared" si="16"/>
        <v>4.869134638057062E-2</v>
      </c>
      <c r="AH20" s="610">
        <v>8716</v>
      </c>
      <c r="AI20" s="611">
        <v>419</v>
      </c>
      <c r="AJ20" s="622">
        <f t="shared" si="17"/>
        <v>4.8072510325837543E-2</v>
      </c>
      <c r="AK20" s="633">
        <v>8942</v>
      </c>
      <c r="AL20" s="634">
        <v>445</v>
      </c>
      <c r="AM20" s="635">
        <f t="shared" si="18"/>
        <v>4.9765153209572803E-2</v>
      </c>
      <c r="AN20" s="630">
        <v>9134</v>
      </c>
      <c r="AO20" s="611">
        <v>819</v>
      </c>
      <c r="AP20" s="619">
        <f t="shared" si="19"/>
        <v>8.9664987957083428E-2</v>
      </c>
      <c r="AQ20" s="610">
        <v>9470</v>
      </c>
      <c r="AR20" s="611">
        <v>780</v>
      </c>
      <c r="AS20" s="622">
        <f t="shared" si="20"/>
        <v>8.236536430834214E-2</v>
      </c>
      <c r="AT20" s="620">
        <v>9527</v>
      </c>
      <c r="AU20" s="612">
        <v>698</v>
      </c>
      <c r="AV20" s="613">
        <f t="shared" si="9"/>
        <v>7.3265456072215809E-2</v>
      </c>
    </row>
    <row r="21" spans="1:48" ht="15" customHeight="1">
      <c r="A21" s="529" t="s">
        <v>41</v>
      </c>
      <c r="B21" s="532" t="s">
        <v>42</v>
      </c>
      <c r="C21" s="531" t="s">
        <v>275</v>
      </c>
      <c r="D21" s="646">
        <f t="shared" si="21"/>
        <v>3.4309758860657062E-2</v>
      </c>
      <c r="E21" s="647">
        <f t="shared" si="10"/>
        <v>3.8498402555910541E-2</v>
      </c>
      <c r="F21" s="647">
        <f t="shared" si="11"/>
        <v>4.3625192012288788E-2</v>
      </c>
      <c r="G21" s="647">
        <f t="shared" si="1"/>
        <v>4.2060212514757972E-2</v>
      </c>
      <c r="H21" s="647">
        <f t="shared" si="2"/>
        <v>4.2786214953271028E-2</v>
      </c>
      <c r="I21" s="647">
        <f t="shared" si="3"/>
        <v>3.5123367198838899E-2</v>
      </c>
      <c r="J21" s="647">
        <f t="shared" si="4"/>
        <v>3.4061879080329267E-2</v>
      </c>
      <c r="K21" s="647">
        <f t="shared" si="5"/>
        <v>4.8877874156684563E-2</v>
      </c>
      <c r="L21" s="647">
        <f t="shared" si="6"/>
        <v>8.1857804412966501E-2</v>
      </c>
      <c r="M21" s="647">
        <f t="shared" si="7"/>
        <v>9.3547104809858228E-2</v>
      </c>
      <c r="N21" s="648">
        <f t="shared" si="8"/>
        <v>8.5650577124868829E-2</v>
      </c>
      <c r="O21" s="639"/>
      <c r="P21" s="610">
        <v>6179</v>
      </c>
      <c r="Q21" s="611">
        <v>212</v>
      </c>
      <c r="R21" s="637">
        <f t="shared" si="0"/>
        <v>3.4309758860657062E-2</v>
      </c>
      <c r="S21" s="633">
        <v>6260</v>
      </c>
      <c r="T21" s="634">
        <v>241</v>
      </c>
      <c r="U21" s="638">
        <f t="shared" si="12"/>
        <v>3.8498402555910541E-2</v>
      </c>
      <c r="V21" s="633">
        <v>6510</v>
      </c>
      <c r="W21" s="634">
        <v>284</v>
      </c>
      <c r="X21" s="638">
        <f t="shared" si="13"/>
        <v>4.3625192012288788E-2</v>
      </c>
      <c r="Y21" s="633">
        <v>6776</v>
      </c>
      <c r="Z21" s="634">
        <v>285</v>
      </c>
      <c r="AA21" s="635">
        <f t="shared" si="14"/>
        <v>4.2060212514757972E-2</v>
      </c>
      <c r="AB21" s="633">
        <v>6848</v>
      </c>
      <c r="AC21" s="634">
        <v>293</v>
      </c>
      <c r="AD21" s="635">
        <f t="shared" si="15"/>
        <v>4.2786214953271028E-2</v>
      </c>
      <c r="AE21" s="633">
        <v>6890</v>
      </c>
      <c r="AF21" s="634">
        <v>242</v>
      </c>
      <c r="AG21" s="635">
        <f t="shared" si="16"/>
        <v>3.5123367198838899E-2</v>
      </c>
      <c r="AH21" s="610">
        <v>7046</v>
      </c>
      <c r="AI21" s="611">
        <v>240</v>
      </c>
      <c r="AJ21" s="622">
        <f t="shared" si="17"/>
        <v>3.4061879080329267E-2</v>
      </c>
      <c r="AK21" s="633">
        <v>7263</v>
      </c>
      <c r="AL21" s="634">
        <v>355</v>
      </c>
      <c r="AM21" s="635">
        <f t="shared" si="18"/>
        <v>4.8877874156684563E-2</v>
      </c>
      <c r="AN21" s="630">
        <v>7342</v>
      </c>
      <c r="AO21" s="611">
        <v>601</v>
      </c>
      <c r="AP21" s="619">
        <f t="shared" si="19"/>
        <v>8.1857804412966501E-2</v>
      </c>
      <c r="AQ21" s="610">
        <v>7547</v>
      </c>
      <c r="AR21" s="611">
        <v>706</v>
      </c>
      <c r="AS21" s="622">
        <f t="shared" si="20"/>
        <v>9.3547104809858228E-2</v>
      </c>
      <c r="AT21" s="620">
        <v>7624</v>
      </c>
      <c r="AU21" s="612">
        <v>653</v>
      </c>
      <c r="AV21" s="613">
        <f t="shared" si="9"/>
        <v>8.5650577124868829E-2</v>
      </c>
    </row>
    <row r="22" spans="1:48" ht="15" customHeight="1">
      <c r="A22" s="529" t="s">
        <v>43</v>
      </c>
      <c r="B22" s="532" t="s">
        <v>44</v>
      </c>
      <c r="C22" s="531" t="s">
        <v>273</v>
      </c>
      <c r="D22" s="646">
        <f t="shared" si="21"/>
        <v>4.2419119342196263E-2</v>
      </c>
      <c r="E22" s="647">
        <f t="shared" si="10"/>
        <v>5.7055584885737989E-2</v>
      </c>
      <c r="F22" s="647">
        <f t="shared" si="11"/>
        <v>4.9788774894387447E-2</v>
      </c>
      <c r="G22" s="647">
        <f t="shared" si="1"/>
        <v>4.304698443948056E-2</v>
      </c>
      <c r="H22" s="647">
        <f t="shared" si="2"/>
        <v>3.9052639394164375E-2</v>
      </c>
      <c r="I22" s="647">
        <f t="shared" si="3"/>
        <v>3.1732700383421582E-2</v>
      </c>
      <c r="J22" s="647">
        <f t="shared" si="4"/>
        <v>3.3743896217476858E-2</v>
      </c>
      <c r="K22" s="647">
        <f t="shared" si="5"/>
        <v>3.9572729227901643E-2</v>
      </c>
      <c r="L22" s="647">
        <f t="shared" si="6"/>
        <v>7.1531324174638561E-2</v>
      </c>
      <c r="M22" s="647">
        <f t="shared" si="7"/>
        <v>7.2958231138119126E-2</v>
      </c>
      <c r="N22" s="648">
        <f t="shared" si="8"/>
        <v>6.7162056460214753E-2</v>
      </c>
      <c r="O22" s="639"/>
      <c r="P22" s="610">
        <v>26026</v>
      </c>
      <c r="Q22" s="611">
        <v>1104</v>
      </c>
      <c r="R22" s="637">
        <f t="shared" si="0"/>
        <v>4.2419119342196263E-2</v>
      </c>
      <c r="S22" s="633">
        <v>26518</v>
      </c>
      <c r="T22" s="634">
        <v>1513</v>
      </c>
      <c r="U22" s="638">
        <f t="shared" si="12"/>
        <v>5.7055584885737989E-2</v>
      </c>
      <c r="V22" s="633">
        <v>26512</v>
      </c>
      <c r="W22" s="634">
        <v>1320</v>
      </c>
      <c r="X22" s="638">
        <f t="shared" si="13"/>
        <v>4.9788774894387447E-2</v>
      </c>
      <c r="Y22" s="633">
        <v>26413</v>
      </c>
      <c r="Z22" s="634">
        <v>1137</v>
      </c>
      <c r="AA22" s="635">
        <f t="shared" si="14"/>
        <v>4.304698443948056E-2</v>
      </c>
      <c r="AB22" s="633">
        <v>26938</v>
      </c>
      <c r="AC22" s="634">
        <v>1052</v>
      </c>
      <c r="AD22" s="635">
        <f t="shared" si="15"/>
        <v>3.9052639394164375E-2</v>
      </c>
      <c r="AE22" s="633">
        <v>27385</v>
      </c>
      <c r="AF22" s="634">
        <v>869</v>
      </c>
      <c r="AG22" s="635">
        <f t="shared" si="16"/>
        <v>3.1732700383421582E-2</v>
      </c>
      <c r="AH22" s="610">
        <v>27442</v>
      </c>
      <c r="AI22" s="611">
        <v>926</v>
      </c>
      <c r="AJ22" s="622">
        <f t="shared" si="17"/>
        <v>3.3743896217476858E-2</v>
      </c>
      <c r="AK22" s="633">
        <v>27898</v>
      </c>
      <c r="AL22" s="634">
        <v>1104</v>
      </c>
      <c r="AM22" s="635">
        <f t="shared" si="18"/>
        <v>3.9572729227901643E-2</v>
      </c>
      <c r="AN22" s="630">
        <v>27806</v>
      </c>
      <c r="AO22" s="611">
        <v>1989</v>
      </c>
      <c r="AP22" s="619">
        <f t="shared" si="19"/>
        <v>7.1531324174638561E-2</v>
      </c>
      <c r="AQ22" s="610">
        <v>27317</v>
      </c>
      <c r="AR22" s="611">
        <v>1993</v>
      </c>
      <c r="AS22" s="622">
        <f t="shared" si="20"/>
        <v>7.2958231138119126E-2</v>
      </c>
      <c r="AT22" s="620">
        <v>28126</v>
      </c>
      <c r="AU22" s="612">
        <v>1889</v>
      </c>
      <c r="AV22" s="613">
        <f t="shared" si="9"/>
        <v>6.7162056460214753E-2</v>
      </c>
    </row>
    <row r="23" spans="1:48" ht="15" customHeight="1">
      <c r="A23" s="529" t="s">
        <v>45</v>
      </c>
      <c r="B23" s="532" t="s">
        <v>46</v>
      </c>
      <c r="C23" s="531" t="s">
        <v>275</v>
      </c>
      <c r="D23" s="646">
        <f t="shared" si="21"/>
        <v>3.0198603427949579E-2</v>
      </c>
      <c r="E23" s="647">
        <f t="shared" si="10"/>
        <v>4.2680776014109349E-2</v>
      </c>
      <c r="F23" s="647">
        <f t="shared" si="11"/>
        <v>4.252577319587629E-2</v>
      </c>
      <c r="G23" s="647">
        <f t="shared" si="1"/>
        <v>3.9278656126482216E-2</v>
      </c>
      <c r="H23" s="647">
        <f t="shared" si="2"/>
        <v>3.7499037499037498E-2</v>
      </c>
      <c r="I23" s="647">
        <f t="shared" si="3"/>
        <v>3.3291870929977319E-2</v>
      </c>
      <c r="J23" s="647">
        <f t="shared" si="4"/>
        <v>3.6650710866614276E-2</v>
      </c>
      <c r="K23" s="647">
        <f t="shared" si="5"/>
        <v>4.7745916006450256E-2</v>
      </c>
      <c r="L23" s="647">
        <f t="shared" si="6"/>
        <v>8.2411080949397919E-2</v>
      </c>
      <c r="M23" s="647">
        <f t="shared" si="7"/>
        <v>9.0643478260869562E-2</v>
      </c>
      <c r="N23" s="648">
        <f t="shared" si="8"/>
        <v>7.9122653569265969E-2</v>
      </c>
      <c r="O23" s="639"/>
      <c r="P23" s="610">
        <v>11027</v>
      </c>
      <c r="Q23" s="611">
        <v>333</v>
      </c>
      <c r="R23" s="637">
        <f t="shared" si="0"/>
        <v>3.0198603427949579E-2</v>
      </c>
      <c r="S23" s="633">
        <v>11340</v>
      </c>
      <c r="T23" s="634">
        <v>484</v>
      </c>
      <c r="U23" s="638">
        <f t="shared" si="12"/>
        <v>4.2680776014109349E-2</v>
      </c>
      <c r="V23" s="633">
        <v>11640</v>
      </c>
      <c r="W23" s="634">
        <v>495</v>
      </c>
      <c r="X23" s="638">
        <f t="shared" si="13"/>
        <v>4.252577319587629E-2</v>
      </c>
      <c r="Y23" s="633">
        <v>12144</v>
      </c>
      <c r="Z23" s="634">
        <v>477</v>
      </c>
      <c r="AA23" s="635">
        <f t="shared" si="14"/>
        <v>3.9278656126482216E-2</v>
      </c>
      <c r="AB23" s="633">
        <v>12987</v>
      </c>
      <c r="AC23" s="634">
        <v>487</v>
      </c>
      <c r="AD23" s="635">
        <f t="shared" si="15"/>
        <v>3.7499037499037498E-2</v>
      </c>
      <c r="AE23" s="633">
        <v>13667</v>
      </c>
      <c r="AF23" s="634">
        <v>455</v>
      </c>
      <c r="AG23" s="635">
        <f t="shared" si="16"/>
        <v>3.3291870929977319E-2</v>
      </c>
      <c r="AH23" s="610">
        <v>13997</v>
      </c>
      <c r="AI23" s="611">
        <v>513</v>
      </c>
      <c r="AJ23" s="622">
        <f t="shared" si="17"/>
        <v>3.6650710866614276E-2</v>
      </c>
      <c r="AK23" s="633">
        <v>14263</v>
      </c>
      <c r="AL23" s="634">
        <v>681</v>
      </c>
      <c r="AM23" s="635">
        <f t="shared" si="18"/>
        <v>4.7745916006450256E-2</v>
      </c>
      <c r="AN23" s="630">
        <v>14367</v>
      </c>
      <c r="AO23" s="611">
        <v>1184</v>
      </c>
      <c r="AP23" s="619">
        <f t="shared" si="19"/>
        <v>8.2411080949397919E-2</v>
      </c>
      <c r="AQ23" s="610">
        <v>14375</v>
      </c>
      <c r="AR23" s="611">
        <v>1303</v>
      </c>
      <c r="AS23" s="622">
        <f t="shared" si="20"/>
        <v>9.0643478260869562E-2</v>
      </c>
      <c r="AT23" s="620">
        <v>14863</v>
      </c>
      <c r="AU23" s="612">
        <v>1176</v>
      </c>
      <c r="AV23" s="613">
        <f t="shared" si="9"/>
        <v>7.9122653569265969E-2</v>
      </c>
    </row>
    <row r="24" spans="1:48" ht="15" customHeight="1">
      <c r="A24" s="529" t="s">
        <v>47</v>
      </c>
      <c r="B24" s="532" t="s">
        <v>48</v>
      </c>
      <c r="C24" s="531" t="s">
        <v>278</v>
      </c>
      <c r="D24" s="646">
        <f t="shared" si="21"/>
        <v>6.8937495767589896E-2</v>
      </c>
      <c r="E24" s="647">
        <f t="shared" si="10"/>
        <v>6.5912610247088124E-2</v>
      </c>
      <c r="F24" s="647">
        <f t="shared" si="11"/>
        <v>5.5688463583200426E-2</v>
      </c>
      <c r="G24" s="647">
        <f t="shared" si="1"/>
        <v>4.9054293101102188E-2</v>
      </c>
      <c r="H24" s="647">
        <f t="shared" si="2"/>
        <v>5.5310648849703818E-2</v>
      </c>
      <c r="I24" s="647">
        <f t="shared" si="3"/>
        <v>5.1267322467150142E-2</v>
      </c>
      <c r="J24" s="647">
        <f t="shared" si="4"/>
        <v>5.567069248910169E-2</v>
      </c>
      <c r="K24" s="647">
        <f t="shared" si="5"/>
        <v>6.6339241227133611E-2</v>
      </c>
      <c r="L24" s="647">
        <f t="shared" si="6"/>
        <v>0.10948600083577099</v>
      </c>
      <c r="M24" s="647">
        <f t="shared" si="7"/>
        <v>0.1102405498281787</v>
      </c>
      <c r="N24" s="648">
        <f t="shared" si="8"/>
        <v>9.3070132758740529E-2</v>
      </c>
      <c r="O24" s="639"/>
      <c r="P24" s="610">
        <v>14767</v>
      </c>
      <c r="Q24" s="611">
        <v>1018</v>
      </c>
      <c r="R24" s="637">
        <f t="shared" si="0"/>
        <v>6.8937495767589896E-2</v>
      </c>
      <c r="S24" s="633">
        <v>14853</v>
      </c>
      <c r="T24" s="634">
        <v>979</v>
      </c>
      <c r="U24" s="638">
        <f t="shared" si="12"/>
        <v>6.5912610247088124E-2</v>
      </c>
      <c r="V24" s="633">
        <v>15048</v>
      </c>
      <c r="W24" s="634">
        <v>838</v>
      </c>
      <c r="X24" s="638">
        <f t="shared" si="13"/>
        <v>5.5688463583200426E-2</v>
      </c>
      <c r="Y24" s="633">
        <v>14698</v>
      </c>
      <c r="Z24" s="634">
        <v>721</v>
      </c>
      <c r="AA24" s="635">
        <f t="shared" si="14"/>
        <v>4.9054293101102188E-2</v>
      </c>
      <c r="AB24" s="633">
        <v>14518</v>
      </c>
      <c r="AC24" s="634">
        <v>803</v>
      </c>
      <c r="AD24" s="635">
        <f t="shared" si="15"/>
        <v>5.5310648849703818E-2</v>
      </c>
      <c r="AE24" s="633">
        <v>13927</v>
      </c>
      <c r="AF24" s="634">
        <v>714</v>
      </c>
      <c r="AG24" s="635">
        <f t="shared" si="16"/>
        <v>5.1267322467150142E-2</v>
      </c>
      <c r="AH24" s="610">
        <v>13993</v>
      </c>
      <c r="AI24" s="611">
        <v>779</v>
      </c>
      <c r="AJ24" s="622">
        <f t="shared" si="17"/>
        <v>5.567069248910169E-2</v>
      </c>
      <c r="AK24" s="633">
        <v>14049</v>
      </c>
      <c r="AL24" s="634">
        <v>932</v>
      </c>
      <c r="AM24" s="635">
        <f t="shared" si="18"/>
        <v>6.6339241227133611E-2</v>
      </c>
      <c r="AN24" s="630">
        <v>14358</v>
      </c>
      <c r="AO24" s="611">
        <v>1572</v>
      </c>
      <c r="AP24" s="619">
        <f t="shared" si="19"/>
        <v>0.10948600083577099</v>
      </c>
      <c r="AQ24" s="610">
        <v>14550</v>
      </c>
      <c r="AR24" s="611">
        <v>1604</v>
      </c>
      <c r="AS24" s="622">
        <f t="shared" si="20"/>
        <v>0.1102405498281787</v>
      </c>
      <c r="AT24" s="620">
        <v>14387</v>
      </c>
      <c r="AU24" s="612">
        <v>1339</v>
      </c>
      <c r="AV24" s="613">
        <f t="shared" si="9"/>
        <v>9.3070132758740529E-2</v>
      </c>
    </row>
    <row r="25" spans="1:48" ht="15" customHeight="1">
      <c r="A25" s="529" t="s">
        <v>49</v>
      </c>
      <c r="B25" s="532" t="s">
        <v>279</v>
      </c>
      <c r="C25" s="531" t="s">
        <v>275</v>
      </c>
      <c r="D25" s="646">
        <f t="shared" si="21"/>
        <v>4.8873201194678251E-2</v>
      </c>
      <c r="E25" s="647">
        <f t="shared" si="10"/>
        <v>5.2097248196633715E-2</v>
      </c>
      <c r="F25" s="647">
        <f t="shared" si="11"/>
        <v>5.0317796610169489E-2</v>
      </c>
      <c r="G25" s="647">
        <f t="shared" si="1"/>
        <v>4.9697607152248226E-2</v>
      </c>
      <c r="H25" s="647">
        <f t="shared" si="2"/>
        <v>4.2973899288162407E-2</v>
      </c>
      <c r="I25" s="647">
        <f t="shared" si="3"/>
        <v>3.8789759503491075E-2</v>
      </c>
      <c r="J25" s="647">
        <f t="shared" si="4"/>
        <v>3.8591916558018254E-2</v>
      </c>
      <c r="K25" s="647">
        <f t="shared" si="5"/>
        <v>4.9716640906749099E-2</v>
      </c>
      <c r="L25" s="647">
        <f t="shared" si="6"/>
        <v>8.8107970460911636E-2</v>
      </c>
      <c r="M25" s="647">
        <f t="shared" si="7"/>
        <v>9.5042383765733374E-2</v>
      </c>
      <c r="N25" s="648">
        <f t="shared" si="8"/>
        <v>8.2403651115618662E-2</v>
      </c>
      <c r="O25" s="639"/>
      <c r="P25" s="610">
        <v>3683</v>
      </c>
      <c r="Q25" s="611">
        <v>180</v>
      </c>
      <c r="R25" s="637">
        <f t="shared" si="0"/>
        <v>4.8873201194678251E-2</v>
      </c>
      <c r="S25" s="633">
        <v>3743</v>
      </c>
      <c r="T25" s="634">
        <v>195</v>
      </c>
      <c r="U25" s="638">
        <f t="shared" si="12"/>
        <v>5.2097248196633715E-2</v>
      </c>
      <c r="V25" s="633">
        <v>3776</v>
      </c>
      <c r="W25" s="634">
        <v>190</v>
      </c>
      <c r="X25" s="638">
        <f t="shared" si="13"/>
        <v>5.0317796610169489E-2</v>
      </c>
      <c r="Y25" s="633">
        <v>3803</v>
      </c>
      <c r="Z25" s="634">
        <v>189</v>
      </c>
      <c r="AA25" s="635">
        <f t="shared" si="14"/>
        <v>4.9697607152248226E-2</v>
      </c>
      <c r="AB25" s="633">
        <v>3793</v>
      </c>
      <c r="AC25" s="634">
        <v>163</v>
      </c>
      <c r="AD25" s="635">
        <f t="shared" si="15"/>
        <v>4.2973899288162407E-2</v>
      </c>
      <c r="AE25" s="633">
        <v>3867</v>
      </c>
      <c r="AF25" s="634">
        <v>150</v>
      </c>
      <c r="AG25" s="635">
        <f t="shared" si="16"/>
        <v>3.8789759503491075E-2</v>
      </c>
      <c r="AH25" s="610">
        <v>3835</v>
      </c>
      <c r="AI25" s="611">
        <v>148</v>
      </c>
      <c r="AJ25" s="622">
        <f t="shared" si="17"/>
        <v>3.8591916558018254E-2</v>
      </c>
      <c r="AK25" s="633">
        <v>3882</v>
      </c>
      <c r="AL25" s="634">
        <v>193</v>
      </c>
      <c r="AM25" s="635">
        <f t="shared" si="18"/>
        <v>4.9716640906749099E-2</v>
      </c>
      <c r="AN25" s="630">
        <v>3927</v>
      </c>
      <c r="AO25" s="611">
        <v>346</v>
      </c>
      <c r="AP25" s="619">
        <f t="shared" si="19"/>
        <v>8.8107970460911636E-2</v>
      </c>
      <c r="AQ25" s="610">
        <v>3893</v>
      </c>
      <c r="AR25" s="611">
        <v>370</v>
      </c>
      <c r="AS25" s="622">
        <f t="shared" si="20"/>
        <v>9.5042383765733374E-2</v>
      </c>
      <c r="AT25" s="620">
        <v>3944</v>
      </c>
      <c r="AU25" s="612">
        <v>325</v>
      </c>
      <c r="AV25" s="613">
        <f t="shared" si="9"/>
        <v>8.2403651115618662E-2</v>
      </c>
    </row>
    <row r="26" spans="1:48" ht="15" customHeight="1">
      <c r="A26" s="529" t="s">
        <v>51</v>
      </c>
      <c r="B26" s="532" t="s">
        <v>52</v>
      </c>
      <c r="C26" s="531" t="s">
        <v>273</v>
      </c>
      <c r="D26" s="646">
        <f t="shared" si="21"/>
        <v>4.2880703683342493E-2</v>
      </c>
      <c r="E26" s="647">
        <f t="shared" si="10"/>
        <v>7.4353448275862072E-2</v>
      </c>
      <c r="F26" s="647">
        <f t="shared" si="11"/>
        <v>6.4985111227885792E-2</v>
      </c>
      <c r="G26" s="647">
        <f t="shared" si="1"/>
        <v>5.9128260092890315E-2</v>
      </c>
      <c r="H26" s="647">
        <f t="shared" si="2"/>
        <v>8.0957602339181284E-2</v>
      </c>
      <c r="I26" s="647">
        <f t="shared" si="3"/>
        <v>6.5180426979028899E-2</v>
      </c>
      <c r="J26" s="647">
        <f t="shared" si="4"/>
        <v>5.2423156703752589E-2</v>
      </c>
      <c r="K26" s="647">
        <f t="shared" si="5"/>
        <v>5.8921009022279508E-2</v>
      </c>
      <c r="L26" s="647">
        <f t="shared" si="6"/>
        <v>9.4979155338046045E-2</v>
      </c>
      <c r="M26" s="647">
        <f t="shared" si="7"/>
        <v>9.208371246587807E-2</v>
      </c>
      <c r="N26" s="648">
        <f t="shared" si="8"/>
        <v>9.0512540894220284E-2</v>
      </c>
      <c r="O26" s="639"/>
      <c r="P26" s="610">
        <v>5457</v>
      </c>
      <c r="Q26" s="611">
        <v>234</v>
      </c>
      <c r="R26" s="637">
        <f t="shared" si="0"/>
        <v>4.2880703683342493E-2</v>
      </c>
      <c r="S26" s="633">
        <v>5568</v>
      </c>
      <c r="T26" s="634">
        <v>414</v>
      </c>
      <c r="U26" s="638">
        <f t="shared" si="12"/>
        <v>7.4353448275862072E-2</v>
      </c>
      <c r="V26" s="633">
        <v>5709</v>
      </c>
      <c r="W26" s="634">
        <v>371</v>
      </c>
      <c r="X26" s="638">
        <f t="shared" si="13"/>
        <v>6.4985111227885792E-2</v>
      </c>
      <c r="Y26" s="633">
        <v>5598</v>
      </c>
      <c r="Z26" s="634">
        <v>331</v>
      </c>
      <c r="AA26" s="635">
        <f t="shared" si="14"/>
        <v>5.9128260092890315E-2</v>
      </c>
      <c r="AB26" s="633">
        <v>5472</v>
      </c>
      <c r="AC26" s="634">
        <v>443</v>
      </c>
      <c r="AD26" s="635">
        <f t="shared" si="15"/>
        <v>8.0957602339181284E-2</v>
      </c>
      <c r="AE26" s="633">
        <v>5293</v>
      </c>
      <c r="AF26" s="634">
        <v>345</v>
      </c>
      <c r="AG26" s="635">
        <f t="shared" si="16"/>
        <v>6.5180426979028899E-2</v>
      </c>
      <c r="AH26" s="610">
        <v>5303</v>
      </c>
      <c r="AI26" s="611">
        <v>278</v>
      </c>
      <c r="AJ26" s="622">
        <f t="shared" si="17"/>
        <v>5.2423156703752589E-2</v>
      </c>
      <c r="AK26" s="633">
        <v>5431</v>
      </c>
      <c r="AL26" s="634">
        <v>320</v>
      </c>
      <c r="AM26" s="635">
        <f t="shared" si="18"/>
        <v>5.8921009022279508E-2</v>
      </c>
      <c r="AN26" s="630">
        <v>5517</v>
      </c>
      <c r="AO26" s="611">
        <v>524</v>
      </c>
      <c r="AP26" s="619">
        <f t="shared" si="19"/>
        <v>9.4979155338046045E-2</v>
      </c>
      <c r="AQ26" s="610">
        <v>5495</v>
      </c>
      <c r="AR26" s="611">
        <v>506</v>
      </c>
      <c r="AS26" s="622">
        <f t="shared" si="20"/>
        <v>9.208371246587807E-2</v>
      </c>
      <c r="AT26" s="620">
        <v>5502</v>
      </c>
      <c r="AU26" s="612">
        <v>498</v>
      </c>
      <c r="AV26" s="613">
        <f t="shared" si="9"/>
        <v>9.0512540894220284E-2</v>
      </c>
    </row>
    <row r="27" spans="1:48" ht="15.75">
      <c r="A27" s="529" t="s">
        <v>57</v>
      </c>
      <c r="B27" s="532" t="s">
        <v>58</v>
      </c>
      <c r="C27" s="531" t="s">
        <v>275</v>
      </c>
      <c r="D27" s="646">
        <f t="shared" si="21"/>
        <v>2.6142125346296587E-2</v>
      </c>
      <c r="E27" s="647">
        <f t="shared" si="10"/>
        <v>3.4532823056692925E-2</v>
      </c>
      <c r="F27" s="647">
        <f t="shared" si="11"/>
        <v>3.5656008270948295E-2</v>
      </c>
      <c r="G27" s="647">
        <f t="shared" si="1"/>
        <v>3.3082360916089674E-2</v>
      </c>
      <c r="H27" s="647">
        <f t="shared" si="2"/>
        <v>3.1665790670343884E-2</v>
      </c>
      <c r="I27" s="647">
        <f t="shared" si="3"/>
        <v>2.7440542629003178E-2</v>
      </c>
      <c r="J27" s="647">
        <f t="shared" si="4"/>
        <v>2.620342716980275E-2</v>
      </c>
      <c r="K27" s="647">
        <f t="shared" si="5"/>
        <v>3.6835054423667316E-2</v>
      </c>
      <c r="L27" s="647">
        <f t="shared" si="6"/>
        <v>6.6742447037321836E-2</v>
      </c>
      <c r="M27" s="647">
        <f t="shared" si="7"/>
        <v>6.965491393825482E-2</v>
      </c>
      <c r="N27" s="648">
        <f t="shared" si="8"/>
        <v>6.2003981562468141E-2</v>
      </c>
      <c r="O27" s="639"/>
      <c r="P27" s="614">
        <v>153048</v>
      </c>
      <c r="Q27" s="615">
        <v>4001</v>
      </c>
      <c r="R27" s="637">
        <f t="shared" si="0"/>
        <v>2.6142125346296587E-2</v>
      </c>
      <c r="S27" s="614">
        <v>157039</v>
      </c>
      <c r="T27" s="615">
        <v>5423</v>
      </c>
      <c r="U27" s="638">
        <f t="shared" si="12"/>
        <v>3.4532823056692925E-2</v>
      </c>
      <c r="V27" s="614">
        <v>160562</v>
      </c>
      <c r="W27" s="615">
        <v>5725</v>
      </c>
      <c r="X27" s="638">
        <f t="shared" si="13"/>
        <v>3.5656008270948295E-2</v>
      </c>
      <c r="Y27" s="614">
        <v>165224</v>
      </c>
      <c r="Z27" s="615">
        <v>5466</v>
      </c>
      <c r="AA27" s="635">
        <f t="shared" si="14"/>
        <v>3.3082360916089674E-2</v>
      </c>
      <c r="AB27" s="614">
        <v>169331</v>
      </c>
      <c r="AC27" s="615">
        <v>5362</v>
      </c>
      <c r="AD27" s="635">
        <f t="shared" si="15"/>
        <v>3.1665790670343884E-2</v>
      </c>
      <c r="AE27" s="614">
        <v>174705</v>
      </c>
      <c r="AF27" s="615">
        <v>4794</v>
      </c>
      <c r="AG27" s="635">
        <f t="shared" si="16"/>
        <v>2.7440542629003178E-2</v>
      </c>
      <c r="AH27" s="614">
        <v>176122</v>
      </c>
      <c r="AI27" s="615">
        <v>4615</v>
      </c>
      <c r="AJ27" s="622">
        <f t="shared" si="17"/>
        <v>2.620342716980275E-2</v>
      </c>
      <c r="AK27" s="614">
        <v>179150</v>
      </c>
      <c r="AL27" s="615">
        <v>6599</v>
      </c>
      <c r="AM27" s="635">
        <f t="shared" si="18"/>
        <v>3.6835054423667316E-2</v>
      </c>
      <c r="AN27" s="624">
        <v>179466</v>
      </c>
      <c r="AO27" s="615">
        <v>11978</v>
      </c>
      <c r="AP27" s="619">
        <f t="shared" si="19"/>
        <v>6.6742447037321836E-2</v>
      </c>
      <c r="AQ27" s="614">
        <v>178767</v>
      </c>
      <c r="AR27" s="615">
        <v>12452</v>
      </c>
      <c r="AS27" s="622">
        <f t="shared" si="20"/>
        <v>6.965491393825482E-2</v>
      </c>
      <c r="AT27" s="620">
        <v>186359</v>
      </c>
      <c r="AU27" s="612">
        <v>11555</v>
      </c>
      <c r="AV27" s="613">
        <f t="shared" si="9"/>
        <v>6.2003981562468141E-2</v>
      </c>
    </row>
    <row r="28" spans="1:48" ht="15" customHeight="1">
      <c r="A28" s="529" t="s">
        <v>59</v>
      </c>
      <c r="B28" s="532" t="s">
        <v>60</v>
      </c>
      <c r="C28" s="531" t="s">
        <v>276</v>
      </c>
      <c r="D28" s="646">
        <f t="shared" si="21"/>
        <v>2.2301136363636363E-2</v>
      </c>
      <c r="E28" s="647">
        <f t="shared" si="10"/>
        <v>3.0128114881036182E-2</v>
      </c>
      <c r="F28" s="647">
        <f t="shared" si="11"/>
        <v>3.0972222222222224E-2</v>
      </c>
      <c r="G28" s="647">
        <f t="shared" si="1"/>
        <v>2.7955271565495207E-2</v>
      </c>
      <c r="H28" s="647">
        <f t="shared" si="2"/>
        <v>2.546059365404299E-2</v>
      </c>
      <c r="I28" s="647">
        <f t="shared" si="3"/>
        <v>2.4014778325123151E-2</v>
      </c>
      <c r="J28" s="647">
        <f t="shared" si="4"/>
        <v>2.6384243775548124E-2</v>
      </c>
      <c r="K28" s="647">
        <f t="shared" si="5"/>
        <v>3.4065934065934063E-2</v>
      </c>
      <c r="L28" s="647">
        <f t="shared" si="6"/>
        <v>6.144320076208621E-2</v>
      </c>
      <c r="M28" s="647">
        <f t="shared" si="7"/>
        <v>5.7146323707837905E-2</v>
      </c>
      <c r="N28" s="648">
        <f t="shared" si="8"/>
        <v>4.962686567164179E-2</v>
      </c>
      <c r="O28" s="639"/>
      <c r="P28" s="610">
        <v>7040</v>
      </c>
      <c r="Q28" s="611">
        <v>157</v>
      </c>
      <c r="R28" s="637">
        <f t="shared" si="0"/>
        <v>2.2301136363636363E-2</v>
      </c>
      <c r="S28" s="633">
        <v>7103</v>
      </c>
      <c r="T28" s="634">
        <v>214</v>
      </c>
      <c r="U28" s="638">
        <f t="shared" si="12"/>
        <v>3.0128114881036182E-2</v>
      </c>
      <c r="V28" s="633">
        <v>7200</v>
      </c>
      <c r="W28" s="634">
        <v>223</v>
      </c>
      <c r="X28" s="638">
        <f t="shared" si="13"/>
        <v>3.0972222222222224E-2</v>
      </c>
      <c r="Y28" s="633">
        <v>7512</v>
      </c>
      <c r="Z28" s="634">
        <v>210</v>
      </c>
      <c r="AA28" s="635">
        <f t="shared" si="14"/>
        <v>2.7955271565495207E-2</v>
      </c>
      <c r="AB28" s="633">
        <v>7816</v>
      </c>
      <c r="AC28" s="634">
        <v>199</v>
      </c>
      <c r="AD28" s="635">
        <f t="shared" si="15"/>
        <v>2.546059365404299E-2</v>
      </c>
      <c r="AE28" s="633">
        <v>8120</v>
      </c>
      <c r="AF28" s="634">
        <v>195</v>
      </c>
      <c r="AG28" s="635">
        <f t="shared" si="16"/>
        <v>2.4014778325123151E-2</v>
      </c>
      <c r="AH28" s="610">
        <v>8073</v>
      </c>
      <c r="AI28" s="611">
        <v>213</v>
      </c>
      <c r="AJ28" s="622">
        <f t="shared" si="17"/>
        <v>2.6384243775548124E-2</v>
      </c>
      <c r="AK28" s="633">
        <v>8190</v>
      </c>
      <c r="AL28" s="634">
        <v>279</v>
      </c>
      <c r="AM28" s="635">
        <f t="shared" si="18"/>
        <v>3.4065934065934063E-2</v>
      </c>
      <c r="AN28" s="630">
        <v>8398</v>
      </c>
      <c r="AO28" s="611">
        <v>516</v>
      </c>
      <c r="AP28" s="619">
        <f t="shared" si="19"/>
        <v>6.144320076208621E-2</v>
      </c>
      <c r="AQ28" s="610">
        <v>8242</v>
      </c>
      <c r="AR28" s="611">
        <v>471</v>
      </c>
      <c r="AS28" s="622">
        <f t="shared" si="20"/>
        <v>5.7146323707837905E-2</v>
      </c>
      <c r="AT28" s="620">
        <v>8040</v>
      </c>
      <c r="AU28" s="612">
        <v>399</v>
      </c>
      <c r="AV28" s="613">
        <f t="shared" si="9"/>
        <v>4.962686567164179E-2</v>
      </c>
    </row>
    <row r="29" spans="1:48" ht="15" customHeight="1">
      <c r="A29" s="529" t="s">
        <v>61</v>
      </c>
      <c r="B29" s="532" t="s">
        <v>62</v>
      </c>
      <c r="C29" s="531" t="s">
        <v>273</v>
      </c>
      <c r="D29" s="646">
        <f t="shared" si="21"/>
        <v>2.9246794871794872E-2</v>
      </c>
      <c r="E29" s="647">
        <f t="shared" si="10"/>
        <v>4.0078585461689589E-2</v>
      </c>
      <c r="F29" s="647">
        <f t="shared" si="11"/>
        <v>4.0873015873015874E-2</v>
      </c>
      <c r="G29" s="647">
        <f t="shared" si="1"/>
        <v>3.8630027877339705E-2</v>
      </c>
      <c r="H29" s="647">
        <f t="shared" si="2"/>
        <v>3.8431061806656099E-2</v>
      </c>
      <c r="I29" s="647">
        <f t="shared" si="3"/>
        <v>3.377329192546584E-2</v>
      </c>
      <c r="J29" s="647">
        <f t="shared" si="4"/>
        <v>3.6850271528316526E-2</v>
      </c>
      <c r="K29" s="647">
        <f t="shared" si="5"/>
        <v>3.9607843137254899E-2</v>
      </c>
      <c r="L29" s="647">
        <f t="shared" si="6"/>
        <v>7.1987480438184662E-2</v>
      </c>
      <c r="M29" s="647">
        <f t="shared" si="7"/>
        <v>7.8042862919530928E-2</v>
      </c>
      <c r="N29" s="648">
        <f t="shared" si="8"/>
        <v>7.544264819091609E-2</v>
      </c>
      <c r="O29" s="639"/>
      <c r="P29" s="610">
        <v>2496</v>
      </c>
      <c r="Q29" s="611">
        <v>73</v>
      </c>
      <c r="R29" s="637">
        <f t="shared" si="0"/>
        <v>2.9246794871794872E-2</v>
      </c>
      <c r="S29" s="633">
        <v>2545</v>
      </c>
      <c r="T29" s="634">
        <v>102</v>
      </c>
      <c r="U29" s="638">
        <f t="shared" si="12"/>
        <v>4.0078585461689589E-2</v>
      </c>
      <c r="V29" s="633">
        <v>2520</v>
      </c>
      <c r="W29" s="634">
        <v>103</v>
      </c>
      <c r="X29" s="638">
        <f t="shared" si="13"/>
        <v>4.0873015873015874E-2</v>
      </c>
      <c r="Y29" s="633">
        <v>2511</v>
      </c>
      <c r="Z29" s="634">
        <v>97</v>
      </c>
      <c r="AA29" s="635">
        <f t="shared" si="14"/>
        <v>3.8630027877339705E-2</v>
      </c>
      <c r="AB29" s="633">
        <v>2524</v>
      </c>
      <c r="AC29" s="634">
        <v>97</v>
      </c>
      <c r="AD29" s="635">
        <f t="shared" si="15"/>
        <v>3.8431061806656099E-2</v>
      </c>
      <c r="AE29" s="633">
        <v>2576</v>
      </c>
      <c r="AF29" s="634">
        <v>87</v>
      </c>
      <c r="AG29" s="635">
        <f t="shared" si="16"/>
        <v>3.377329192546584E-2</v>
      </c>
      <c r="AH29" s="610">
        <v>2578</v>
      </c>
      <c r="AI29" s="611">
        <v>95</v>
      </c>
      <c r="AJ29" s="622">
        <f t="shared" si="17"/>
        <v>3.6850271528316526E-2</v>
      </c>
      <c r="AK29" s="633">
        <v>2550</v>
      </c>
      <c r="AL29" s="634">
        <v>101</v>
      </c>
      <c r="AM29" s="635">
        <f t="shared" si="18"/>
        <v>3.9607843137254899E-2</v>
      </c>
      <c r="AN29" s="630">
        <v>2556</v>
      </c>
      <c r="AO29" s="611">
        <v>184</v>
      </c>
      <c r="AP29" s="619">
        <f t="shared" si="19"/>
        <v>7.1987480438184662E-2</v>
      </c>
      <c r="AQ29" s="610">
        <v>2473</v>
      </c>
      <c r="AR29" s="611">
        <v>193</v>
      </c>
      <c r="AS29" s="622">
        <f t="shared" si="20"/>
        <v>7.8042862919530928E-2</v>
      </c>
      <c r="AT29" s="620">
        <v>2598</v>
      </c>
      <c r="AU29" s="612">
        <v>196</v>
      </c>
      <c r="AV29" s="613">
        <f t="shared" si="9"/>
        <v>7.544264819091609E-2</v>
      </c>
    </row>
    <row r="30" spans="1:48" ht="15" customHeight="1">
      <c r="A30" s="529" t="s">
        <v>63</v>
      </c>
      <c r="B30" s="532" t="s">
        <v>64</v>
      </c>
      <c r="C30" s="531" t="s">
        <v>276</v>
      </c>
      <c r="D30" s="646">
        <f t="shared" si="21"/>
        <v>2.5980789260502256E-2</v>
      </c>
      <c r="E30" s="647">
        <f t="shared" si="10"/>
        <v>3.7692002493906931E-2</v>
      </c>
      <c r="F30" s="647">
        <f t="shared" si="11"/>
        <v>4.0235579040070454E-2</v>
      </c>
      <c r="G30" s="647">
        <f t="shared" si="1"/>
        <v>3.4819323353621756E-2</v>
      </c>
      <c r="H30" s="647">
        <f t="shared" si="2"/>
        <v>3.2431025507548152E-2</v>
      </c>
      <c r="I30" s="647">
        <f t="shared" si="3"/>
        <v>3.1790764362701472E-2</v>
      </c>
      <c r="J30" s="647">
        <f t="shared" si="4"/>
        <v>3.5454724022785308E-2</v>
      </c>
      <c r="K30" s="647">
        <f t="shared" si="5"/>
        <v>4.7832728661447395E-2</v>
      </c>
      <c r="L30" s="647">
        <f t="shared" si="6"/>
        <v>8.0799428979300494E-2</v>
      </c>
      <c r="M30" s="647">
        <f t="shared" si="7"/>
        <v>7.8693392724573125E-2</v>
      </c>
      <c r="N30" s="648">
        <f t="shared" si="8"/>
        <v>6.890000926698174E-2</v>
      </c>
      <c r="O30" s="639"/>
      <c r="P30" s="610">
        <v>17282</v>
      </c>
      <c r="Q30" s="611">
        <v>449</v>
      </c>
      <c r="R30" s="637">
        <f t="shared" si="0"/>
        <v>2.5980789260502256E-2</v>
      </c>
      <c r="S30" s="633">
        <v>17643</v>
      </c>
      <c r="T30" s="634">
        <v>665</v>
      </c>
      <c r="U30" s="638">
        <f t="shared" si="12"/>
        <v>3.7692002493906931E-2</v>
      </c>
      <c r="V30" s="633">
        <v>18168</v>
      </c>
      <c r="W30" s="634">
        <v>731</v>
      </c>
      <c r="X30" s="638">
        <f t="shared" si="13"/>
        <v>4.0235579040070454E-2</v>
      </c>
      <c r="Y30" s="633">
        <v>18237</v>
      </c>
      <c r="Z30" s="634">
        <v>635</v>
      </c>
      <c r="AA30" s="635">
        <f t="shared" si="14"/>
        <v>3.4819323353621756E-2</v>
      </c>
      <c r="AB30" s="633">
        <v>19210</v>
      </c>
      <c r="AC30" s="634">
        <v>623</v>
      </c>
      <c r="AD30" s="635">
        <f t="shared" si="15"/>
        <v>3.2431025507548152E-2</v>
      </c>
      <c r="AE30" s="633">
        <v>20226</v>
      </c>
      <c r="AF30" s="634">
        <v>643</v>
      </c>
      <c r="AG30" s="635">
        <f t="shared" si="16"/>
        <v>3.1790764362701472E-2</v>
      </c>
      <c r="AH30" s="610">
        <v>20364</v>
      </c>
      <c r="AI30" s="611">
        <v>722</v>
      </c>
      <c r="AJ30" s="622">
        <f t="shared" si="17"/>
        <v>3.5454724022785308E-2</v>
      </c>
      <c r="AK30" s="633">
        <v>20948</v>
      </c>
      <c r="AL30" s="634">
        <v>1002</v>
      </c>
      <c r="AM30" s="635">
        <f t="shared" si="18"/>
        <v>4.7832728661447395E-2</v>
      </c>
      <c r="AN30" s="630">
        <v>21015</v>
      </c>
      <c r="AO30" s="611">
        <v>1698</v>
      </c>
      <c r="AP30" s="619">
        <f t="shared" si="19"/>
        <v>8.0799428979300494E-2</v>
      </c>
      <c r="AQ30" s="610">
        <v>21552</v>
      </c>
      <c r="AR30" s="611">
        <v>1696</v>
      </c>
      <c r="AS30" s="622">
        <f t="shared" si="20"/>
        <v>7.8693392724573125E-2</v>
      </c>
      <c r="AT30" s="620">
        <v>21582</v>
      </c>
      <c r="AU30" s="612">
        <v>1487</v>
      </c>
      <c r="AV30" s="613">
        <f t="shared" si="9"/>
        <v>6.890000926698174E-2</v>
      </c>
    </row>
    <row r="31" spans="1:48" ht="15" customHeight="1">
      <c r="A31" s="529" t="s">
        <v>65</v>
      </c>
      <c r="B31" s="532" t="s">
        <v>66</v>
      </c>
      <c r="C31" s="531" t="s">
        <v>275</v>
      </c>
      <c r="D31" s="646">
        <f t="shared" si="21"/>
        <v>2.7877055039313797E-2</v>
      </c>
      <c r="E31" s="647">
        <f t="shared" si="10"/>
        <v>3.6636918741193049E-2</v>
      </c>
      <c r="F31" s="647">
        <f t="shared" si="11"/>
        <v>4.0387722132471729E-2</v>
      </c>
      <c r="G31" s="647">
        <f t="shared" si="1"/>
        <v>3.9041095890410958E-2</v>
      </c>
      <c r="H31" s="647">
        <f t="shared" si="2"/>
        <v>3.8478647686832741E-2</v>
      </c>
      <c r="I31" s="647">
        <f t="shared" si="3"/>
        <v>3.3779337574029393E-2</v>
      </c>
      <c r="J31" s="647">
        <f t="shared" si="4"/>
        <v>3.1567567567567567E-2</v>
      </c>
      <c r="K31" s="647">
        <f t="shared" si="5"/>
        <v>4.7497337593184238E-2</v>
      </c>
      <c r="L31" s="647">
        <f t="shared" si="6"/>
        <v>7.1840923669018605E-2</v>
      </c>
      <c r="M31" s="647">
        <f t="shared" si="7"/>
        <v>7.7763496143958874E-2</v>
      </c>
      <c r="N31" s="648">
        <f t="shared" si="8"/>
        <v>7.1311475409836067E-2</v>
      </c>
      <c r="O31" s="639"/>
      <c r="P31" s="610">
        <v>4197</v>
      </c>
      <c r="Q31" s="611">
        <v>117</v>
      </c>
      <c r="R31" s="637">
        <f t="shared" si="0"/>
        <v>2.7877055039313797E-2</v>
      </c>
      <c r="S31" s="633">
        <v>4258</v>
      </c>
      <c r="T31" s="634">
        <v>156</v>
      </c>
      <c r="U31" s="638">
        <f t="shared" si="12"/>
        <v>3.6636918741193049E-2</v>
      </c>
      <c r="V31" s="633">
        <v>4333</v>
      </c>
      <c r="W31" s="634">
        <v>175</v>
      </c>
      <c r="X31" s="638">
        <f t="shared" si="13"/>
        <v>4.0387722132471729E-2</v>
      </c>
      <c r="Y31" s="633">
        <v>4380</v>
      </c>
      <c r="Z31" s="634">
        <v>171</v>
      </c>
      <c r="AA31" s="635">
        <f t="shared" si="14"/>
        <v>3.9041095890410958E-2</v>
      </c>
      <c r="AB31" s="633">
        <v>4496</v>
      </c>
      <c r="AC31" s="634">
        <v>173</v>
      </c>
      <c r="AD31" s="635">
        <f t="shared" si="15"/>
        <v>3.8478647686832741E-2</v>
      </c>
      <c r="AE31" s="633">
        <v>4559</v>
      </c>
      <c r="AF31" s="634">
        <v>154</v>
      </c>
      <c r="AG31" s="635">
        <f t="shared" si="16"/>
        <v>3.3779337574029393E-2</v>
      </c>
      <c r="AH31" s="610">
        <v>4625</v>
      </c>
      <c r="AI31" s="611">
        <v>146</v>
      </c>
      <c r="AJ31" s="622">
        <f t="shared" si="17"/>
        <v>3.1567567567567567E-2</v>
      </c>
      <c r="AK31" s="633">
        <v>4695</v>
      </c>
      <c r="AL31" s="634">
        <v>223</v>
      </c>
      <c r="AM31" s="635">
        <f t="shared" si="18"/>
        <v>4.7497337593184238E-2</v>
      </c>
      <c r="AN31" s="630">
        <v>4677</v>
      </c>
      <c r="AO31" s="611">
        <v>336</v>
      </c>
      <c r="AP31" s="619">
        <f t="shared" si="19"/>
        <v>7.1840923669018605E-2</v>
      </c>
      <c r="AQ31" s="610">
        <v>4668</v>
      </c>
      <c r="AR31" s="611">
        <v>363</v>
      </c>
      <c r="AS31" s="622">
        <f t="shared" si="20"/>
        <v>7.7763496143958874E-2</v>
      </c>
      <c r="AT31" s="620">
        <v>4880</v>
      </c>
      <c r="AU31" s="612">
        <v>348</v>
      </c>
      <c r="AV31" s="613">
        <f t="shared" si="9"/>
        <v>7.1311475409836067E-2</v>
      </c>
    </row>
    <row r="32" spans="1:48" ht="15" customHeight="1">
      <c r="A32" s="529" t="s">
        <v>69</v>
      </c>
      <c r="B32" s="532" t="s">
        <v>70</v>
      </c>
      <c r="C32" s="531" t="s">
        <v>278</v>
      </c>
      <c r="D32" s="646">
        <f t="shared" si="21"/>
        <v>6.987378818364734E-2</v>
      </c>
      <c r="E32" s="647">
        <f t="shared" si="10"/>
        <v>7.804792107117689E-2</v>
      </c>
      <c r="F32" s="647">
        <f t="shared" si="11"/>
        <v>8.4341455103083995E-2</v>
      </c>
      <c r="G32" s="647">
        <f t="shared" si="1"/>
        <v>6.1293179805137286E-2</v>
      </c>
      <c r="H32" s="647">
        <f t="shared" si="2"/>
        <v>6.3236313236313235E-2</v>
      </c>
      <c r="I32" s="647">
        <f t="shared" si="3"/>
        <v>4.9991229608840553E-2</v>
      </c>
      <c r="J32" s="647">
        <f t="shared" si="4"/>
        <v>5.1502145922746781E-2</v>
      </c>
      <c r="K32" s="647">
        <f t="shared" si="5"/>
        <v>5.6846267918932276E-2</v>
      </c>
      <c r="L32" s="647">
        <f t="shared" si="6"/>
        <v>9.0112640801001245E-2</v>
      </c>
      <c r="M32" s="647">
        <f t="shared" si="7"/>
        <v>8.428143712574851E-2</v>
      </c>
      <c r="N32" s="648">
        <f t="shared" si="8"/>
        <v>8.058005680968755E-2</v>
      </c>
      <c r="O32" s="639"/>
      <c r="P32" s="610">
        <v>5467</v>
      </c>
      <c r="Q32" s="611">
        <v>382</v>
      </c>
      <c r="R32" s="637">
        <f t="shared" si="0"/>
        <v>6.987378818364734E-2</v>
      </c>
      <c r="S32" s="633">
        <v>5676</v>
      </c>
      <c r="T32" s="634">
        <v>443</v>
      </c>
      <c r="U32" s="638">
        <f t="shared" si="12"/>
        <v>7.804792107117689E-2</v>
      </c>
      <c r="V32" s="633">
        <v>5869</v>
      </c>
      <c r="W32" s="634">
        <v>495</v>
      </c>
      <c r="X32" s="638">
        <f t="shared" si="13"/>
        <v>8.4341455103083995E-2</v>
      </c>
      <c r="Y32" s="633">
        <v>5645</v>
      </c>
      <c r="Z32" s="634">
        <v>346</v>
      </c>
      <c r="AA32" s="635">
        <f t="shared" si="14"/>
        <v>6.1293179805137286E-2</v>
      </c>
      <c r="AB32" s="633">
        <v>5772</v>
      </c>
      <c r="AC32" s="634">
        <v>365</v>
      </c>
      <c r="AD32" s="635">
        <f t="shared" si="15"/>
        <v>6.3236313236313235E-2</v>
      </c>
      <c r="AE32" s="633">
        <v>5701</v>
      </c>
      <c r="AF32" s="634">
        <v>285</v>
      </c>
      <c r="AG32" s="635">
        <f t="shared" si="16"/>
        <v>4.9991229608840553E-2</v>
      </c>
      <c r="AH32" s="610">
        <v>5825</v>
      </c>
      <c r="AI32" s="611">
        <v>300</v>
      </c>
      <c r="AJ32" s="622">
        <f t="shared" si="17"/>
        <v>5.1502145922746781E-2</v>
      </c>
      <c r="AK32" s="633">
        <v>6069</v>
      </c>
      <c r="AL32" s="634">
        <v>345</v>
      </c>
      <c r="AM32" s="635">
        <f t="shared" si="18"/>
        <v>5.6846267918932276E-2</v>
      </c>
      <c r="AN32" s="630">
        <v>6392</v>
      </c>
      <c r="AO32" s="611">
        <v>576</v>
      </c>
      <c r="AP32" s="619">
        <f t="shared" si="19"/>
        <v>9.0112640801001245E-2</v>
      </c>
      <c r="AQ32" s="610">
        <v>6680</v>
      </c>
      <c r="AR32" s="611">
        <v>563</v>
      </c>
      <c r="AS32" s="622">
        <f t="shared" si="20"/>
        <v>8.428143712574851E-2</v>
      </c>
      <c r="AT32" s="620">
        <v>6689</v>
      </c>
      <c r="AU32" s="612">
        <v>539</v>
      </c>
      <c r="AV32" s="613">
        <f t="shared" si="9"/>
        <v>8.058005680968755E-2</v>
      </c>
    </row>
    <row r="33" spans="1:48" ht="15" customHeight="1">
      <c r="A33" s="529" t="s">
        <v>71</v>
      </c>
      <c r="B33" s="532" t="s">
        <v>72</v>
      </c>
      <c r="C33" s="531" t="s">
        <v>272</v>
      </c>
      <c r="D33" s="646">
        <f t="shared" si="21"/>
        <v>3.0168440459230703E-2</v>
      </c>
      <c r="E33" s="647">
        <f t="shared" si="10"/>
        <v>3.9805505192022417E-2</v>
      </c>
      <c r="F33" s="647">
        <f t="shared" si="11"/>
        <v>4.0508598907816447E-2</v>
      </c>
      <c r="G33" s="647">
        <f t="shared" si="1"/>
        <v>3.8051750380517502E-2</v>
      </c>
      <c r="H33" s="647">
        <f t="shared" si="2"/>
        <v>4.0578798364265492E-2</v>
      </c>
      <c r="I33" s="647">
        <f t="shared" si="3"/>
        <v>3.1075201988812928E-2</v>
      </c>
      <c r="J33" s="647">
        <f t="shared" si="4"/>
        <v>3.3952049497293114E-2</v>
      </c>
      <c r="K33" s="647">
        <f t="shared" si="5"/>
        <v>4.5068285280728378E-2</v>
      </c>
      <c r="L33" s="647">
        <f t="shared" si="6"/>
        <v>7.8866018246248962E-2</v>
      </c>
      <c r="M33" s="647">
        <f t="shared" si="7"/>
        <v>7.7139596804868774E-2</v>
      </c>
      <c r="N33" s="648">
        <f t="shared" si="8"/>
        <v>6.7222143765004946E-2</v>
      </c>
      <c r="O33" s="639"/>
      <c r="P33" s="610">
        <v>11933</v>
      </c>
      <c r="Q33" s="611">
        <v>360</v>
      </c>
      <c r="R33" s="637">
        <f t="shared" si="0"/>
        <v>3.0168440459230703E-2</v>
      </c>
      <c r="S33" s="633">
        <v>12134</v>
      </c>
      <c r="T33" s="634">
        <v>483</v>
      </c>
      <c r="U33" s="638">
        <f t="shared" si="12"/>
        <v>3.9805505192022417E-2</v>
      </c>
      <c r="V33" s="633">
        <v>12269</v>
      </c>
      <c r="W33" s="634">
        <v>497</v>
      </c>
      <c r="X33" s="638">
        <f t="shared" si="13"/>
        <v>4.0508598907816447E-2</v>
      </c>
      <c r="Y33" s="633">
        <v>12483</v>
      </c>
      <c r="Z33" s="634">
        <v>475</v>
      </c>
      <c r="AA33" s="635">
        <f t="shared" si="14"/>
        <v>3.8051750380517502E-2</v>
      </c>
      <c r="AB33" s="633">
        <v>12716</v>
      </c>
      <c r="AC33" s="634">
        <v>516</v>
      </c>
      <c r="AD33" s="635">
        <f t="shared" si="15"/>
        <v>4.0578798364265492E-2</v>
      </c>
      <c r="AE33" s="633">
        <v>12872</v>
      </c>
      <c r="AF33" s="634">
        <v>400</v>
      </c>
      <c r="AG33" s="635">
        <f t="shared" si="16"/>
        <v>3.1075201988812928E-2</v>
      </c>
      <c r="AH33" s="610">
        <v>12930</v>
      </c>
      <c r="AI33" s="611">
        <v>439</v>
      </c>
      <c r="AJ33" s="622">
        <f t="shared" si="17"/>
        <v>3.3952049497293114E-2</v>
      </c>
      <c r="AK33" s="633">
        <v>13180</v>
      </c>
      <c r="AL33" s="634">
        <v>594</v>
      </c>
      <c r="AM33" s="635">
        <f t="shared" si="18"/>
        <v>4.5068285280728378E-2</v>
      </c>
      <c r="AN33" s="630">
        <v>13263</v>
      </c>
      <c r="AO33" s="611">
        <v>1046</v>
      </c>
      <c r="AP33" s="619">
        <f t="shared" si="19"/>
        <v>7.8866018246248962E-2</v>
      </c>
      <c r="AQ33" s="610">
        <v>13145</v>
      </c>
      <c r="AR33" s="611">
        <v>1014</v>
      </c>
      <c r="AS33" s="622">
        <f t="shared" si="20"/>
        <v>7.7139596804868774E-2</v>
      </c>
      <c r="AT33" s="620">
        <v>14162</v>
      </c>
      <c r="AU33" s="612">
        <v>952</v>
      </c>
      <c r="AV33" s="613">
        <f t="shared" si="9"/>
        <v>6.7222143765004946E-2</v>
      </c>
    </row>
    <row r="34" spans="1:48" ht="15" customHeight="1">
      <c r="A34" s="529" t="s">
        <v>73</v>
      </c>
      <c r="B34" s="532" t="s">
        <v>74</v>
      </c>
      <c r="C34" s="531" t="s">
        <v>275</v>
      </c>
      <c r="D34" s="646">
        <f t="shared" si="21"/>
        <v>3.2276546982429336E-2</v>
      </c>
      <c r="E34" s="647">
        <f t="shared" si="10"/>
        <v>4.4029850746268653E-2</v>
      </c>
      <c r="F34" s="647">
        <f t="shared" si="11"/>
        <v>5.3873304848597439E-2</v>
      </c>
      <c r="G34" s="647">
        <f t="shared" si="1"/>
        <v>4.200442151805453E-2</v>
      </c>
      <c r="H34" s="647">
        <f t="shared" si="2"/>
        <v>4.5964331678617396E-2</v>
      </c>
      <c r="I34" s="647">
        <f t="shared" si="3"/>
        <v>3.8538812785388128E-2</v>
      </c>
      <c r="J34" s="647">
        <f t="shared" si="4"/>
        <v>3.6172906493036713E-2</v>
      </c>
      <c r="K34" s="647">
        <f t="shared" si="5"/>
        <v>5.1718030464045342E-2</v>
      </c>
      <c r="L34" s="647">
        <f t="shared" si="6"/>
        <v>8.1632653061224483E-2</v>
      </c>
      <c r="M34" s="647">
        <f t="shared" si="7"/>
        <v>8.802698145025295E-2</v>
      </c>
      <c r="N34" s="648">
        <f t="shared" si="8"/>
        <v>8.1827658095899924E-2</v>
      </c>
      <c r="O34" s="639"/>
      <c r="P34" s="610">
        <v>5236</v>
      </c>
      <c r="Q34" s="611">
        <v>169</v>
      </c>
      <c r="R34" s="637">
        <f t="shared" si="0"/>
        <v>3.2276546982429336E-2</v>
      </c>
      <c r="S34" s="633">
        <v>5360</v>
      </c>
      <c r="T34" s="634">
        <v>236</v>
      </c>
      <c r="U34" s="638">
        <f t="shared" si="12"/>
        <v>4.4029850746268653E-2</v>
      </c>
      <c r="V34" s="633">
        <v>5383</v>
      </c>
      <c r="W34" s="634">
        <v>290</v>
      </c>
      <c r="X34" s="638">
        <f t="shared" si="13"/>
        <v>5.3873304848597439E-2</v>
      </c>
      <c r="Y34" s="633">
        <v>5428</v>
      </c>
      <c r="Z34" s="634">
        <v>228</v>
      </c>
      <c r="AA34" s="635">
        <f t="shared" si="14"/>
        <v>4.200442151805453E-2</v>
      </c>
      <c r="AB34" s="633">
        <v>5439</v>
      </c>
      <c r="AC34" s="634">
        <v>250</v>
      </c>
      <c r="AD34" s="635">
        <f t="shared" si="15"/>
        <v>4.5964331678617396E-2</v>
      </c>
      <c r="AE34" s="633">
        <v>5475</v>
      </c>
      <c r="AF34" s="634">
        <v>211</v>
      </c>
      <c r="AG34" s="635">
        <f t="shared" si="16"/>
        <v>3.8538812785388128E-2</v>
      </c>
      <c r="AH34" s="610">
        <v>5529</v>
      </c>
      <c r="AI34" s="611">
        <v>200</v>
      </c>
      <c r="AJ34" s="622">
        <f t="shared" si="17"/>
        <v>3.6172906493036713E-2</v>
      </c>
      <c r="AK34" s="633">
        <v>5646</v>
      </c>
      <c r="AL34" s="634">
        <v>292</v>
      </c>
      <c r="AM34" s="635">
        <f t="shared" si="18"/>
        <v>5.1718030464045342E-2</v>
      </c>
      <c r="AN34" s="630">
        <v>5782</v>
      </c>
      <c r="AO34" s="611">
        <v>472</v>
      </c>
      <c r="AP34" s="619">
        <f t="shared" si="19"/>
        <v>8.1632653061224483E-2</v>
      </c>
      <c r="AQ34" s="610">
        <v>5930</v>
      </c>
      <c r="AR34" s="611">
        <v>522</v>
      </c>
      <c r="AS34" s="622">
        <f t="shared" si="20"/>
        <v>8.802698145025295E-2</v>
      </c>
      <c r="AT34" s="620">
        <v>5756</v>
      </c>
      <c r="AU34" s="612">
        <v>471</v>
      </c>
      <c r="AV34" s="613">
        <f t="shared" si="9"/>
        <v>8.1827658095899924E-2</v>
      </c>
    </row>
    <row r="35" spans="1:48" ht="15.75">
      <c r="A35" s="529" t="s">
        <v>75</v>
      </c>
      <c r="B35" s="532" t="s">
        <v>969</v>
      </c>
      <c r="C35" s="531" t="s">
        <v>276</v>
      </c>
      <c r="D35" s="646">
        <f t="shared" si="21"/>
        <v>2.5071257911724022E-2</v>
      </c>
      <c r="E35" s="647">
        <f t="shared" si="10"/>
        <v>3.3457909420529626E-2</v>
      </c>
      <c r="F35" s="647">
        <f t="shared" si="11"/>
        <v>3.0671264015172645E-2</v>
      </c>
      <c r="G35" s="647">
        <f t="shared" si="1"/>
        <v>2.6978136364962577E-2</v>
      </c>
      <c r="H35" s="647">
        <f t="shared" si="2"/>
        <v>2.5340650894356085E-2</v>
      </c>
      <c r="I35" s="647">
        <f t="shared" si="3"/>
        <v>2.1827868062959385E-2</v>
      </c>
      <c r="J35" s="647">
        <f t="shared" si="4"/>
        <v>2.1617136673748663E-2</v>
      </c>
      <c r="K35" s="647">
        <f t="shared" si="5"/>
        <v>2.8507289323165694E-2</v>
      </c>
      <c r="L35" s="647">
        <f t="shared" si="6"/>
        <v>4.7375248332822903E-2</v>
      </c>
      <c r="M35" s="647">
        <f t="shared" si="7"/>
        <v>4.9474177817681902E-2</v>
      </c>
      <c r="N35" s="648">
        <f t="shared" si="8"/>
        <v>4.3690069737033273E-2</v>
      </c>
      <c r="O35" s="639"/>
      <c r="P35" s="614">
        <v>572568</v>
      </c>
      <c r="Q35" s="615">
        <v>14355</v>
      </c>
      <c r="R35" s="637">
        <f t="shared" si="0"/>
        <v>2.5071257911724022E-2</v>
      </c>
      <c r="S35" s="614">
        <v>574214</v>
      </c>
      <c r="T35" s="615">
        <v>19212</v>
      </c>
      <c r="U35" s="638">
        <f t="shared" si="12"/>
        <v>3.3457909420529626E-2</v>
      </c>
      <c r="V35" s="614">
        <v>573664</v>
      </c>
      <c r="W35" s="615">
        <v>17595</v>
      </c>
      <c r="X35" s="638">
        <f t="shared" si="13"/>
        <v>3.0671264015172645E-2</v>
      </c>
      <c r="Y35" s="614">
        <v>582657</v>
      </c>
      <c r="Z35" s="615">
        <v>15719</v>
      </c>
      <c r="AA35" s="635">
        <f t="shared" si="14"/>
        <v>2.6978136364962577E-2</v>
      </c>
      <c r="AB35" s="614">
        <v>593276</v>
      </c>
      <c r="AC35" s="615">
        <v>15034</v>
      </c>
      <c r="AD35" s="635">
        <f t="shared" si="15"/>
        <v>2.5340650894356085E-2</v>
      </c>
      <c r="AE35" s="614">
        <v>602166</v>
      </c>
      <c r="AF35" s="615">
        <v>13144</v>
      </c>
      <c r="AG35" s="635">
        <f t="shared" si="16"/>
        <v>2.1827868062959385E-2</v>
      </c>
      <c r="AH35" s="614">
        <v>606232</v>
      </c>
      <c r="AI35" s="615">
        <v>13105</v>
      </c>
      <c r="AJ35" s="622">
        <f t="shared" si="17"/>
        <v>2.1617136673748663E-2</v>
      </c>
      <c r="AK35" s="614">
        <v>613843</v>
      </c>
      <c r="AL35" s="615">
        <v>17499</v>
      </c>
      <c r="AM35" s="635">
        <f t="shared" si="18"/>
        <v>2.8507289323165694E-2</v>
      </c>
      <c r="AN35" s="624">
        <v>623659</v>
      </c>
      <c r="AO35" s="615">
        <v>29546</v>
      </c>
      <c r="AP35" s="619">
        <f t="shared" si="19"/>
        <v>4.7375248332822903E-2</v>
      </c>
      <c r="AQ35" s="614">
        <v>624831</v>
      </c>
      <c r="AR35" s="615">
        <v>30913</v>
      </c>
      <c r="AS35" s="622">
        <f t="shared" si="20"/>
        <v>4.9474177817681902E-2</v>
      </c>
      <c r="AT35" s="620">
        <v>660768</v>
      </c>
      <c r="AU35" s="612">
        <v>28869</v>
      </c>
      <c r="AV35" s="613">
        <f t="shared" si="9"/>
        <v>4.3690069737033273E-2</v>
      </c>
    </row>
    <row r="36" spans="1:48" ht="15" customHeight="1">
      <c r="A36" s="529" t="s">
        <v>77</v>
      </c>
      <c r="B36" s="532" t="s">
        <v>78</v>
      </c>
      <c r="C36" s="531" t="s">
        <v>276</v>
      </c>
      <c r="D36" s="646">
        <f t="shared" si="21"/>
        <v>2.1385882732999517E-2</v>
      </c>
      <c r="E36" s="647">
        <f t="shared" si="10"/>
        <v>3.0731234564041643E-2</v>
      </c>
      <c r="F36" s="647">
        <f t="shared" si="11"/>
        <v>3.1034693006523992E-2</v>
      </c>
      <c r="G36" s="647">
        <f t="shared" si="1"/>
        <v>2.7431713166052522E-2</v>
      </c>
      <c r="H36" s="647">
        <f t="shared" si="2"/>
        <v>2.622529146979059E-2</v>
      </c>
      <c r="I36" s="647">
        <f t="shared" si="3"/>
        <v>2.3934221595072046E-2</v>
      </c>
      <c r="J36" s="647">
        <f t="shared" si="4"/>
        <v>2.4682727468272748E-2</v>
      </c>
      <c r="K36" s="647">
        <f t="shared" si="5"/>
        <v>3.3276021690252615E-2</v>
      </c>
      <c r="L36" s="647">
        <f t="shared" si="6"/>
        <v>5.3499012165956122E-2</v>
      </c>
      <c r="M36" s="647">
        <f t="shared" si="7"/>
        <v>5.6308654848800835E-2</v>
      </c>
      <c r="N36" s="648">
        <f t="shared" si="8"/>
        <v>4.8779180402562246E-2</v>
      </c>
      <c r="O36" s="639"/>
      <c r="P36" s="610">
        <v>30955</v>
      </c>
      <c r="Q36" s="611">
        <v>662</v>
      </c>
      <c r="R36" s="637">
        <f t="shared" si="0"/>
        <v>2.1385882732999517E-2</v>
      </c>
      <c r="S36" s="633">
        <v>31987</v>
      </c>
      <c r="T36" s="634">
        <v>983</v>
      </c>
      <c r="U36" s="638">
        <f t="shared" si="12"/>
        <v>3.0731234564041643E-2</v>
      </c>
      <c r="V36" s="633">
        <v>32802</v>
      </c>
      <c r="W36" s="634">
        <v>1018</v>
      </c>
      <c r="X36" s="638">
        <f t="shared" si="13"/>
        <v>3.1034693006523992E-2</v>
      </c>
      <c r="Y36" s="633">
        <v>34194</v>
      </c>
      <c r="Z36" s="634">
        <v>938</v>
      </c>
      <c r="AA36" s="635">
        <f t="shared" si="14"/>
        <v>2.7431713166052522E-2</v>
      </c>
      <c r="AB36" s="633">
        <v>35767</v>
      </c>
      <c r="AC36" s="634">
        <v>938</v>
      </c>
      <c r="AD36" s="635">
        <f t="shared" si="15"/>
        <v>2.622529146979059E-2</v>
      </c>
      <c r="AE36" s="633">
        <v>36851</v>
      </c>
      <c r="AF36" s="634">
        <v>882</v>
      </c>
      <c r="AG36" s="635">
        <f t="shared" si="16"/>
        <v>2.3934221595072046E-2</v>
      </c>
      <c r="AH36" s="610">
        <v>37192</v>
      </c>
      <c r="AI36" s="611">
        <v>918</v>
      </c>
      <c r="AJ36" s="622">
        <f t="shared" si="17"/>
        <v>2.4682727468272748E-2</v>
      </c>
      <c r="AK36" s="633">
        <v>37805</v>
      </c>
      <c r="AL36" s="634">
        <v>1258</v>
      </c>
      <c r="AM36" s="635">
        <f t="shared" si="18"/>
        <v>3.3276021690252615E-2</v>
      </c>
      <c r="AN36" s="630">
        <v>38468</v>
      </c>
      <c r="AO36" s="611">
        <v>2058</v>
      </c>
      <c r="AP36" s="619">
        <f t="shared" si="19"/>
        <v>5.3499012165956122E-2</v>
      </c>
      <c r="AQ36" s="610">
        <v>38360</v>
      </c>
      <c r="AR36" s="611">
        <v>2160</v>
      </c>
      <c r="AS36" s="622">
        <f t="shared" si="20"/>
        <v>5.6308654848800835E-2</v>
      </c>
      <c r="AT36" s="620">
        <v>37311</v>
      </c>
      <c r="AU36" s="612">
        <v>1820</v>
      </c>
      <c r="AV36" s="613">
        <f t="shared" si="9"/>
        <v>4.8779180402562246E-2</v>
      </c>
    </row>
    <row r="37" spans="1:48" ht="15" customHeight="1">
      <c r="A37" s="529" t="s">
        <v>79</v>
      </c>
      <c r="B37" s="532" t="s">
        <v>80</v>
      </c>
      <c r="C37" s="531" t="s">
        <v>278</v>
      </c>
      <c r="D37" s="646">
        <f t="shared" si="21"/>
        <v>4.2771349055221911E-2</v>
      </c>
      <c r="E37" s="647">
        <f t="shared" si="10"/>
        <v>4.3695748124172429E-2</v>
      </c>
      <c r="F37" s="647">
        <f t="shared" si="11"/>
        <v>4.0195545898967955E-2</v>
      </c>
      <c r="G37" s="647">
        <f t="shared" si="1"/>
        <v>4.0022870211549454E-2</v>
      </c>
      <c r="H37" s="647">
        <f t="shared" si="2"/>
        <v>3.6302708740575257E-2</v>
      </c>
      <c r="I37" s="647">
        <f t="shared" si="3"/>
        <v>3.2038559682449674E-2</v>
      </c>
      <c r="J37" s="647">
        <f t="shared" si="4"/>
        <v>3.4376746785913917E-2</v>
      </c>
      <c r="K37" s="647">
        <f t="shared" si="5"/>
        <v>4.3873131200223556E-2</v>
      </c>
      <c r="L37" s="647">
        <f t="shared" si="6"/>
        <v>7.6912605499591613E-2</v>
      </c>
      <c r="M37" s="647">
        <f t="shared" si="7"/>
        <v>7.5298804780876499E-2</v>
      </c>
      <c r="N37" s="648">
        <f t="shared" si="8"/>
        <v>6.7919075144508664E-2</v>
      </c>
      <c r="O37" s="639"/>
      <c r="P37" s="610">
        <v>6827</v>
      </c>
      <c r="Q37" s="611">
        <v>292</v>
      </c>
      <c r="R37" s="637">
        <f t="shared" si="0"/>
        <v>4.2771349055221911E-2</v>
      </c>
      <c r="S37" s="633">
        <v>6797</v>
      </c>
      <c r="T37" s="634">
        <v>297</v>
      </c>
      <c r="U37" s="638">
        <f t="shared" si="12"/>
        <v>4.3695748124172429E-2</v>
      </c>
      <c r="V37" s="633">
        <v>7364</v>
      </c>
      <c r="W37" s="634">
        <v>296</v>
      </c>
      <c r="X37" s="638">
        <f t="shared" si="13"/>
        <v>4.0195545898967955E-2</v>
      </c>
      <c r="Y37" s="633">
        <v>6996</v>
      </c>
      <c r="Z37" s="634">
        <v>280</v>
      </c>
      <c r="AA37" s="635">
        <f t="shared" si="14"/>
        <v>4.0022870211549454E-2</v>
      </c>
      <c r="AB37" s="633">
        <v>7162</v>
      </c>
      <c r="AC37" s="634">
        <v>260</v>
      </c>
      <c r="AD37" s="635">
        <f t="shared" si="15"/>
        <v>3.6302708740575257E-2</v>
      </c>
      <c r="AE37" s="633">
        <v>7054</v>
      </c>
      <c r="AF37" s="634">
        <v>226</v>
      </c>
      <c r="AG37" s="635">
        <f t="shared" si="16"/>
        <v>3.2038559682449674E-2</v>
      </c>
      <c r="AH37" s="610">
        <v>7156</v>
      </c>
      <c r="AI37" s="611">
        <v>246</v>
      </c>
      <c r="AJ37" s="622">
        <f t="shared" si="17"/>
        <v>3.4376746785913917E-2</v>
      </c>
      <c r="AK37" s="633">
        <v>7157</v>
      </c>
      <c r="AL37" s="634">
        <v>314</v>
      </c>
      <c r="AM37" s="635">
        <f t="shared" si="18"/>
        <v>4.3873131200223556E-2</v>
      </c>
      <c r="AN37" s="630">
        <v>7346</v>
      </c>
      <c r="AO37" s="611">
        <v>565</v>
      </c>
      <c r="AP37" s="619">
        <f t="shared" si="19"/>
        <v>7.6912605499591613E-2</v>
      </c>
      <c r="AQ37" s="610">
        <v>7530</v>
      </c>
      <c r="AR37" s="611">
        <v>567</v>
      </c>
      <c r="AS37" s="622">
        <f t="shared" si="20"/>
        <v>7.5298804780876499E-2</v>
      </c>
      <c r="AT37" s="620">
        <v>7612</v>
      </c>
      <c r="AU37" s="612">
        <v>517</v>
      </c>
      <c r="AV37" s="613">
        <f t="shared" si="9"/>
        <v>6.7919075144508664E-2</v>
      </c>
    </row>
    <row r="38" spans="1:48" ht="15" customHeight="1">
      <c r="A38" s="529" t="s">
        <v>81</v>
      </c>
      <c r="B38" s="532" t="s">
        <v>82</v>
      </c>
      <c r="C38" s="531" t="s">
        <v>275</v>
      </c>
      <c r="D38" s="646">
        <f t="shared" si="21"/>
        <v>2.481834481457016E-2</v>
      </c>
      <c r="E38" s="647">
        <f t="shared" si="10"/>
        <v>3.1975199291408324E-2</v>
      </c>
      <c r="F38" s="647">
        <f t="shared" si="11"/>
        <v>3.4188034188034191E-2</v>
      </c>
      <c r="G38" s="647">
        <f t="shared" si="1"/>
        <v>3.0305505636333933E-2</v>
      </c>
      <c r="H38" s="647">
        <f t="shared" si="2"/>
        <v>3.0033284309931109E-2</v>
      </c>
      <c r="I38" s="647">
        <f t="shared" si="3"/>
        <v>2.319549429376019E-2</v>
      </c>
      <c r="J38" s="647">
        <f t="shared" si="4"/>
        <v>2.3244099021301094E-2</v>
      </c>
      <c r="K38" s="647">
        <f t="shared" si="5"/>
        <v>3.2855225040627427E-2</v>
      </c>
      <c r="L38" s="647">
        <f t="shared" si="6"/>
        <v>5.6454437206696087E-2</v>
      </c>
      <c r="M38" s="647">
        <f t="shared" si="7"/>
        <v>5.764747439067467E-2</v>
      </c>
      <c r="N38" s="648">
        <f t="shared" si="8"/>
        <v>5.1992462837602067E-2</v>
      </c>
      <c r="O38" s="639"/>
      <c r="P38" s="610">
        <v>10597</v>
      </c>
      <c r="Q38" s="611">
        <v>263</v>
      </c>
      <c r="R38" s="637">
        <f t="shared" si="0"/>
        <v>2.481834481457016E-2</v>
      </c>
      <c r="S38" s="633">
        <v>11290</v>
      </c>
      <c r="T38" s="634">
        <v>361</v>
      </c>
      <c r="U38" s="638">
        <f t="shared" si="12"/>
        <v>3.1975199291408324E-2</v>
      </c>
      <c r="V38" s="633">
        <v>11817</v>
      </c>
      <c r="W38" s="634">
        <v>404</v>
      </c>
      <c r="X38" s="638">
        <f t="shared" si="13"/>
        <v>3.4188034188034191E-2</v>
      </c>
      <c r="Y38" s="633">
        <v>12242</v>
      </c>
      <c r="Z38" s="634">
        <v>371</v>
      </c>
      <c r="AA38" s="635">
        <f t="shared" si="14"/>
        <v>3.0305505636333933E-2</v>
      </c>
      <c r="AB38" s="633">
        <v>12919</v>
      </c>
      <c r="AC38" s="634">
        <v>388</v>
      </c>
      <c r="AD38" s="635">
        <f t="shared" si="15"/>
        <v>3.0033284309931109E-2</v>
      </c>
      <c r="AE38" s="633">
        <v>13494</v>
      </c>
      <c r="AF38" s="634">
        <v>313</v>
      </c>
      <c r="AG38" s="635">
        <f t="shared" si="16"/>
        <v>2.319549429376019E-2</v>
      </c>
      <c r="AH38" s="610">
        <v>13896</v>
      </c>
      <c r="AI38" s="611">
        <v>323</v>
      </c>
      <c r="AJ38" s="622">
        <f t="shared" si="17"/>
        <v>2.3244099021301094E-2</v>
      </c>
      <c r="AK38" s="633">
        <v>14153</v>
      </c>
      <c r="AL38" s="634">
        <v>465</v>
      </c>
      <c r="AM38" s="635">
        <f t="shared" si="18"/>
        <v>3.2855225040627427E-2</v>
      </c>
      <c r="AN38" s="630">
        <v>14277</v>
      </c>
      <c r="AO38" s="611">
        <v>806</v>
      </c>
      <c r="AP38" s="619">
        <f t="shared" si="19"/>
        <v>5.6454437206696087E-2</v>
      </c>
      <c r="AQ38" s="610">
        <v>14155</v>
      </c>
      <c r="AR38" s="611">
        <v>816</v>
      </c>
      <c r="AS38" s="622">
        <f t="shared" si="20"/>
        <v>5.764747439067467E-2</v>
      </c>
      <c r="AT38" s="620">
        <v>14329</v>
      </c>
      <c r="AU38" s="612">
        <v>745</v>
      </c>
      <c r="AV38" s="613">
        <f t="shared" si="9"/>
        <v>5.1992462837602067E-2</v>
      </c>
    </row>
    <row r="39" spans="1:48" ht="15" customHeight="1">
      <c r="A39" s="529" t="s">
        <v>85</v>
      </c>
      <c r="B39" s="532" t="s">
        <v>387</v>
      </c>
      <c r="C39" s="531" t="s">
        <v>273</v>
      </c>
      <c r="D39" s="646">
        <f t="shared" si="21"/>
        <v>4.0230347938144333E-2</v>
      </c>
      <c r="E39" s="647">
        <f t="shared" si="10"/>
        <v>5.1865438651264438E-2</v>
      </c>
      <c r="F39" s="647">
        <f t="shared" si="11"/>
        <v>4.438880941026864E-2</v>
      </c>
      <c r="G39" s="647">
        <f t="shared" si="1"/>
        <v>3.8464604591836732E-2</v>
      </c>
      <c r="H39" s="647">
        <f t="shared" si="2"/>
        <v>3.58036272670419E-2</v>
      </c>
      <c r="I39" s="647">
        <f t="shared" si="3"/>
        <v>3.1159420289855074E-2</v>
      </c>
      <c r="J39" s="647">
        <f t="shared" si="4"/>
        <v>3.2817733619359454E-2</v>
      </c>
      <c r="K39" s="647">
        <f t="shared" si="5"/>
        <v>4.7531114968423382E-2</v>
      </c>
      <c r="L39" s="647">
        <f t="shared" si="6"/>
        <v>8.0932936026192837E-2</v>
      </c>
      <c r="M39" s="647">
        <f t="shared" si="7"/>
        <v>7.9677874267052626E-2</v>
      </c>
      <c r="N39" s="648">
        <f t="shared" si="8"/>
        <v>6.6167592368993E-2</v>
      </c>
      <c r="O39" s="639"/>
      <c r="P39" s="610">
        <v>24832</v>
      </c>
      <c r="Q39" s="611">
        <v>999</v>
      </c>
      <c r="R39" s="637">
        <f t="shared" si="0"/>
        <v>4.0230347938144333E-2</v>
      </c>
      <c r="S39" s="633">
        <v>25624</v>
      </c>
      <c r="T39" s="634">
        <v>1329</v>
      </c>
      <c r="U39" s="638">
        <f t="shared" si="12"/>
        <v>5.1865438651264438E-2</v>
      </c>
      <c r="V39" s="633">
        <v>25164</v>
      </c>
      <c r="W39" s="634">
        <v>1117</v>
      </c>
      <c r="X39" s="638">
        <f t="shared" si="13"/>
        <v>4.438880941026864E-2</v>
      </c>
      <c r="Y39" s="633">
        <v>25088</v>
      </c>
      <c r="Z39" s="634">
        <v>965</v>
      </c>
      <c r="AA39" s="635">
        <f t="shared" si="14"/>
        <v>3.8464604591836732E-2</v>
      </c>
      <c r="AB39" s="633">
        <v>25584</v>
      </c>
      <c r="AC39" s="634">
        <v>916</v>
      </c>
      <c r="AD39" s="635">
        <f t="shared" si="15"/>
        <v>3.58036272670419E-2</v>
      </c>
      <c r="AE39" s="633">
        <v>26220</v>
      </c>
      <c r="AF39" s="634">
        <v>817</v>
      </c>
      <c r="AG39" s="635">
        <f t="shared" si="16"/>
        <v>3.1159420289855074E-2</v>
      </c>
      <c r="AH39" s="610">
        <v>26571</v>
      </c>
      <c r="AI39" s="611">
        <v>872</v>
      </c>
      <c r="AJ39" s="622">
        <f t="shared" si="17"/>
        <v>3.2817733619359454E-2</v>
      </c>
      <c r="AK39" s="633">
        <v>27077</v>
      </c>
      <c r="AL39" s="634">
        <v>1287</v>
      </c>
      <c r="AM39" s="635">
        <f t="shared" si="18"/>
        <v>4.7531114968423382E-2</v>
      </c>
      <c r="AN39" s="630">
        <v>27183</v>
      </c>
      <c r="AO39" s="611">
        <v>2200</v>
      </c>
      <c r="AP39" s="619">
        <f t="shared" si="19"/>
        <v>8.0932936026192837E-2</v>
      </c>
      <c r="AQ39" s="610">
        <v>26946</v>
      </c>
      <c r="AR39" s="611">
        <v>2147</v>
      </c>
      <c r="AS39" s="622">
        <f t="shared" si="20"/>
        <v>7.9677874267052626E-2</v>
      </c>
      <c r="AT39" s="620">
        <v>28987</v>
      </c>
      <c r="AU39" s="612">
        <v>1918</v>
      </c>
      <c r="AV39" s="613">
        <f t="shared" si="9"/>
        <v>6.6167592368993E-2</v>
      </c>
    </row>
    <row r="40" spans="1:48" ht="15" customHeight="1">
      <c r="A40" s="529" t="s">
        <v>87</v>
      </c>
      <c r="B40" s="532" t="s">
        <v>88</v>
      </c>
      <c r="C40" s="531" t="s">
        <v>276</v>
      </c>
      <c r="D40" s="646">
        <f t="shared" si="21"/>
        <v>2.7932126426480252E-2</v>
      </c>
      <c r="E40" s="647">
        <f t="shared" si="10"/>
        <v>3.4510548887545692E-2</v>
      </c>
      <c r="F40" s="647">
        <f t="shared" si="11"/>
        <v>3.6193764041865306E-2</v>
      </c>
      <c r="G40" s="647">
        <f t="shared" si="1"/>
        <v>2.9792332268370608E-2</v>
      </c>
      <c r="H40" s="647">
        <f t="shared" si="2"/>
        <v>2.7725332988490885E-2</v>
      </c>
      <c r="I40" s="647">
        <f t="shared" si="3"/>
        <v>2.5945760888171569E-2</v>
      </c>
      <c r="J40" s="647">
        <f t="shared" si="4"/>
        <v>2.9170993214363332E-2</v>
      </c>
      <c r="K40" s="647">
        <f t="shared" si="5"/>
        <v>4.1709913345724013E-2</v>
      </c>
      <c r="L40" s="647">
        <f t="shared" si="6"/>
        <v>7.4511410463406993E-2</v>
      </c>
      <c r="M40" s="647">
        <f t="shared" si="7"/>
        <v>7.0310815020728987E-2</v>
      </c>
      <c r="N40" s="648">
        <f t="shared" si="8"/>
        <v>5.9410678881520476E-2</v>
      </c>
      <c r="O40" s="639"/>
      <c r="P40" s="610">
        <v>33474</v>
      </c>
      <c r="Q40" s="611">
        <v>935</v>
      </c>
      <c r="R40" s="637">
        <f t="shared" si="0"/>
        <v>2.7932126426480252E-2</v>
      </c>
      <c r="S40" s="633">
        <v>34743</v>
      </c>
      <c r="T40" s="634">
        <v>1199</v>
      </c>
      <c r="U40" s="638">
        <f t="shared" si="12"/>
        <v>3.4510548887545692E-2</v>
      </c>
      <c r="V40" s="633">
        <v>36498</v>
      </c>
      <c r="W40" s="634">
        <v>1321</v>
      </c>
      <c r="X40" s="638">
        <f t="shared" si="13"/>
        <v>3.6193764041865306E-2</v>
      </c>
      <c r="Y40" s="633">
        <v>37560</v>
      </c>
      <c r="Z40" s="634">
        <v>1119</v>
      </c>
      <c r="AA40" s="635">
        <f t="shared" si="14"/>
        <v>2.9792332268370608E-2</v>
      </c>
      <c r="AB40" s="633">
        <v>38665</v>
      </c>
      <c r="AC40" s="634">
        <v>1072</v>
      </c>
      <c r="AD40" s="635">
        <f t="shared" si="15"/>
        <v>2.7725332988490885E-2</v>
      </c>
      <c r="AE40" s="633">
        <v>40893</v>
      </c>
      <c r="AF40" s="634">
        <v>1061</v>
      </c>
      <c r="AG40" s="635">
        <f t="shared" si="16"/>
        <v>2.5945760888171569E-2</v>
      </c>
      <c r="AH40" s="610">
        <v>41411</v>
      </c>
      <c r="AI40" s="611">
        <v>1208</v>
      </c>
      <c r="AJ40" s="622">
        <f t="shared" si="17"/>
        <v>2.9170993214363332E-2</v>
      </c>
      <c r="AK40" s="633">
        <v>41429</v>
      </c>
      <c r="AL40" s="634">
        <v>1728</v>
      </c>
      <c r="AM40" s="635">
        <f t="shared" si="18"/>
        <v>4.1709913345724013E-2</v>
      </c>
      <c r="AN40" s="630">
        <v>41497</v>
      </c>
      <c r="AO40" s="611">
        <v>3092</v>
      </c>
      <c r="AP40" s="619">
        <f t="shared" si="19"/>
        <v>7.4511410463406993E-2</v>
      </c>
      <c r="AQ40" s="610">
        <v>41729</v>
      </c>
      <c r="AR40" s="611">
        <v>2934</v>
      </c>
      <c r="AS40" s="622">
        <f t="shared" si="20"/>
        <v>7.0310815020728987E-2</v>
      </c>
      <c r="AT40" s="620">
        <v>43881</v>
      </c>
      <c r="AU40" s="612">
        <v>2607</v>
      </c>
      <c r="AV40" s="613">
        <f t="shared" si="9"/>
        <v>5.9410678881520476E-2</v>
      </c>
    </row>
    <row r="41" spans="1:48" ht="15" customHeight="1">
      <c r="A41" s="529" t="s">
        <v>93</v>
      </c>
      <c r="B41" s="532" t="s">
        <v>94</v>
      </c>
      <c r="C41" s="531" t="s">
        <v>278</v>
      </c>
      <c r="D41" s="646">
        <f t="shared" si="21"/>
        <v>5.6577445135100851E-2</v>
      </c>
      <c r="E41" s="647">
        <f t="shared" si="10"/>
        <v>5.9977648081460326E-2</v>
      </c>
      <c r="F41" s="647">
        <f t="shared" si="11"/>
        <v>5.3773812394502046E-2</v>
      </c>
      <c r="G41" s="647">
        <f t="shared" si="1"/>
        <v>4.9849124924562463E-2</v>
      </c>
      <c r="H41" s="647">
        <f t="shared" si="2"/>
        <v>5.041518386714116E-2</v>
      </c>
      <c r="I41" s="647">
        <f t="shared" si="3"/>
        <v>3.6616752456715022E-2</v>
      </c>
      <c r="J41" s="647">
        <f t="shared" si="4"/>
        <v>4.4273691913648008E-2</v>
      </c>
      <c r="K41" s="647">
        <f t="shared" si="5"/>
        <v>5.354368351858492E-2</v>
      </c>
      <c r="L41" s="647">
        <f t="shared" si="6"/>
        <v>9.0130266400657202E-2</v>
      </c>
      <c r="M41" s="647">
        <f t="shared" si="7"/>
        <v>9.1908688896856702E-2</v>
      </c>
      <c r="N41" s="648">
        <f t="shared" si="8"/>
        <v>7.4195820615167885E-2</v>
      </c>
      <c r="O41" s="639"/>
      <c r="P41" s="610">
        <v>7883</v>
      </c>
      <c r="Q41" s="611">
        <v>446</v>
      </c>
      <c r="R41" s="637">
        <f t="shared" si="0"/>
        <v>5.6577445135100851E-2</v>
      </c>
      <c r="S41" s="633">
        <v>8053</v>
      </c>
      <c r="T41" s="634">
        <v>483</v>
      </c>
      <c r="U41" s="638">
        <f t="shared" si="12"/>
        <v>5.9977648081460326E-2</v>
      </c>
      <c r="V41" s="633">
        <v>8294</v>
      </c>
      <c r="W41" s="634">
        <v>446</v>
      </c>
      <c r="X41" s="638">
        <f t="shared" si="13"/>
        <v>5.3773812394502046E-2</v>
      </c>
      <c r="Y41" s="633">
        <v>8285</v>
      </c>
      <c r="Z41" s="634">
        <v>413</v>
      </c>
      <c r="AA41" s="635">
        <f t="shared" si="14"/>
        <v>4.9849124924562463E-2</v>
      </c>
      <c r="AB41" s="633">
        <v>8430</v>
      </c>
      <c r="AC41" s="634">
        <v>425</v>
      </c>
      <c r="AD41" s="635">
        <f t="shared" si="15"/>
        <v>5.041518386714116E-2</v>
      </c>
      <c r="AE41" s="633">
        <v>8548</v>
      </c>
      <c r="AF41" s="634">
        <v>313</v>
      </c>
      <c r="AG41" s="635">
        <f t="shared" si="16"/>
        <v>3.6616752456715022E-2</v>
      </c>
      <c r="AH41" s="610">
        <v>8199</v>
      </c>
      <c r="AI41" s="611">
        <v>363</v>
      </c>
      <c r="AJ41" s="622">
        <f t="shared" si="17"/>
        <v>4.4273691913648008E-2</v>
      </c>
      <c r="AK41" s="633">
        <v>8367</v>
      </c>
      <c r="AL41" s="634">
        <v>448</v>
      </c>
      <c r="AM41" s="635">
        <f t="shared" si="18"/>
        <v>5.354368351858492E-2</v>
      </c>
      <c r="AN41" s="630">
        <v>8521</v>
      </c>
      <c r="AO41" s="611">
        <v>768</v>
      </c>
      <c r="AP41" s="619">
        <f t="shared" si="19"/>
        <v>9.0130266400657202E-2</v>
      </c>
      <c r="AQ41" s="610">
        <v>8367</v>
      </c>
      <c r="AR41" s="611">
        <v>769</v>
      </c>
      <c r="AS41" s="622">
        <f t="shared" si="20"/>
        <v>9.1908688896856702E-2</v>
      </c>
      <c r="AT41" s="620">
        <v>8518</v>
      </c>
      <c r="AU41" s="612">
        <v>632</v>
      </c>
      <c r="AV41" s="613">
        <f t="shared" si="9"/>
        <v>7.4195820615167885E-2</v>
      </c>
    </row>
    <row r="42" spans="1:48" ht="15" customHeight="1">
      <c r="A42" s="529" t="s">
        <v>95</v>
      </c>
      <c r="B42" s="532" t="s">
        <v>96</v>
      </c>
      <c r="C42" s="531" t="s">
        <v>272</v>
      </c>
      <c r="D42" s="646">
        <f t="shared" si="21"/>
        <v>2.4434840425531915E-2</v>
      </c>
      <c r="E42" s="647">
        <f t="shared" si="10"/>
        <v>3.1527673696606362E-2</v>
      </c>
      <c r="F42" s="647">
        <f t="shared" si="11"/>
        <v>3.1682027649769587E-2</v>
      </c>
      <c r="G42" s="647">
        <f t="shared" si="1"/>
        <v>3.0356130495284236E-2</v>
      </c>
      <c r="H42" s="647">
        <f t="shared" si="2"/>
        <v>3.0409122736821045E-2</v>
      </c>
      <c r="I42" s="647">
        <f t="shared" si="3"/>
        <v>2.5837273923853165E-2</v>
      </c>
      <c r="J42" s="647">
        <f t="shared" si="4"/>
        <v>2.4450350326165739E-2</v>
      </c>
      <c r="K42" s="647">
        <f t="shared" si="5"/>
        <v>3.4626894029354489E-2</v>
      </c>
      <c r="L42" s="647">
        <f t="shared" si="6"/>
        <v>5.9386247395340028E-2</v>
      </c>
      <c r="M42" s="647">
        <f t="shared" si="7"/>
        <v>6.3868179875587641E-2</v>
      </c>
      <c r="N42" s="648">
        <f t="shared" si="8"/>
        <v>5.8672967119511713E-2</v>
      </c>
      <c r="O42" s="639"/>
      <c r="P42" s="610">
        <v>18048</v>
      </c>
      <c r="Q42" s="611">
        <v>441</v>
      </c>
      <c r="R42" s="637">
        <f t="shared" si="0"/>
        <v>2.4434840425531915E-2</v>
      </c>
      <c r="S42" s="633">
        <v>18682</v>
      </c>
      <c r="T42" s="634">
        <v>589</v>
      </c>
      <c r="U42" s="638">
        <f t="shared" si="12"/>
        <v>3.1527673696606362E-2</v>
      </c>
      <c r="V42" s="633">
        <v>19096</v>
      </c>
      <c r="W42" s="634">
        <v>605</v>
      </c>
      <c r="X42" s="638">
        <f t="shared" si="13"/>
        <v>3.1682027649769587E-2</v>
      </c>
      <c r="Y42" s="633">
        <v>19403</v>
      </c>
      <c r="Z42" s="634">
        <v>589</v>
      </c>
      <c r="AA42" s="635">
        <f t="shared" si="14"/>
        <v>3.0356130495284236E-2</v>
      </c>
      <c r="AB42" s="633">
        <v>19994</v>
      </c>
      <c r="AC42" s="634">
        <v>608</v>
      </c>
      <c r="AD42" s="635">
        <f t="shared" si="15"/>
        <v>3.0409122736821045E-2</v>
      </c>
      <c r="AE42" s="633">
        <v>20513</v>
      </c>
      <c r="AF42" s="634">
        <v>530</v>
      </c>
      <c r="AG42" s="635">
        <f t="shared" si="16"/>
        <v>2.5837273923853165E-2</v>
      </c>
      <c r="AH42" s="610">
        <v>20695</v>
      </c>
      <c r="AI42" s="611">
        <v>506</v>
      </c>
      <c r="AJ42" s="622">
        <f t="shared" si="17"/>
        <v>2.4450350326165739E-2</v>
      </c>
      <c r="AK42" s="633">
        <v>21053</v>
      </c>
      <c r="AL42" s="634">
        <v>729</v>
      </c>
      <c r="AM42" s="635">
        <f t="shared" si="18"/>
        <v>3.4626894029354489E-2</v>
      </c>
      <c r="AN42" s="630">
        <v>21116</v>
      </c>
      <c r="AO42" s="611">
        <v>1254</v>
      </c>
      <c r="AP42" s="619">
        <f t="shared" si="19"/>
        <v>5.9386247395340028E-2</v>
      </c>
      <c r="AQ42" s="610">
        <v>21059</v>
      </c>
      <c r="AR42" s="611">
        <v>1345</v>
      </c>
      <c r="AS42" s="622">
        <f t="shared" si="20"/>
        <v>6.3868179875587641E-2</v>
      </c>
      <c r="AT42" s="620">
        <v>20316</v>
      </c>
      <c r="AU42" s="612">
        <v>1192</v>
      </c>
      <c r="AV42" s="613">
        <f t="shared" si="9"/>
        <v>5.8672967119511713E-2</v>
      </c>
    </row>
    <row r="43" spans="1:48" ht="15" customHeight="1">
      <c r="A43" s="529" t="s">
        <v>97</v>
      </c>
      <c r="B43" s="532" t="s">
        <v>98</v>
      </c>
      <c r="C43" s="531" t="s">
        <v>275</v>
      </c>
      <c r="D43" s="646">
        <f t="shared" si="21"/>
        <v>2.4967003959524857E-2</v>
      </c>
      <c r="E43" s="647">
        <f t="shared" si="10"/>
        <v>3.3479048939119307E-2</v>
      </c>
      <c r="F43" s="647">
        <f t="shared" si="11"/>
        <v>3.33782523064165E-2</v>
      </c>
      <c r="G43" s="647">
        <f t="shared" si="1"/>
        <v>3.2762397928699463E-2</v>
      </c>
      <c r="H43" s="647">
        <f t="shared" si="2"/>
        <v>2.939205361416946E-2</v>
      </c>
      <c r="I43" s="647">
        <f t="shared" si="3"/>
        <v>2.4106324472960586E-2</v>
      </c>
      <c r="J43" s="647">
        <f t="shared" si="4"/>
        <v>2.347375937165298E-2</v>
      </c>
      <c r="K43" s="647">
        <f t="shared" si="5"/>
        <v>3.2937270662240087E-2</v>
      </c>
      <c r="L43" s="647">
        <f t="shared" si="6"/>
        <v>6.4193014545771268E-2</v>
      </c>
      <c r="M43" s="647">
        <f t="shared" si="7"/>
        <v>6.3664866747953325E-2</v>
      </c>
      <c r="N43" s="648">
        <f t="shared" si="8"/>
        <v>5.322294500295683E-2</v>
      </c>
      <c r="O43" s="639"/>
      <c r="P43" s="610">
        <v>9092</v>
      </c>
      <c r="Q43" s="611">
        <v>227</v>
      </c>
      <c r="R43" s="637">
        <f t="shared" si="0"/>
        <v>2.4967003959524857E-2</v>
      </c>
      <c r="S43" s="633">
        <v>9379</v>
      </c>
      <c r="T43" s="634">
        <v>314</v>
      </c>
      <c r="U43" s="638">
        <f t="shared" si="12"/>
        <v>3.3479048939119307E-2</v>
      </c>
      <c r="V43" s="633">
        <v>9647</v>
      </c>
      <c r="W43" s="634">
        <v>322</v>
      </c>
      <c r="X43" s="638">
        <f t="shared" si="13"/>
        <v>3.33782523064165E-2</v>
      </c>
      <c r="Y43" s="633">
        <v>10042</v>
      </c>
      <c r="Z43" s="634">
        <v>329</v>
      </c>
      <c r="AA43" s="635">
        <f t="shared" si="14"/>
        <v>3.2762397928699463E-2</v>
      </c>
      <c r="AB43" s="633">
        <v>10445</v>
      </c>
      <c r="AC43" s="634">
        <v>307</v>
      </c>
      <c r="AD43" s="635">
        <f t="shared" si="15"/>
        <v>2.939205361416946E-2</v>
      </c>
      <c r="AE43" s="633">
        <v>10910</v>
      </c>
      <c r="AF43" s="634">
        <v>263</v>
      </c>
      <c r="AG43" s="635">
        <f t="shared" si="16"/>
        <v>2.4106324472960586E-2</v>
      </c>
      <c r="AH43" s="610">
        <v>11204</v>
      </c>
      <c r="AI43" s="611">
        <v>263</v>
      </c>
      <c r="AJ43" s="622">
        <f t="shared" si="17"/>
        <v>2.347375937165298E-2</v>
      </c>
      <c r="AK43" s="633">
        <v>11446</v>
      </c>
      <c r="AL43" s="634">
        <v>377</v>
      </c>
      <c r="AM43" s="635">
        <f t="shared" si="18"/>
        <v>3.2937270662240087E-2</v>
      </c>
      <c r="AN43" s="630">
        <v>11481</v>
      </c>
      <c r="AO43" s="611">
        <v>737</v>
      </c>
      <c r="AP43" s="619">
        <f t="shared" si="19"/>
        <v>6.4193014545771268E-2</v>
      </c>
      <c r="AQ43" s="610">
        <v>11482</v>
      </c>
      <c r="AR43" s="611">
        <v>731</v>
      </c>
      <c r="AS43" s="622">
        <f t="shared" si="20"/>
        <v>6.3664866747953325E-2</v>
      </c>
      <c r="AT43" s="620">
        <v>11837</v>
      </c>
      <c r="AU43" s="612">
        <v>630</v>
      </c>
      <c r="AV43" s="613">
        <f t="shared" si="9"/>
        <v>5.322294500295683E-2</v>
      </c>
    </row>
    <row r="44" spans="1:48" ht="15" customHeight="1">
      <c r="A44" s="529" t="s">
        <v>99</v>
      </c>
      <c r="B44" s="532" t="s">
        <v>100</v>
      </c>
      <c r="C44" s="531" t="s">
        <v>278</v>
      </c>
      <c r="D44" s="646">
        <f t="shared" si="21"/>
        <v>7.5638755375664057E-2</v>
      </c>
      <c r="E44" s="647">
        <f t="shared" si="10"/>
        <v>7.9582193484207905E-2</v>
      </c>
      <c r="F44" s="647">
        <f t="shared" si="11"/>
        <v>6.2772993884936984E-2</v>
      </c>
      <c r="G44" s="647">
        <f t="shared" si="1"/>
        <v>4.7662575084878561E-2</v>
      </c>
      <c r="H44" s="647">
        <f t="shared" si="2"/>
        <v>4.6172376873661672E-2</v>
      </c>
      <c r="I44" s="647">
        <f t="shared" si="3"/>
        <v>5.3808525506638713E-2</v>
      </c>
      <c r="J44" s="647">
        <f t="shared" si="4"/>
        <v>5.0355698144790066E-2</v>
      </c>
      <c r="K44" s="647">
        <f t="shared" si="5"/>
        <v>6.434952540480178E-2</v>
      </c>
      <c r="L44" s="647">
        <f t="shared" si="6"/>
        <v>0.10762086861513248</v>
      </c>
      <c r="M44" s="647">
        <f t="shared" si="7"/>
        <v>0.11379589632829373</v>
      </c>
      <c r="N44" s="648">
        <f t="shared" si="8"/>
        <v>0.10349750178443969</v>
      </c>
      <c r="O44" s="639"/>
      <c r="P44" s="610">
        <v>7906</v>
      </c>
      <c r="Q44" s="611">
        <v>598</v>
      </c>
      <c r="R44" s="637">
        <f t="shared" si="0"/>
        <v>7.5638755375664057E-2</v>
      </c>
      <c r="S44" s="633">
        <v>8042</v>
      </c>
      <c r="T44" s="634">
        <v>640</v>
      </c>
      <c r="U44" s="638">
        <f t="shared" si="12"/>
        <v>7.9582193484207905E-2</v>
      </c>
      <c r="V44" s="633">
        <v>8013</v>
      </c>
      <c r="W44" s="634">
        <v>503</v>
      </c>
      <c r="X44" s="638">
        <f t="shared" si="13"/>
        <v>6.2772993884936984E-2</v>
      </c>
      <c r="Y44" s="633">
        <v>7658</v>
      </c>
      <c r="Z44" s="634">
        <v>365</v>
      </c>
      <c r="AA44" s="635">
        <f t="shared" si="14"/>
        <v>4.7662575084878561E-2</v>
      </c>
      <c r="AB44" s="633">
        <v>7472</v>
      </c>
      <c r="AC44" s="634">
        <v>345</v>
      </c>
      <c r="AD44" s="635">
        <f t="shared" si="15"/>
        <v>4.6172376873661672E-2</v>
      </c>
      <c r="AE44" s="633">
        <v>7155</v>
      </c>
      <c r="AF44" s="634">
        <v>385</v>
      </c>
      <c r="AG44" s="635">
        <f t="shared" si="16"/>
        <v>5.3808525506638713E-2</v>
      </c>
      <c r="AH44" s="610">
        <v>7169</v>
      </c>
      <c r="AI44" s="611">
        <v>361</v>
      </c>
      <c r="AJ44" s="622">
        <f t="shared" si="17"/>
        <v>5.0355698144790066E-2</v>
      </c>
      <c r="AK44" s="633">
        <v>7164</v>
      </c>
      <c r="AL44" s="634">
        <v>461</v>
      </c>
      <c r="AM44" s="635">
        <f t="shared" si="18"/>
        <v>6.434952540480178E-2</v>
      </c>
      <c r="AN44" s="630">
        <v>7322</v>
      </c>
      <c r="AO44" s="611">
        <v>788</v>
      </c>
      <c r="AP44" s="619">
        <f t="shared" si="19"/>
        <v>0.10762086861513248</v>
      </c>
      <c r="AQ44" s="610">
        <v>7408</v>
      </c>
      <c r="AR44" s="611">
        <v>843</v>
      </c>
      <c r="AS44" s="622">
        <f t="shared" si="20"/>
        <v>0.11379589632829373</v>
      </c>
      <c r="AT44" s="620">
        <v>7005</v>
      </c>
      <c r="AU44" s="612">
        <v>725</v>
      </c>
      <c r="AV44" s="613">
        <f t="shared" si="9"/>
        <v>0.10349750178443969</v>
      </c>
    </row>
    <row r="45" spans="1:48" ht="15" customHeight="1">
      <c r="A45" s="529" t="s">
        <v>101</v>
      </c>
      <c r="B45" s="532" t="s">
        <v>102</v>
      </c>
      <c r="C45" s="531" t="s">
        <v>276</v>
      </c>
      <c r="D45" s="646">
        <f t="shared" si="21"/>
        <v>2.2833178005591797E-2</v>
      </c>
      <c r="E45" s="647">
        <f t="shared" si="10"/>
        <v>3.5230958505759982E-2</v>
      </c>
      <c r="F45" s="647">
        <f t="shared" si="11"/>
        <v>4.0628385698808236E-2</v>
      </c>
      <c r="G45" s="647">
        <f t="shared" si="1"/>
        <v>3.0635038825656845E-2</v>
      </c>
      <c r="H45" s="647">
        <f t="shared" si="2"/>
        <v>2.8709115144058238E-2</v>
      </c>
      <c r="I45" s="647">
        <f t="shared" si="3"/>
        <v>2.2665103556076593E-2</v>
      </c>
      <c r="J45" s="647">
        <f t="shared" si="4"/>
        <v>2.1057646498332538E-2</v>
      </c>
      <c r="K45" s="647">
        <f t="shared" si="5"/>
        <v>3.2590372728975463E-2</v>
      </c>
      <c r="L45" s="647">
        <f t="shared" si="6"/>
        <v>5.809320856110442E-2</v>
      </c>
      <c r="M45" s="647">
        <f t="shared" si="7"/>
        <v>5.8612769866789156E-2</v>
      </c>
      <c r="N45" s="648">
        <f t="shared" si="8"/>
        <v>5.1244775576958022E-2</v>
      </c>
      <c r="O45" s="639"/>
      <c r="P45" s="610">
        <v>8584</v>
      </c>
      <c r="Q45" s="611">
        <v>196</v>
      </c>
      <c r="R45" s="637">
        <f t="shared" si="0"/>
        <v>2.2833178005591797E-2</v>
      </c>
      <c r="S45" s="633">
        <v>8941</v>
      </c>
      <c r="T45" s="634">
        <v>315</v>
      </c>
      <c r="U45" s="638">
        <f t="shared" si="12"/>
        <v>3.5230958505759982E-2</v>
      </c>
      <c r="V45" s="633">
        <v>9230</v>
      </c>
      <c r="W45" s="634">
        <v>375</v>
      </c>
      <c r="X45" s="638">
        <f t="shared" si="13"/>
        <v>4.0628385698808236E-2</v>
      </c>
      <c r="Y45" s="633">
        <v>9401</v>
      </c>
      <c r="Z45" s="634">
        <v>288</v>
      </c>
      <c r="AA45" s="635">
        <f t="shared" si="14"/>
        <v>3.0635038825656845E-2</v>
      </c>
      <c r="AB45" s="633">
        <v>9753</v>
      </c>
      <c r="AC45" s="634">
        <v>280</v>
      </c>
      <c r="AD45" s="635">
        <f t="shared" si="15"/>
        <v>2.8709115144058238E-2</v>
      </c>
      <c r="AE45" s="633">
        <v>10236</v>
      </c>
      <c r="AF45" s="634">
        <v>232</v>
      </c>
      <c r="AG45" s="635">
        <f t="shared" si="16"/>
        <v>2.2665103556076593E-2</v>
      </c>
      <c r="AH45" s="610">
        <v>10495</v>
      </c>
      <c r="AI45" s="611">
        <v>221</v>
      </c>
      <c r="AJ45" s="622">
        <f t="shared" si="17"/>
        <v>2.1057646498332538E-2</v>
      </c>
      <c r="AK45" s="633">
        <v>10678</v>
      </c>
      <c r="AL45" s="634">
        <v>348</v>
      </c>
      <c r="AM45" s="635">
        <f t="shared" si="18"/>
        <v>3.2590372728975463E-2</v>
      </c>
      <c r="AN45" s="630">
        <v>10793</v>
      </c>
      <c r="AO45" s="611">
        <v>627</v>
      </c>
      <c r="AP45" s="619">
        <f t="shared" si="19"/>
        <v>5.809320856110442E-2</v>
      </c>
      <c r="AQ45" s="610">
        <v>10885</v>
      </c>
      <c r="AR45" s="611">
        <v>638</v>
      </c>
      <c r="AS45" s="622">
        <f t="shared" si="20"/>
        <v>5.8612769866789156E-2</v>
      </c>
      <c r="AT45" s="620">
        <v>11006</v>
      </c>
      <c r="AU45" s="612">
        <v>564</v>
      </c>
      <c r="AV45" s="613">
        <f t="shared" si="9"/>
        <v>5.1244775576958022E-2</v>
      </c>
    </row>
    <row r="46" spans="1:48" ht="15" customHeight="1">
      <c r="A46" s="529" t="s">
        <v>103</v>
      </c>
      <c r="B46" s="532" t="s">
        <v>104</v>
      </c>
      <c r="C46" s="531" t="s">
        <v>272</v>
      </c>
      <c r="D46" s="646">
        <f t="shared" si="21"/>
        <v>4.4612534732942265E-2</v>
      </c>
      <c r="E46" s="647">
        <f t="shared" si="10"/>
        <v>4.794414274631497E-2</v>
      </c>
      <c r="F46" s="647">
        <f t="shared" si="11"/>
        <v>5.8686809994189425E-2</v>
      </c>
      <c r="G46" s="647">
        <f t="shared" si="1"/>
        <v>6.6204772902232492E-2</v>
      </c>
      <c r="H46" s="647">
        <f t="shared" si="2"/>
        <v>5.4180289584306401E-2</v>
      </c>
      <c r="I46" s="647">
        <f t="shared" si="3"/>
        <v>4.6561825470243602E-2</v>
      </c>
      <c r="J46" s="647">
        <f t="shared" si="4"/>
        <v>5.0375607600530267E-2</v>
      </c>
      <c r="K46" s="647">
        <f t="shared" si="5"/>
        <v>6.1721240220226022E-2</v>
      </c>
      <c r="L46" s="647">
        <f t="shared" si="6"/>
        <v>0.1030011655011655</v>
      </c>
      <c r="M46" s="647">
        <f t="shared" si="7"/>
        <v>0.10749824807288016</v>
      </c>
      <c r="N46" s="648">
        <f t="shared" si="8"/>
        <v>0.10221033366183303</v>
      </c>
      <c r="O46" s="639"/>
      <c r="P46" s="614">
        <v>6478</v>
      </c>
      <c r="Q46" s="615">
        <v>289</v>
      </c>
      <c r="R46" s="637">
        <f t="shared" si="0"/>
        <v>4.4612534732942265E-2</v>
      </c>
      <c r="S46" s="614">
        <v>6445</v>
      </c>
      <c r="T46" s="615">
        <v>309</v>
      </c>
      <c r="U46" s="638">
        <f t="shared" si="12"/>
        <v>4.794414274631497E-2</v>
      </c>
      <c r="V46" s="614">
        <v>6884</v>
      </c>
      <c r="W46" s="615">
        <v>404</v>
      </c>
      <c r="X46" s="638">
        <f t="shared" si="13"/>
        <v>5.8686809994189425E-2</v>
      </c>
      <c r="Y46" s="614">
        <v>6495</v>
      </c>
      <c r="Z46" s="615">
        <v>430</v>
      </c>
      <c r="AA46" s="635">
        <f t="shared" si="14"/>
        <v>6.6204772902232492E-2</v>
      </c>
      <c r="AB46" s="614">
        <v>6423</v>
      </c>
      <c r="AC46" s="615">
        <v>348</v>
      </c>
      <c r="AD46" s="635">
        <f t="shared" si="15"/>
        <v>5.4180289584306401E-2</v>
      </c>
      <c r="AE46" s="614">
        <v>6486</v>
      </c>
      <c r="AF46" s="615">
        <v>302</v>
      </c>
      <c r="AG46" s="635">
        <f t="shared" si="16"/>
        <v>4.6561825470243602E-2</v>
      </c>
      <c r="AH46" s="614">
        <v>6789</v>
      </c>
      <c r="AI46" s="615">
        <v>342</v>
      </c>
      <c r="AJ46" s="622">
        <f t="shared" si="17"/>
        <v>5.0375607600530267E-2</v>
      </c>
      <c r="AK46" s="614">
        <v>6902</v>
      </c>
      <c r="AL46" s="615">
        <v>426</v>
      </c>
      <c r="AM46" s="635">
        <f t="shared" si="18"/>
        <v>6.1721240220226022E-2</v>
      </c>
      <c r="AN46" s="624">
        <v>6864</v>
      </c>
      <c r="AO46" s="615">
        <v>707</v>
      </c>
      <c r="AP46" s="619">
        <f t="shared" si="19"/>
        <v>0.1030011655011655</v>
      </c>
      <c r="AQ46" s="614">
        <v>7135</v>
      </c>
      <c r="AR46" s="615">
        <v>767</v>
      </c>
      <c r="AS46" s="622">
        <f t="shared" si="20"/>
        <v>0.10749824807288016</v>
      </c>
      <c r="AT46" s="620">
        <v>7103</v>
      </c>
      <c r="AU46" s="612">
        <v>726</v>
      </c>
      <c r="AV46" s="613">
        <f t="shared" si="9"/>
        <v>0.10221033366183303</v>
      </c>
    </row>
    <row r="47" spans="1:48" ht="15" customHeight="1">
      <c r="A47" s="529" t="s">
        <v>105</v>
      </c>
      <c r="B47" s="532" t="s">
        <v>970</v>
      </c>
      <c r="C47" s="531" t="s">
        <v>273</v>
      </c>
      <c r="D47" s="646">
        <f t="shared" si="21"/>
        <v>7.2848477568914785E-2</v>
      </c>
      <c r="E47" s="647">
        <f t="shared" si="10"/>
        <v>0.10212690114068441</v>
      </c>
      <c r="F47" s="647">
        <f t="shared" si="11"/>
        <v>0.10154444849811504</v>
      </c>
      <c r="G47" s="647">
        <f t="shared" si="1"/>
        <v>7.5813421453990851E-2</v>
      </c>
      <c r="H47" s="647">
        <f t="shared" si="2"/>
        <v>6.0362678044801409E-2</v>
      </c>
      <c r="I47" s="647">
        <f t="shared" si="3"/>
        <v>5.7374984254943945E-2</v>
      </c>
      <c r="J47" s="647">
        <f t="shared" si="4"/>
        <v>6.2762046055602136E-2</v>
      </c>
      <c r="K47" s="647">
        <f t="shared" si="5"/>
        <v>6.8259819499173757E-2</v>
      </c>
      <c r="L47" s="647">
        <f t="shared" si="6"/>
        <v>0.11579721694354196</v>
      </c>
      <c r="M47" s="647">
        <f t="shared" si="7"/>
        <v>0.11676717512120137</v>
      </c>
      <c r="N47" s="648">
        <f t="shared" si="8"/>
        <v>0.10616667681256468</v>
      </c>
      <c r="O47" s="639"/>
      <c r="P47" s="610">
        <v>16651</v>
      </c>
      <c r="Q47" s="611">
        <v>1213</v>
      </c>
      <c r="R47" s="637">
        <f t="shared" si="0"/>
        <v>7.2848477568914785E-2</v>
      </c>
      <c r="S47" s="633">
        <v>16832</v>
      </c>
      <c r="T47" s="634">
        <v>1719</v>
      </c>
      <c r="U47" s="638">
        <f t="shared" si="12"/>
        <v>0.10212690114068441</v>
      </c>
      <c r="V47" s="633">
        <v>16446</v>
      </c>
      <c r="W47" s="634">
        <v>1670</v>
      </c>
      <c r="X47" s="638">
        <f t="shared" si="13"/>
        <v>0.10154444849811504</v>
      </c>
      <c r="Y47" s="633">
        <v>15736</v>
      </c>
      <c r="Z47" s="634">
        <v>1193</v>
      </c>
      <c r="AA47" s="635">
        <f t="shared" si="14"/>
        <v>7.5813421453990851E-2</v>
      </c>
      <c r="AB47" s="633">
        <v>15937</v>
      </c>
      <c r="AC47" s="634">
        <v>962</v>
      </c>
      <c r="AD47" s="635">
        <f t="shared" si="15"/>
        <v>6.0362678044801409E-2</v>
      </c>
      <c r="AE47" s="633">
        <v>15878</v>
      </c>
      <c r="AF47" s="634">
        <v>911</v>
      </c>
      <c r="AG47" s="635">
        <f t="shared" si="16"/>
        <v>5.7374984254943945E-2</v>
      </c>
      <c r="AH47" s="610">
        <v>15503</v>
      </c>
      <c r="AI47" s="611">
        <v>973</v>
      </c>
      <c r="AJ47" s="622">
        <f t="shared" si="17"/>
        <v>6.2762046055602136E-2</v>
      </c>
      <c r="AK47" s="633">
        <v>15734</v>
      </c>
      <c r="AL47" s="634">
        <v>1074</v>
      </c>
      <c r="AM47" s="635">
        <f t="shared" si="18"/>
        <v>6.8259819499173757E-2</v>
      </c>
      <c r="AN47" s="630">
        <v>16313</v>
      </c>
      <c r="AO47" s="611">
        <v>1889</v>
      </c>
      <c r="AP47" s="619">
        <f t="shared" si="19"/>
        <v>0.11579721694354196</v>
      </c>
      <c r="AQ47" s="610">
        <v>16914</v>
      </c>
      <c r="AR47" s="611">
        <v>1975</v>
      </c>
      <c r="AS47" s="622">
        <f t="shared" si="20"/>
        <v>0.11676717512120137</v>
      </c>
      <c r="AT47" s="620">
        <v>16427</v>
      </c>
      <c r="AU47" s="612">
        <v>1744</v>
      </c>
      <c r="AV47" s="613">
        <f t="shared" si="9"/>
        <v>0.10616667681256468</v>
      </c>
    </row>
    <row r="48" spans="1:48" ht="15" customHeight="1">
      <c r="A48" s="529" t="s">
        <v>109</v>
      </c>
      <c r="B48" s="532" t="s">
        <v>110</v>
      </c>
      <c r="C48" s="531" t="s">
        <v>275</v>
      </c>
      <c r="D48" s="646">
        <f t="shared" si="21"/>
        <v>2.5038155343810584E-2</v>
      </c>
      <c r="E48" s="647">
        <f t="shared" si="10"/>
        <v>3.271297197449699E-2</v>
      </c>
      <c r="F48" s="647">
        <f t="shared" si="11"/>
        <v>3.2354424486945726E-2</v>
      </c>
      <c r="G48" s="647">
        <f t="shared" si="1"/>
        <v>3.0360674263113289E-2</v>
      </c>
      <c r="H48" s="647">
        <f t="shared" si="2"/>
        <v>2.9143459837536776E-2</v>
      </c>
      <c r="I48" s="647">
        <f t="shared" si="3"/>
        <v>2.4781710807579436E-2</v>
      </c>
      <c r="J48" s="647">
        <f t="shared" si="4"/>
        <v>2.4326089322642672E-2</v>
      </c>
      <c r="K48" s="647">
        <f t="shared" si="5"/>
        <v>3.421146953405018E-2</v>
      </c>
      <c r="L48" s="647">
        <f t="shared" si="6"/>
        <v>6.4556509298998574E-2</v>
      </c>
      <c r="M48" s="647">
        <f t="shared" si="7"/>
        <v>6.4622701446749808E-2</v>
      </c>
      <c r="N48" s="648">
        <f t="shared" si="8"/>
        <v>5.7757401006501063E-2</v>
      </c>
      <c r="O48" s="639"/>
      <c r="P48" s="610">
        <v>48486</v>
      </c>
      <c r="Q48" s="611">
        <v>1214</v>
      </c>
      <c r="R48" s="637">
        <f t="shared" si="0"/>
        <v>2.5038155343810584E-2</v>
      </c>
      <c r="S48" s="633">
        <v>50347</v>
      </c>
      <c r="T48" s="634">
        <v>1647</v>
      </c>
      <c r="U48" s="638">
        <f t="shared" si="12"/>
        <v>3.271297197449699E-2</v>
      </c>
      <c r="V48" s="633">
        <v>51554</v>
      </c>
      <c r="W48" s="634">
        <v>1668</v>
      </c>
      <c r="X48" s="638">
        <f t="shared" si="13"/>
        <v>3.2354424486945726E-2</v>
      </c>
      <c r="Y48" s="633">
        <v>53095</v>
      </c>
      <c r="Z48" s="634">
        <v>1612</v>
      </c>
      <c r="AA48" s="635">
        <f t="shared" si="14"/>
        <v>3.0360674263113289E-2</v>
      </c>
      <c r="AB48" s="633">
        <v>54043</v>
      </c>
      <c r="AC48" s="634">
        <v>1575</v>
      </c>
      <c r="AD48" s="635">
        <f t="shared" si="15"/>
        <v>2.9143459837536776E-2</v>
      </c>
      <c r="AE48" s="633">
        <v>55202</v>
      </c>
      <c r="AF48" s="634">
        <v>1368</v>
      </c>
      <c r="AG48" s="635">
        <f t="shared" si="16"/>
        <v>2.4781710807579436E-2</v>
      </c>
      <c r="AH48" s="610">
        <v>55126</v>
      </c>
      <c r="AI48" s="611">
        <v>1341</v>
      </c>
      <c r="AJ48" s="622">
        <f t="shared" si="17"/>
        <v>2.4326089322642672E-2</v>
      </c>
      <c r="AK48" s="633">
        <v>55800</v>
      </c>
      <c r="AL48" s="634">
        <v>1909</v>
      </c>
      <c r="AM48" s="635">
        <f t="shared" si="18"/>
        <v>3.421146953405018E-2</v>
      </c>
      <c r="AN48" s="630">
        <v>55920</v>
      </c>
      <c r="AO48" s="611">
        <v>3610</v>
      </c>
      <c r="AP48" s="619">
        <f t="shared" si="19"/>
        <v>6.4556509298998574E-2</v>
      </c>
      <c r="AQ48" s="610">
        <v>55089</v>
      </c>
      <c r="AR48" s="611">
        <v>3560</v>
      </c>
      <c r="AS48" s="622">
        <f t="shared" si="20"/>
        <v>6.4622701446749808E-2</v>
      </c>
      <c r="AT48" s="620">
        <v>55837</v>
      </c>
      <c r="AU48" s="612">
        <v>3225</v>
      </c>
      <c r="AV48" s="613">
        <f t="shared" si="9"/>
        <v>5.7757401006501063E-2</v>
      </c>
    </row>
    <row r="49" spans="1:48" ht="15" customHeight="1">
      <c r="A49" s="529" t="s">
        <v>111</v>
      </c>
      <c r="B49" s="532" t="s">
        <v>112</v>
      </c>
      <c r="C49" s="531" t="s">
        <v>275</v>
      </c>
      <c r="D49" s="646">
        <f t="shared" si="21"/>
        <v>2.9352983562873032E-2</v>
      </c>
      <c r="E49" s="647">
        <f t="shared" si="10"/>
        <v>3.6631019630469497E-2</v>
      </c>
      <c r="F49" s="647">
        <f t="shared" si="11"/>
        <v>3.7052470054434454E-2</v>
      </c>
      <c r="G49" s="647">
        <f t="shared" si="1"/>
        <v>3.4427774621701185E-2</v>
      </c>
      <c r="H49" s="647">
        <f t="shared" si="2"/>
        <v>3.3384587153641239E-2</v>
      </c>
      <c r="I49" s="647">
        <f t="shared" si="3"/>
        <v>2.8178467772508903E-2</v>
      </c>
      <c r="J49" s="647">
        <f t="shared" si="4"/>
        <v>2.7240252801270112E-2</v>
      </c>
      <c r="K49" s="647">
        <f t="shared" si="5"/>
        <v>3.6198604129750837E-2</v>
      </c>
      <c r="L49" s="647">
        <f t="shared" si="6"/>
        <v>6.8117551706540991E-2</v>
      </c>
      <c r="M49" s="647">
        <f t="shared" si="7"/>
        <v>6.8553076362234039E-2</v>
      </c>
      <c r="N49" s="648">
        <f t="shared" si="8"/>
        <v>6.0998915345281755E-2</v>
      </c>
      <c r="O49" s="639"/>
      <c r="P49" s="610">
        <v>147106</v>
      </c>
      <c r="Q49" s="611">
        <v>4318</v>
      </c>
      <c r="R49" s="637">
        <f t="shared" si="0"/>
        <v>2.9352983562873032E-2</v>
      </c>
      <c r="S49" s="633">
        <v>149054</v>
      </c>
      <c r="T49" s="634">
        <v>5460</v>
      </c>
      <c r="U49" s="638">
        <f t="shared" si="12"/>
        <v>3.6631019630469497E-2</v>
      </c>
      <c r="V49" s="633">
        <v>151191</v>
      </c>
      <c r="W49" s="634">
        <v>5602</v>
      </c>
      <c r="X49" s="638">
        <f t="shared" si="13"/>
        <v>3.7052470054434454E-2</v>
      </c>
      <c r="Y49" s="633">
        <v>154904</v>
      </c>
      <c r="Z49" s="634">
        <v>5333</v>
      </c>
      <c r="AA49" s="635">
        <f t="shared" si="14"/>
        <v>3.4427774621701185E-2</v>
      </c>
      <c r="AB49" s="633">
        <v>158037</v>
      </c>
      <c r="AC49" s="634">
        <v>5276</v>
      </c>
      <c r="AD49" s="635">
        <f t="shared" si="15"/>
        <v>3.3384587153641239E-2</v>
      </c>
      <c r="AE49" s="633">
        <v>160903</v>
      </c>
      <c r="AF49" s="634">
        <v>4534</v>
      </c>
      <c r="AG49" s="635">
        <f t="shared" si="16"/>
        <v>2.8178467772508903E-2</v>
      </c>
      <c r="AH49" s="610">
        <v>163765</v>
      </c>
      <c r="AI49" s="611">
        <v>4461</v>
      </c>
      <c r="AJ49" s="622">
        <f t="shared" si="17"/>
        <v>2.7240252801270112E-2</v>
      </c>
      <c r="AK49" s="633">
        <v>165918</v>
      </c>
      <c r="AL49" s="634">
        <v>6006</v>
      </c>
      <c r="AM49" s="635">
        <f t="shared" si="18"/>
        <v>3.6198604129750837E-2</v>
      </c>
      <c r="AN49" s="630">
        <v>166565</v>
      </c>
      <c r="AO49" s="611">
        <v>11346</v>
      </c>
      <c r="AP49" s="619">
        <f t="shared" si="19"/>
        <v>6.8117551706540991E-2</v>
      </c>
      <c r="AQ49" s="610">
        <v>165959</v>
      </c>
      <c r="AR49" s="611">
        <v>11377</v>
      </c>
      <c r="AS49" s="622">
        <f t="shared" si="20"/>
        <v>6.8553076362234039E-2</v>
      </c>
      <c r="AT49" s="620">
        <v>174249</v>
      </c>
      <c r="AU49" s="612">
        <v>10629</v>
      </c>
      <c r="AV49" s="613">
        <f t="shared" si="9"/>
        <v>6.0998915345281755E-2</v>
      </c>
    </row>
    <row r="50" spans="1:48" ht="15" customHeight="1">
      <c r="A50" s="529" t="s">
        <v>113</v>
      </c>
      <c r="B50" s="532" t="s">
        <v>114</v>
      </c>
      <c r="C50" s="531" t="s">
        <v>273</v>
      </c>
      <c r="D50" s="646">
        <f t="shared" si="21"/>
        <v>6.2667809197372179E-2</v>
      </c>
      <c r="E50" s="647">
        <f t="shared" si="10"/>
        <v>0.10528577567683713</v>
      </c>
      <c r="F50" s="647">
        <f t="shared" si="11"/>
        <v>0.10082872928176796</v>
      </c>
      <c r="G50" s="647">
        <f t="shared" si="1"/>
        <v>9.7198381559588029E-2</v>
      </c>
      <c r="H50" s="647">
        <f t="shared" si="2"/>
        <v>7.1705732042020257E-2</v>
      </c>
      <c r="I50" s="647">
        <f t="shared" si="3"/>
        <v>5.129274395329441E-2</v>
      </c>
      <c r="J50" s="647">
        <f t="shared" si="4"/>
        <v>5.9255309137676841E-2</v>
      </c>
      <c r="K50" s="647">
        <f t="shared" si="5"/>
        <v>8.7377400083064438E-2</v>
      </c>
      <c r="L50" s="647">
        <f t="shared" si="6"/>
        <v>0.15272575946733249</v>
      </c>
      <c r="M50" s="647">
        <f t="shared" si="7"/>
        <v>0.14528051554207733</v>
      </c>
      <c r="N50" s="648">
        <f t="shared" si="8"/>
        <v>0.1262304962164334</v>
      </c>
      <c r="O50" s="639"/>
      <c r="P50" s="614">
        <v>35010</v>
      </c>
      <c r="Q50" s="615">
        <v>2194</v>
      </c>
      <c r="R50" s="637">
        <f t="shared" si="0"/>
        <v>6.2667809197372179E-2</v>
      </c>
      <c r="S50" s="614">
        <v>34905</v>
      </c>
      <c r="T50" s="615">
        <v>3675</v>
      </c>
      <c r="U50" s="638">
        <f t="shared" si="12"/>
        <v>0.10528577567683713</v>
      </c>
      <c r="V50" s="614">
        <v>34752</v>
      </c>
      <c r="W50" s="615">
        <v>3504</v>
      </c>
      <c r="X50" s="638">
        <f t="shared" si="13"/>
        <v>0.10082872928176796</v>
      </c>
      <c r="Y50" s="614">
        <v>32624</v>
      </c>
      <c r="Z50" s="615">
        <v>3171</v>
      </c>
      <c r="AA50" s="635">
        <f t="shared" si="14"/>
        <v>9.7198381559588029E-2</v>
      </c>
      <c r="AB50" s="614">
        <v>31699</v>
      </c>
      <c r="AC50" s="615">
        <v>2273</v>
      </c>
      <c r="AD50" s="635">
        <f t="shared" si="15"/>
        <v>7.1705732042020257E-2</v>
      </c>
      <c r="AE50" s="614">
        <v>31174</v>
      </c>
      <c r="AF50" s="615">
        <v>1599</v>
      </c>
      <c r="AG50" s="635">
        <f t="shared" si="16"/>
        <v>5.129274395329441E-2</v>
      </c>
      <c r="AH50" s="614">
        <v>31879</v>
      </c>
      <c r="AI50" s="615">
        <v>1889</v>
      </c>
      <c r="AJ50" s="622">
        <f t="shared" si="17"/>
        <v>5.9255309137676841E-2</v>
      </c>
      <c r="AK50" s="614">
        <v>31301</v>
      </c>
      <c r="AL50" s="615">
        <v>2735</v>
      </c>
      <c r="AM50" s="635">
        <f t="shared" si="18"/>
        <v>8.7377400083064438E-2</v>
      </c>
      <c r="AN50" s="624">
        <v>31239</v>
      </c>
      <c r="AO50" s="615">
        <v>4771</v>
      </c>
      <c r="AP50" s="619">
        <f t="shared" si="19"/>
        <v>0.15272575946733249</v>
      </c>
      <c r="AQ50" s="614">
        <v>31656</v>
      </c>
      <c r="AR50" s="615">
        <v>4599</v>
      </c>
      <c r="AS50" s="622">
        <f t="shared" si="20"/>
        <v>0.14528051554207733</v>
      </c>
      <c r="AT50" s="620">
        <v>29866</v>
      </c>
      <c r="AU50" s="612">
        <v>3770</v>
      </c>
      <c r="AV50" s="613">
        <f t="shared" si="9"/>
        <v>0.1262304962164334</v>
      </c>
    </row>
    <row r="51" spans="1:48" ht="15" customHeight="1">
      <c r="A51" s="529" t="s">
        <v>115</v>
      </c>
      <c r="B51" s="532" t="s">
        <v>116</v>
      </c>
      <c r="C51" s="531" t="s">
        <v>273</v>
      </c>
      <c r="D51" s="646">
        <f t="shared" si="21"/>
        <v>3.1774051191526917E-2</v>
      </c>
      <c r="E51" s="647">
        <f t="shared" si="10"/>
        <v>3.9007092198581561E-2</v>
      </c>
      <c r="F51" s="647">
        <f t="shared" si="11"/>
        <v>4.1771094402673348E-2</v>
      </c>
      <c r="G51" s="647">
        <f t="shared" si="1"/>
        <v>3.3940397350993377E-2</v>
      </c>
      <c r="H51" s="647">
        <f t="shared" si="2"/>
        <v>3.430962343096234E-2</v>
      </c>
      <c r="I51" s="647">
        <f t="shared" si="3"/>
        <v>3.1578947368421054E-2</v>
      </c>
      <c r="J51" s="647">
        <f t="shared" si="4"/>
        <v>3.3480176211453744E-2</v>
      </c>
      <c r="K51" s="647">
        <f t="shared" si="5"/>
        <v>5.0788091068301226E-2</v>
      </c>
      <c r="L51" s="647">
        <f t="shared" si="6"/>
        <v>7.9225352112676062E-2</v>
      </c>
      <c r="M51" s="647">
        <f t="shared" si="7"/>
        <v>7.8164825828377235E-2</v>
      </c>
      <c r="N51" s="648">
        <f t="shared" si="8"/>
        <v>6.9930069930069935E-2</v>
      </c>
      <c r="O51" s="639"/>
      <c r="P51" s="610">
        <v>1133</v>
      </c>
      <c r="Q51" s="611">
        <v>36</v>
      </c>
      <c r="R51" s="637">
        <f t="shared" si="0"/>
        <v>3.1774051191526917E-2</v>
      </c>
      <c r="S51" s="633">
        <v>1128</v>
      </c>
      <c r="T51" s="634">
        <v>44</v>
      </c>
      <c r="U51" s="638">
        <f t="shared" si="12"/>
        <v>3.9007092198581561E-2</v>
      </c>
      <c r="V51" s="633">
        <v>1197</v>
      </c>
      <c r="W51" s="634">
        <v>50</v>
      </c>
      <c r="X51" s="638">
        <f t="shared" si="13"/>
        <v>4.1771094402673348E-2</v>
      </c>
      <c r="Y51" s="633">
        <v>1208</v>
      </c>
      <c r="Z51" s="634">
        <v>41</v>
      </c>
      <c r="AA51" s="635">
        <f t="shared" si="14"/>
        <v>3.3940397350993377E-2</v>
      </c>
      <c r="AB51" s="633">
        <v>1195</v>
      </c>
      <c r="AC51" s="634">
        <v>41</v>
      </c>
      <c r="AD51" s="635">
        <f t="shared" si="15"/>
        <v>3.430962343096234E-2</v>
      </c>
      <c r="AE51" s="633">
        <v>1140</v>
      </c>
      <c r="AF51" s="634">
        <v>36</v>
      </c>
      <c r="AG51" s="635">
        <f t="shared" si="16"/>
        <v>3.1578947368421054E-2</v>
      </c>
      <c r="AH51" s="610">
        <v>1135</v>
      </c>
      <c r="AI51" s="611">
        <v>38</v>
      </c>
      <c r="AJ51" s="622">
        <f t="shared" si="17"/>
        <v>3.3480176211453744E-2</v>
      </c>
      <c r="AK51" s="633">
        <v>1142</v>
      </c>
      <c r="AL51" s="634">
        <v>58</v>
      </c>
      <c r="AM51" s="635">
        <f t="shared" si="18"/>
        <v>5.0788091068301226E-2</v>
      </c>
      <c r="AN51" s="630">
        <v>1136</v>
      </c>
      <c r="AO51" s="611">
        <v>90</v>
      </c>
      <c r="AP51" s="619">
        <f t="shared" si="19"/>
        <v>7.9225352112676062E-2</v>
      </c>
      <c r="AQ51" s="610">
        <v>1177</v>
      </c>
      <c r="AR51" s="611">
        <v>92</v>
      </c>
      <c r="AS51" s="622">
        <f t="shared" si="20"/>
        <v>7.8164825828377235E-2</v>
      </c>
      <c r="AT51" s="620">
        <v>1144</v>
      </c>
      <c r="AU51" s="612">
        <v>80</v>
      </c>
      <c r="AV51" s="613">
        <f t="shared" si="9"/>
        <v>6.9930069930069935E-2</v>
      </c>
    </row>
    <row r="52" spans="1:48" ht="15" customHeight="1">
      <c r="A52" s="529" t="s">
        <v>119</v>
      </c>
      <c r="B52" s="532" t="s">
        <v>120</v>
      </c>
      <c r="C52" s="531" t="s">
        <v>272</v>
      </c>
      <c r="D52" s="646">
        <f t="shared" si="21"/>
        <v>2.6667536023994264E-2</v>
      </c>
      <c r="E52" s="647">
        <f t="shared" si="10"/>
        <v>3.4725274725274723E-2</v>
      </c>
      <c r="F52" s="647">
        <f t="shared" si="11"/>
        <v>3.565571281054486E-2</v>
      </c>
      <c r="G52" s="647">
        <f t="shared" si="1"/>
        <v>3.3994669825288718E-2</v>
      </c>
      <c r="H52" s="647">
        <f t="shared" si="2"/>
        <v>3.626204458635042E-2</v>
      </c>
      <c r="I52" s="647">
        <f t="shared" si="3"/>
        <v>3.0128657510450029E-2</v>
      </c>
      <c r="J52" s="647">
        <f t="shared" si="4"/>
        <v>2.8205128205128206E-2</v>
      </c>
      <c r="K52" s="647">
        <f t="shared" si="5"/>
        <v>3.6571308812742322E-2</v>
      </c>
      <c r="L52" s="647">
        <f t="shared" si="6"/>
        <v>6.1520785460622521E-2</v>
      </c>
      <c r="M52" s="647">
        <f t="shared" si="7"/>
        <v>7.0764570712345931E-2</v>
      </c>
      <c r="N52" s="648">
        <f t="shared" si="8"/>
        <v>6.5172378092970287E-2</v>
      </c>
      <c r="O52" s="639"/>
      <c r="P52" s="610">
        <v>15337</v>
      </c>
      <c r="Q52" s="611">
        <v>409</v>
      </c>
      <c r="R52" s="637">
        <f t="shared" si="0"/>
        <v>2.6667536023994264E-2</v>
      </c>
      <c r="S52" s="633">
        <v>15925</v>
      </c>
      <c r="T52" s="634">
        <v>553</v>
      </c>
      <c r="U52" s="638">
        <f t="shared" si="12"/>
        <v>3.4725274725274723E-2</v>
      </c>
      <c r="V52" s="633">
        <v>16463</v>
      </c>
      <c r="W52" s="634">
        <v>587</v>
      </c>
      <c r="X52" s="638">
        <f t="shared" si="13"/>
        <v>3.565571281054486E-2</v>
      </c>
      <c r="Y52" s="633">
        <v>16885</v>
      </c>
      <c r="Z52" s="634">
        <v>574</v>
      </c>
      <c r="AA52" s="635">
        <f t="shared" si="14"/>
        <v>3.3994669825288718E-2</v>
      </c>
      <c r="AB52" s="633">
        <v>17539</v>
      </c>
      <c r="AC52" s="634">
        <v>636</v>
      </c>
      <c r="AD52" s="635">
        <f t="shared" si="15"/>
        <v>3.626204458635042E-2</v>
      </c>
      <c r="AE52" s="633">
        <v>18421</v>
      </c>
      <c r="AF52" s="634">
        <v>555</v>
      </c>
      <c r="AG52" s="635">
        <f t="shared" si="16"/>
        <v>3.0128657510450029E-2</v>
      </c>
      <c r="AH52" s="610">
        <v>18720</v>
      </c>
      <c r="AI52" s="611">
        <v>528</v>
      </c>
      <c r="AJ52" s="622">
        <f t="shared" si="17"/>
        <v>2.8205128205128206E-2</v>
      </c>
      <c r="AK52" s="633">
        <v>19086</v>
      </c>
      <c r="AL52" s="634">
        <v>698</v>
      </c>
      <c r="AM52" s="635">
        <f t="shared" si="18"/>
        <v>3.6571308812742322E-2</v>
      </c>
      <c r="AN52" s="630">
        <v>19148</v>
      </c>
      <c r="AO52" s="611">
        <v>1178</v>
      </c>
      <c r="AP52" s="619">
        <f t="shared" si="19"/>
        <v>6.1520785460622521E-2</v>
      </c>
      <c r="AQ52" s="610">
        <v>19148</v>
      </c>
      <c r="AR52" s="611">
        <v>1355</v>
      </c>
      <c r="AS52" s="622">
        <f t="shared" si="20"/>
        <v>7.0764570712345931E-2</v>
      </c>
      <c r="AT52" s="620">
        <v>19318</v>
      </c>
      <c r="AU52" s="612">
        <v>1259</v>
      </c>
      <c r="AV52" s="613">
        <f t="shared" si="9"/>
        <v>6.5172378092970287E-2</v>
      </c>
    </row>
    <row r="53" spans="1:48" ht="15" customHeight="1">
      <c r="A53" s="529" t="s">
        <v>121</v>
      </c>
      <c r="B53" s="532" t="s">
        <v>122</v>
      </c>
      <c r="C53" s="531" t="s">
        <v>272</v>
      </c>
      <c r="D53" s="646">
        <f t="shared" si="21"/>
        <v>2.5278225973273758E-2</v>
      </c>
      <c r="E53" s="647">
        <f t="shared" si="10"/>
        <v>3.2810662485299881E-2</v>
      </c>
      <c r="F53" s="647">
        <f t="shared" si="11"/>
        <v>3.3176248821866164E-2</v>
      </c>
      <c r="G53" s="647">
        <f t="shared" si="1"/>
        <v>3.3103994812866973E-2</v>
      </c>
      <c r="H53" s="647">
        <f t="shared" si="2"/>
        <v>3.0955492880236638E-2</v>
      </c>
      <c r="I53" s="647">
        <f t="shared" si="3"/>
        <v>2.6034341782502045E-2</v>
      </c>
      <c r="J53" s="647">
        <f t="shared" si="4"/>
        <v>2.4267384761603041E-2</v>
      </c>
      <c r="K53" s="647">
        <f t="shared" si="5"/>
        <v>3.1580897107399745E-2</v>
      </c>
      <c r="L53" s="647">
        <f t="shared" si="6"/>
        <v>5.3007135575942915E-2</v>
      </c>
      <c r="M53" s="647">
        <f t="shared" si="7"/>
        <v>5.6471964054902443E-2</v>
      </c>
      <c r="N53" s="648">
        <f t="shared" si="8"/>
        <v>5.263008245663918E-2</v>
      </c>
      <c r="O53" s="639"/>
      <c r="P53" s="610">
        <v>24171</v>
      </c>
      <c r="Q53" s="611">
        <v>611</v>
      </c>
      <c r="R53" s="637">
        <f t="shared" si="0"/>
        <v>2.5278225973273758E-2</v>
      </c>
      <c r="S53" s="633">
        <v>25510</v>
      </c>
      <c r="T53" s="634">
        <v>837</v>
      </c>
      <c r="U53" s="638">
        <f t="shared" si="12"/>
        <v>3.2810662485299881E-2</v>
      </c>
      <c r="V53" s="633">
        <v>26525</v>
      </c>
      <c r="W53" s="634">
        <v>880</v>
      </c>
      <c r="X53" s="638">
        <f t="shared" si="13"/>
        <v>3.3176248821866164E-2</v>
      </c>
      <c r="Y53" s="633">
        <v>27761</v>
      </c>
      <c r="Z53" s="634">
        <v>919</v>
      </c>
      <c r="AA53" s="635">
        <f t="shared" si="14"/>
        <v>3.3103994812866973E-2</v>
      </c>
      <c r="AB53" s="633">
        <v>29074</v>
      </c>
      <c r="AC53" s="634">
        <v>900</v>
      </c>
      <c r="AD53" s="635">
        <f t="shared" si="15"/>
        <v>3.0955492880236638E-2</v>
      </c>
      <c r="AE53" s="633">
        <v>30575</v>
      </c>
      <c r="AF53" s="634">
        <v>796</v>
      </c>
      <c r="AG53" s="635">
        <f t="shared" si="16"/>
        <v>2.6034341782502045E-2</v>
      </c>
      <c r="AH53" s="610">
        <v>31565</v>
      </c>
      <c r="AI53" s="611">
        <v>766</v>
      </c>
      <c r="AJ53" s="622">
        <f t="shared" si="17"/>
        <v>2.4267384761603041E-2</v>
      </c>
      <c r="AK53" s="633">
        <v>32393</v>
      </c>
      <c r="AL53" s="634">
        <v>1023</v>
      </c>
      <c r="AM53" s="635">
        <f t="shared" si="18"/>
        <v>3.1580897107399745E-2</v>
      </c>
      <c r="AN53" s="630">
        <v>32373</v>
      </c>
      <c r="AO53" s="611">
        <v>1716</v>
      </c>
      <c r="AP53" s="619">
        <f t="shared" si="19"/>
        <v>5.3007135575942915E-2</v>
      </c>
      <c r="AQ53" s="610">
        <v>32494</v>
      </c>
      <c r="AR53" s="611">
        <v>1835</v>
      </c>
      <c r="AS53" s="622">
        <f t="shared" si="20"/>
        <v>5.6471964054902443E-2</v>
      </c>
      <c r="AT53" s="620">
        <v>35170</v>
      </c>
      <c r="AU53" s="612">
        <v>1851</v>
      </c>
      <c r="AV53" s="613">
        <f t="shared" si="9"/>
        <v>5.263008245663918E-2</v>
      </c>
    </row>
    <row r="54" spans="1:48" ht="15" customHeight="1">
      <c r="A54" s="529" t="s">
        <v>123</v>
      </c>
      <c r="B54" s="532" t="s">
        <v>284</v>
      </c>
      <c r="C54" s="531" t="s">
        <v>275</v>
      </c>
      <c r="D54" s="646">
        <f t="shared" si="21"/>
        <v>3.2760814249363869E-2</v>
      </c>
      <c r="E54" s="647">
        <f t="shared" si="10"/>
        <v>4.3698543381887271E-2</v>
      </c>
      <c r="F54" s="647">
        <f t="shared" si="11"/>
        <v>4.5167403663929247E-2</v>
      </c>
      <c r="G54" s="647">
        <f t="shared" si="1"/>
        <v>3.7434795949677815E-2</v>
      </c>
      <c r="H54" s="647">
        <f t="shared" si="2"/>
        <v>3.8834951456310676E-2</v>
      </c>
      <c r="I54" s="647">
        <f t="shared" si="3"/>
        <v>3.3035714285714286E-2</v>
      </c>
      <c r="J54" s="647">
        <f t="shared" si="4"/>
        <v>3.4585569469290402E-2</v>
      </c>
      <c r="K54" s="647">
        <f t="shared" si="5"/>
        <v>4.5698924731182797E-2</v>
      </c>
      <c r="L54" s="647">
        <f t="shared" si="6"/>
        <v>7.8454680534918275E-2</v>
      </c>
      <c r="M54" s="647">
        <f t="shared" si="7"/>
        <v>8.6471828864115696E-2</v>
      </c>
      <c r="N54" s="648">
        <f t="shared" si="8"/>
        <v>7.3727325921591577E-2</v>
      </c>
      <c r="O54" s="639"/>
      <c r="P54" s="610">
        <v>3144</v>
      </c>
      <c r="Q54" s="611">
        <v>103</v>
      </c>
      <c r="R54" s="637">
        <f t="shared" si="0"/>
        <v>3.2760814249363869E-2</v>
      </c>
      <c r="S54" s="633">
        <v>3158</v>
      </c>
      <c r="T54" s="634">
        <v>138</v>
      </c>
      <c r="U54" s="638">
        <f t="shared" si="12"/>
        <v>4.3698543381887271E-2</v>
      </c>
      <c r="V54" s="633">
        <v>3166</v>
      </c>
      <c r="W54" s="634">
        <v>143</v>
      </c>
      <c r="X54" s="638">
        <f t="shared" si="13"/>
        <v>4.5167403663929247E-2</v>
      </c>
      <c r="Y54" s="633">
        <v>3259</v>
      </c>
      <c r="Z54" s="634">
        <v>122</v>
      </c>
      <c r="AA54" s="635">
        <f t="shared" si="14"/>
        <v>3.7434795949677815E-2</v>
      </c>
      <c r="AB54" s="633">
        <v>3296</v>
      </c>
      <c r="AC54" s="634">
        <v>128</v>
      </c>
      <c r="AD54" s="635">
        <f t="shared" si="15"/>
        <v>3.8834951456310676E-2</v>
      </c>
      <c r="AE54" s="633">
        <v>3360</v>
      </c>
      <c r="AF54" s="634">
        <v>111</v>
      </c>
      <c r="AG54" s="635">
        <f t="shared" si="16"/>
        <v>3.3035714285714286E-2</v>
      </c>
      <c r="AH54" s="610">
        <v>3354</v>
      </c>
      <c r="AI54" s="611">
        <v>116</v>
      </c>
      <c r="AJ54" s="622">
        <f t="shared" si="17"/>
        <v>3.4585569469290402E-2</v>
      </c>
      <c r="AK54" s="633">
        <v>3348</v>
      </c>
      <c r="AL54" s="634">
        <v>153</v>
      </c>
      <c r="AM54" s="635">
        <f t="shared" si="18"/>
        <v>4.5698924731182797E-2</v>
      </c>
      <c r="AN54" s="630">
        <v>3365</v>
      </c>
      <c r="AO54" s="611">
        <v>264</v>
      </c>
      <c r="AP54" s="619">
        <f t="shared" si="19"/>
        <v>7.8454680534918275E-2</v>
      </c>
      <c r="AQ54" s="610">
        <v>3319</v>
      </c>
      <c r="AR54" s="611">
        <v>287</v>
      </c>
      <c r="AS54" s="622">
        <f t="shared" si="20"/>
        <v>8.6471828864115696E-2</v>
      </c>
      <c r="AT54" s="620">
        <v>3418</v>
      </c>
      <c r="AU54" s="612">
        <v>252</v>
      </c>
      <c r="AV54" s="613">
        <f t="shared" si="9"/>
        <v>7.3727325921591577E-2</v>
      </c>
    </row>
    <row r="55" spans="1:48" ht="15" customHeight="1">
      <c r="A55" s="529" t="s">
        <v>125</v>
      </c>
      <c r="B55" s="532" t="s">
        <v>126</v>
      </c>
      <c r="C55" s="531" t="s">
        <v>276</v>
      </c>
      <c r="D55" s="646">
        <f t="shared" si="21"/>
        <v>2.4404282260849546E-2</v>
      </c>
      <c r="E55" s="647">
        <f t="shared" si="10"/>
        <v>3.1165311653116531E-2</v>
      </c>
      <c r="F55" s="647">
        <f t="shared" si="11"/>
        <v>3.22969126341143E-2</v>
      </c>
      <c r="G55" s="647">
        <f t="shared" si="1"/>
        <v>3.0739466895958727E-2</v>
      </c>
      <c r="H55" s="647">
        <f t="shared" si="2"/>
        <v>3.3183293206322621E-2</v>
      </c>
      <c r="I55" s="647">
        <f t="shared" si="3"/>
        <v>3.2953237786379326E-2</v>
      </c>
      <c r="J55" s="647">
        <f t="shared" si="4"/>
        <v>3.462192013593883E-2</v>
      </c>
      <c r="K55" s="647">
        <f t="shared" si="5"/>
        <v>5.0606657679145496E-2</v>
      </c>
      <c r="L55" s="647">
        <f t="shared" si="6"/>
        <v>7.669674382110632E-2</v>
      </c>
      <c r="M55" s="647">
        <f t="shared" si="7"/>
        <v>8.0802346485003312E-2</v>
      </c>
      <c r="N55" s="648">
        <f t="shared" si="8"/>
        <v>7.3186588650506174E-2</v>
      </c>
      <c r="O55" s="639"/>
      <c r="P55" s="610">
        <v>8687</v>
      </c>
      <c r="Q55" s="611">
        <v>212</v>
      </c>
      <c r="R55" s="637">
        <f t="shared" si="0"/>
        <v>2.4404282260849546E-2</v>
      </c>
      <c r="S55" s="633">
        <v>8856</v>
      </c>
      <c r="T55" s="634">
        <v>276</v>
      </c>
      <c r="U55" s="638">
        <f t="shared" si="12"/>
        <v>3.1165311653116531E-2</v>
      </c>
      <c r="V55" s="633">
        <v>9134</v>
      </c>
      <c r="W55" s="634">
        <v>295</v>
      </c>
      <c r="X55" s="638">
        <f t="shared" si="13"/>
        <v>3.22969126341143E-2</v>
      </c>
      <c r="Y55" s="633">
        <v>9304</v>
      </c>
      <c r="Z55" s="634">
        <v>286</v>
      </c>
      <c r="AA55" s="635">
        <f t="shared" si="14"/>
        <v>3.0739466895958727E-2</v>
      </c>
      <c r="AB55" s="633">
        <v>9553</v>
      </c>
      <c r="AC55" s="634">
        <v>317</v>
      </c>
      <c r="AD55" s="635">
        <f t="shared" si="15"/>
        <v>3.3183293206322621E-2</v>
      </c>
      <c r="AE55" s="633">
        <v>9559</v>
      </c>
      <c r="AF55" s="634">
        <v>315</v>
      </c>
      <c r="AG55" s="635">
        <f t="shared" si="16"/>
        <v>3.2953237786379326E-2</v>
      </c>
      <c r="AH55" s="610">
        <v>9416</v>
      </c>
      <c r="AI55" s="611">
        <v>326</v>
      </c>
      <c r="AJ55" s="622">
        <f t="shared" si="17"/>
        <v>3.462192013593883E-2</v>
      </c>
      <c r="AK55" s="633">
        <v>9643</v>
      </c>
      <c r="AL55" s="634">
        <v>488</v>
      </c>
      <c r="AM55" s="635">
        <f t="shared" si="18"/>
        <v>5.0606657679145496E-2</v>
      </c>
      <c r="AN55" s="630">
        <v>10196</v>
      </c>
      <c r="AO55" s="611">
        <v>782</v>
      </c>
      <c r="AP55" s="619">
        <f t="shared" si="19"/>
        <v>7.669674382110632E-2</v>
      </c>
      <c r="AQ55" s="610">
        <v>10569</v>
      </c>
      <c r="AR55" s="611">
        <v>854</v>
      </c>
      <c r="AS55" s="622">
        <f t="shared" si="20"/>
        <v>8.0802346485003312E-2</v>
      </c>
      <c r="AT55" s="620">
        <v>10767</v>
      </c>
      <c r="AU55" s="612">
        <v>788</v>
      </c>
      <c r="AV55" s="613">
        <f t="shared" si="9"/>
        <v>7.3186588650506174E-2</v>
      </c>
    </row>
    <row r="56" spans="1:48" ht="15" customHeight="1">
      <c r="A56" s="529" t="s">
        <v>127</v>
      </c>
      <c r="B56" s="532" t="s">
        <v>128</v>
      </c>
      <c r="C56" s="531" t="s">
        <v>275</v>
      </c>
      <c r="D56" s="646">
        <f t="shared" si="21"/>
        <v>2.9227557411273485E-2</v>
      </c>
      <c r="E56" s="647">
        <f t="shared" si="10"/>
        <v>3.6183764737769346E-2</v>
      </c>
      <c r="F56" s="647">
        <f t="shared" si="11"/>
        <v>3.6243386243386244E-2</v>
      </c>
      <c r="G56" s="647">
        <f t="shared" si="1"/>
        <v>3.350148751778554E-2</v>
      </c>
      <c r="H56" s="647">
        <f t="shared" si="2"/>
        <v>3.4418022528160203E-2</v>
      </c>
      <c r="I56" s="647">
        <f t="shared" si="3"/>
        <v>2.6684216824219217E-2</v>
      </c>
      <c r="J56" s="647">
        <f t="shared" si="4"/>
        <v>2.6640065719985916E-2</v>
      </c>
      <c r="K56" s="647">
        <f t="shared" si="5"/>
        <v>3.7231612608497028E-2</v>
      </c>
      <c r="L56" s="647">
        <f t="shared" si="6"/>
        <v>6.9169510807736062E-2</v>
      </c>
      <c r="M56" s="647">
        <f t="shared" si="7"/>
        <v>7.1338888254765434E-2</v>
      </c>
      <c r="N56" s="648">
        <f t="shared" si="8"/>
        <v>6.7184643510054848E-2</v>
      </c>
      <c r="O56" s="533"/>
      <c r="P56" s="610">
        <v>7185</v>
      </c>
      <c r="Q56" s="611">
        <v>210</v>
      </c>
      <c r="R56" s="637">
        <f t="shared" si="0"/>
        <v>2.9227557411273485E-2</v>
      </c>
      <c r="S56" s="633">
        <v>7379</v>
      </c>
      <c r="T56" s="634">
        <v>267</v>
      </c>
      <c r="U56" s="638">
        <f t="shared" si="12"/>
        <v>3.6183764737769346E-2</v>
      </c>
      <c r="V56" s="633">
        <v>7560</v>
      </c>
      <c r="W56" s="634">
        <v>274</v>
      </c>
      <c r="X56" s="638">
        <f t="shared" si="13"/>
        <v>3.6243386243386244E-2</v>
      </c>
      <c r="Y56" s="626">
        <v>7731</v>
      </c>
      <c r="Z56" s="616">
        <v>259</v>
      </c>
      <c r="AA56" s="635">
        <f t="shared" si="14"/>
        <v>3.350148751778554E-2</v>
      </c>
      <c r="AB56" s="626">
        <v>7990</v>
      </c>
      <c r="AC56" s="616">
        <v>275</v>
      </c>
      <c r="AD56" s="635">
        <f t="shared" si="15"/>
        <v>3.4418022528160203E-2</v>
      </c>
      <c r="AE56" s="626">
        <v>8357</v>
      </c>
      <c r="AF56" s="616">
        <v>223</v>
      </c>
      <c r="AG56" s="635">
        <f t="shared" si="16"/>
        <v>2.6684216824219217E-2</v>
      </c>
      <c r="AH56" s="626">
        <v>8521</v>
      </c>
      <c r="AI56" s="616">
        <v>227</v>
      </c>
      <c r="AJ56" s="622">
        <f t="shared" si="17"/>
        <v>2.6640065719985916E-2</v>
      </c>
      <c r="AK56" s="626">
        <v>8756</v>
      </c>
      <c r="AL56" s="616">
        <v>326</v>
      </c>
      <c r="AM56" s="635">
        <f t="shared" si="18"/>
        <v>3.7231612608497028E-2</v>
      </c>
      <c r="AN56" s="625">
        <v>8790</v>
      </c>
      <c r="AO56" s="616">
        <v>608</v>
      </c>
      <c r="AP56" s="619">
        <f t="shared" si="19"/>
        <v>6.9169510807736062E-2</v>
      </c>
      <c r="AQ56" s="610">
        <v>8761</v>
      </c>
      <c r="AR56" s="611">
        <v>625</v>
      </c>
      <c r="AS56" s="622">
        <f t="shared" si="20"/>
        <v>7.1338888254765434E-2</v>
      </c>
      <c r="AT56" s="620">
        <v>8752</v>
      </c>
      <c r="AU56" s="612">
        <v>588</v>
      </c>
      <c r="AV56" s="613">
        <f t="shared" si="9"/>
        <v>6.7184643510054848E-2</v>
      </c>
    </row>
    <row r="57" spans="1:48" ht="15" customHeight="1">
      <c r="A57" s="529" t="s">
        <v>129</v>
      </c>
      <c r="B57" s="532" t="s">
        <v>130</v>
      </c>
      <c r="C57" s="531" t="s">
        <v>275</v>
      </c>
      <c r="D57" s="646">
        <f t="shared" si="21"/>
        <v>6.1216188732967254E-2</v>
      </c>
      <c r="E57" s="647">
        <f t="shared" si="10"/>
        <v>6.3751926040061635E-2</v>
      </c>
      <c r="F57" s="647">
        <f t="shared" si="11"/>
        <v>5.5094339622641507E-2</v>
      </c>
      <c r="G57" s="647">
        <f t="shared" si="1"/>
        <v>5.5384021613276727E-2</v>
      </c>
      <c r="H57" s="647">
        <f t="shared" si="2"/>
        <v>5.5344237352605553E-2</v>
      </c>
      <c r="I57" s="647">
        <f t="shared" si="3"/>
        <v>4.30786904078116E-2</v>
      </c>
      <c r="J57" s="647">
        <f t="shared" si="4"/>
        <v>4.2958535674262235E-2</v>
      </c>
      <c r="K57" s="647">
        <f t="shared" si="5"/>
        <v>5.6709409427487811E-2</v>
      </c>
      <c r="L57" s="647">
        <f t="shared" si="6"/>
        <v>9.5094205474582291E-2</v>
      </c>
      <c r="M57" s="647">
        <f t="shared" si="7"/>
        <v>9.3580549239111424E-2</v>
      </c>
      <c r="N57" s="648">
        <f t="shared" si="8"/>
        <v>9.1593475533249688E-2</v>
      </c>
      <c r="O57" s="639"/>
      <c r="P57" s="610">
        <v>4917</v>
      </c>
      <c r="Q57" s="611">
        <v>301</v>
      </c>
      <c r="R57" s="637">
        <f t="shared" si="0"/>
        <v>6.1216188732967254E-2</v>
      </c>
      <c r="S57" s="633">
        <v>5192</v>
      </c>
      <c r="T57" s="634">
        <v>331</v>
      </c>
      <c r="U57" s="638">
        <f t="shared" si="12"/>
        <v>6.3751926040061635E-2</v>
      </c>
      <c r="V57" s="633">
        <v>5300</v>
      </c>
      <c r="W57" s="634">
        <v>292</v>
      </c>
      <c r="X57" s="638">
        <f t="shared" si="13"/>
        <v>5.5094339622641507E-2</v>
      </c>
      <c r="Y57" s="633">
        <v>5182</v>
      </c>
      <c r="Z57" s="634">
        <v>287</v>
      </c>
      <c r="AA57" s="635">
        <f t="shared" si="14"/>
        <v>5.5384021613276727E-2</v>
      </c>
      <c r="AB57" s="633">
        <v>5258</v>
      </c>
      <c r="AC57" s="634">
        <v>291</v>
      </c>
      <c r="AD57" s="635">
        <f t="shared" si="15"/>
        <v>5.5344237352605553E-2</v>
      </c>
      <c r="AE57" s="633">
        <v>5223</v>
      </c>
      <c r="AF57" s="634">
        <v>225</v>
      </c>
      <c r="AG57" s="635">
        <f t="shared" si="16"/>
        <v>4.30786904078116E-2</v>
      </c>
      <c r="AH57" s="610">
        <v>5354</v>
      </c>
      <c r="AI57" s="611">
        <v>230</v>
      </c>
      <c r="AJ57" s="622">
        <f t="shared" si="17"/>
        <v>4.2958535674262235E-2</v>
      </c>
      <c r="AK57" s="633">
        <v>5537</v>
      </c>
      <c r="AL57" s="634">
        <v>314</v>
      </c>
      <c r="AM57" s="635">
        <f t="shared" si="18"/>
        <v>5.6709409427487811E-2</v>
      </c>
      <c r="AN57" s="630">
        <v>5626</v>
      </c>
      <c r="AO57" s="611">
        <v>535</v>
      </c>
      <c r="AP57" s="619">
        <f t="shared" si="19"/>
        <v>9.5094205474582291E-2</v>
      </c>
      <c r="AQ57" s="610">
        <v>5717</v>
      </c>
      <c r="AR57" s="611">
        <v>535</v>
      </c>
      <c r="AS57" s="622">
        <f t="shared" si="20"/>
        <v>9.3580549239111424E-2</v>
      </c>
      <c r="AT57" s="620">
        <v>5579</v>
      </c>
      <c r="AU57" s="612">
        <v>511</v>
      </c>
      <c r="AV57" s="613">
        <f t="shared" si="9"/>
        <v>9.1593475533249688E-2</v>
      </c>
    </row>
    <row r="58" spans="1:48" ht="15" customHeight="1">
      <c r="A58" s="529" t="s">
        <v>131</v>
      </c>
      <c r="B58" s="532" t="s">
        <v>132</v>
      </c>
      <c r="C58" s="531" t="s">
        <v>278</v>
      </c>
      <c r="D58" s="646">
        <f t="shared" si="21"/>
        <v>4.9562035702406033E-2</v>
      </c>
      <c r="E58" s="647">
        <f t="shared" si="10"/>
        <v>5.7074039166404862E-2</v>
      </c>
      <c r="F58" s="647">
        <f t="shared" si="11"/>
        <v>5.9788739616449593E-2</v>
      </c>
      <c r="G58" s="647">
        <f t="shared" si="1"/>
        <v>5.4732161761592207E-2</v>
      </c>
      <c r="H58" s="647">
        <f t="shared" si="2"/>
        <v>4.9484757406612283E-2</v>
      </c>
      <c r="I58" s="647">
        <f t="shared" si="3"/>
        <v>4.2259548518241145E-2</v>
      </c>
      <c r="J58" s="647">
        <f t="shared" si="4"/>
        <v>4.1036269430051814E-2</v>
      </c>
      <c r="K58" s="647">
        <f t="shared" si="5"/>
        <v>5.2857581024435128E-2</v>
      </c>
      <c r="L58" s="647">
        <f t="shared" si="6"/>
        <v>7.0831675288499804E-2</v>
      </c>
      <c r="M58" s="647">
        <f t="shared" si="7"/>
        <v>7.9474708171206221E-2</v>
      </c>
      <c r="N58" s="648">
        <f t="shared" si="8"/>
        <v>7.5874159929872412E-2</v>
      </c>
      <c r="O58" s="639"/>
      <c r="P58" s="610">
        <v>9019</v>
      </c>
      <c r="Q58" s="611">
        <v>447</v>
      </c>
      <c r="R58" s="637">
        <f t="shared" si="0"/>
        <v>4.9562035702406033E-2</v>
      </c>
      <c r="S58" s="633">
        <v>9549</v>
      </c>
      <c r="T58" s="634">
        <v>545</v>
      </c>
      <c r="U58" s="638">
        <f t="shared" si="12"/>
        <v>5.7074039166404862E-2</v>
      </c>
      <c r="V58" s="633">
        <v>9751</v>
      </c>
      <c r="W58" s="634">
        <v>583</v>
      </c>
      <c r="X58" s="638">
        <f t="shared" si="13"/>
        <v>5.9788739616449593E-2</v>
      </c>
      <c r="Y58" s="633">
        <v>9446</v>
      </c>
      <c r="Z58" s="634">
        <v>517</v>
      </c>
      <c r="AA58" s="635">
        <f t="shared" si="14"/>
        <v>5.4732161761592207E-2</v>
      </c>
      <c r="AB58" s="633">
        <v>9316</v>
      </c>
      <c r="AC58" s="634">
        <v>461</v>
      </c>
      <c r="AD58" s="635">
        <f t="shared" si="15"/>
        <v>4.9484757406612283E-2</v>
      </c>
      <c r="AE58" s="633">
        <v>9347</v>
      </c>
      <c r="AF58" s="634">
        <v>395</v>
      </c>
      <c r="AG58" s="635">
        <f t="shared" si="16"/>
        <v>4.2259548518241145E-2</v>
      </c>
      <c r="AH58" s="610">
        <v>9650</v>
      </c>
      <c r="AI58" s="611">
        <v>396</v>
      </c>
      <c r="AJ58" s="622">
        <f t="shared" si="17"/>
        <v>4.1036269430051814E-2</v>
      </c>
      <c r="AK58" s="633">
        <v>9781</v>
      </c>
      <c r="AL58" s="634">
        <v>517</v>
      </c>
      <c r="AM58" s="635">
        <f t="shared" si="18"/>
        <v>5.2857581024435128E-2</v>
      </c>
      <c r="AN58" s="630">
        <v>10052</v>
      </c>
      <c r="AO58" s="611">
        <v>712</v>
      </c>
      <c r="AP58" s="619">
        <f t="shared" si="19"/>
        <v>7.0831675288499804E-2</v>
      </c>
      <c r="AQ58" s="610">
        <v>10280</v>
      </c>
      <c r="AR58" s="611">
        <v>817</v>
      </c>
      <c r="AS58" s="622">
        <f t="shared" si="20"/>
        <v>7.9474708171206221E-2</v>
      </c>
      <c r="AT58" s="620">
        <v>10267</v>
      </c>
      <c r="AU58" s="612">
        <v>779</v>
      </c>
      <c r="AV58" s="613">
        <f t="shared" si="9"/>
        <v>7.5874159929872412E-2</v>
      </c>
    </row>
    <row r="59" spans="1:48" ht="15" customHeight="1">
      <c r="A59" s="529" t="s">
        <v>133</v>
      </c>
      <c r="B59" s="532" t="s">
        <v>134</v>
      </c>
      <c r="C59" s="531" t="s">
        <v>276</v>
      </c>
      <c r="D59" s="646">
        <f t="shared" si="21"/>
        <v>2.4879548478869362E-2</v>
      </c>
      <c r="E59" s="647">
        <f t="shared" si="10"/>
        <v>3.7200116277081446E-2</v>
      </c>
      <c r="F59" s="647">
        <f t="shared" si="11"/>
        <v>3.160730034880857E-2</v>
      </c>
      <c r="G59" s="647">
        <f t="shared" si="1"/>
        <v>2.6035261844297782E-2</v>
      </c>
      <c r="H59" s="647">
        <f t="shared" si="2"/>
        <v>2.3937725613568071E-2</v>
      </c>
      <c r="I59" s="647">
        <f t="shared" si="3"/>
        <v>2.0986266061884848E-2</v>
      </c>
      <c r="J59" s="647">
        <f t="shared" si="4"/>
        <v>2.0667187433768719E-2</v>
      </c>
      <c r="K59" s="647">
        <f t="shared" si="5"/>
        <v>2.7895284327323161E-2</v>
      </c>
      <c r="L59" s="647">
        <f t="shared" si="6"/>
        <v>4.6208658930126406E-2</v>
      </c>
      <c r="M59" s="647">
        <f t="shared" si="7"/>
        <v>4.7885116031688268E-2</v>
      </c>
      <c r="N59" s="648">
        <f t="shared" si="8"/>
        <v>4.175031600862518E-2</v>
      </c>
      <c r="O59" s="639"/>
      <c r="P59" s="610">
        <v>108965</v>
      </c>
      <c r="Q59" s="611">
        <v>2711</v>
      </c>
      <c r="R59" s="637">
        <f t="shared" si="0"/>
        <v>2.4879548478869362E-2</v>
      </c>
      <c r="S59" s="633">
        <v>116962</v>
      </c>
      <c r="T59" s="634">
        <v>4351</v>
      </c>
      <c r="U59" s="638">
        <f t="shared" si="12"/>
        <v>3.7200116277081446E-2</v>
      </c>
      <c r="V59" s="633">
        <v>125857</v>
      </c>
      <c r="W59" s="634">
        <v>3978</v>
      </c>
      <c r="X59" s="638">
        <f t="shared" si="13"/>
        <v>3.160730034880857E-2</v>
      </c>
      <c r="Y59" s="633">
        <v>137429</v>
      </c>
      <c r="Z59" s="634">
        <v>3578</v>
      </c>
      <c r="AA59" s="635">
        <f t="shared" si="14"/>
        <v>2.6035261844297782E-2</v>
      </c>
      <c r="AB59" s="633">
        <v>148761</v>
      </c>
      <c r="AC59" s="634">
        <v>3561</v>
      </c>
      <c r="AD59" s="635">
        <f t="shared" si="15"/>
        <v>2.3937725613568071E-2</v>
      </c>
      <c r="AE59" s="633">
        <v>158294</v>
      </c>
      <c r="AF59" s="634">
        <v>3322</v>
      </c>
      <c r="AG59" s="635">
        <f t="shared" si="16"/>
        <v>2.0986266061884848E-2</v>
      </c>
      <c r="AH59" s="610">
        <v>165141</v>
      </c>
      <c r="AI59" s="611">
        <v>3413</v>
      </c>
      <c r="AJ59" s="622">
        <f t="shared" si="17"/>
        <v>2.0667187433768719E-2</v>
      </c>
      <c r="AK59" s="633">
        <v>173040</v>
      </c>
      <c r="AL59" s="634">
        <v>4827</v>
      </c>
      <c r="AM59" s="635">
        <f t="shared" si="18"/>
        <v>2.7895284327323161E-2</v>
      </c>
      <c r="AN59" s="630">
        <v>175703</v>
      </c>
      <c r="AO59" s="611">
        <v>8119</v>
      </c>
      <c r="AP59" s="619">
        <f t="shared" si="19"/>
        <v>4.6208658930126406E-2</v>
      </c>
      <c r="AQ59" s="610">
        <v>178615</v>
      </c>
      <c r="AR59" s="611">
        <v>8553</v>
      </c>
      <c r="AS59" s="622">
        <f t="shared" si="20"/>
        <v>4.7885116031688268E-2</v>
      </c>
      <c r="AT59" s="620">
        <v>188286</v>
      </c>
      <c r="AU59" s="612">
        <v>7861</v>
      </c>
      <c r="AV59" s="613">
        <f t="shared" si="9"/>
        <v>4.175031600862518E-2</v>
      </c>
    </row>
    <row r="60" spans="1:48" ht="15" customHeight="1">
      <c r="A60" s="529" t="s">
        <v>135</v>
      </c>
      <c r="B60" s="532" t="s">
        <v>136</v>
      </c>
      <c r="C60" s="531" t="s">
        <v>276</v>
      </c>
      <c r="D60" s="646">
        <f t="shared" si="21"/>
        <v>3.1004799268682867E-2</v>
      </c>
      <c r="E60" s="647">
        <f t="shared" si="10"/>
        <v>4.3529153559148437E-2</v>
      </c>
      <c r="F60" s="647">
        <f t="shared" si="11"/>
        <v>4.228943826592052E-2</v>
      </c>
      <c r="G60" s="647">
        <f t="shared" si="1"/>
        <v>3.7364596188125598E-2</v>
      </c>
      <c r="H60" s="647">
        <f t="shared" si="2"/>
        <v>3.5805626598465472E-2</v>
      </c>
      <c r="I60" s="647">
        <f t="shared" si="3"/>
        <v>3.0264975511741805E-2</v>
      </c>
      <c r="J60" s="647">
        <f t="shared" si="4"/>
        <v>2.8588994774054719E-2</v>
      </c>
      <c r="K60" s="647">
        <f t="shared" si="5"/>
        <v>4.1830532713621735E-2</v>
      </c>
      <c r="L60" s="647">
        <f t="shared" si="6"/>
        <v>7.7214142130779234E-2</v>
      </c>
      <c r="M60" s="647">
        <f t="shared" si="7"/>
        <v>8.0111480075901326E-2</v>
      </c>
      <c r="N60" s="648">
        <f t="shared" si="8"/>
        <v>6.9964871194379386E-2</v>
      </c>
      <c r="O60" s="639"/>
      <c r="P60" s="610">
        <v>13127</v>
      </c>
      <c r="Q60" s="611">
        <v>407</v>
      </c>
      <c r="R60" s="637">
        <f t="shared" si="0"/>
        <v>3.1004799268682867E-2</v>
      </c>
      <c r="S60" s="633">
        <v>13669</v>
      </c>
      <c r="T60" s="634">
        <v>595</v>
      </c>
      <c r="U60" s="638">
        <f t="shared" si="12"/>
        <v>4.3529153559148437E-2</v>
      </c>
      <c r="V60" s="633">
        <v>14117</v>
      </c>
      <c r="W60" s="634">
        <v>597</v>
      </c>
      <c r="X60" s="638">
        <f t="shared" si="13"/>
        <v>4.228943826592052E-2</v>
      </c>
      <c r="Y60" s="633">
        <v>14586</v>
      </c>
      <c r="Z60" s="634">
        <v>545</v>
      </c>
      <c r="AA60" s="635">
        <f t="shared" si="14"/>
        <v>3.7364596188125598E-2</v>
      </c>
      <c r="AB60" s="633">
        <v>15249</v>
      </c>
      <c r="AC60" s="634">
        <v>546</v>
      </c>
      <c r="AD60" s="635">
        <f t="shared" si="15"/>
        <v>3.5805626598465472E-2</v>
      </c>
      <c r="AE60" s="633">
        <v>15926</v>
      </c>
      <c r="AF60" s="634">
        <v>482</v>
      </c>
      <c r="AG60" s="635">
        <f t="shared" si="16"/>
        <v>3.0264975511741805E-2</v>
      </c>
      <c r="AH60" s="610">
        <v>16265</v>
      </c>
      <c r="AI60" s="611">
        <v>465</v>
      </c>
      <c r="AJ60" s="622">
        <f t="shared" si="17"/>
        <v>2.8588994774054719E-2</v>
      </c>
      <c r="AK60" s="633">
        <v>16782</v>
      </c>
      <c r="AL60" s="634">
        <v>702</v>
      </c>
      <c r="AM60" s="635">
        <f t="shared" si="18"/>
        <v>4.1830532713621735E-2</v>
      </c>
      <c r="AN60" s="630">
        <v>16914</v>
      </c>
      <c r="AO60" s="611">
        <v>1306</v>
      </c>
      <c r="AP60" s="619">
        <f t="shared" si="19"/>
        <v>7.7214142130779234E-2</v>
      </c>
      <c r="AQ60" s="610">
        <v>16864</v>
      </c>
      <c r="AR60" s="611">
        <v>1351</v>
      </c>
      <c r="AS60" s="622">
        <f t="shared" si="20"/>
        <v>8.0111480075901326E-2</v>
      </c>
      <c r="AT60" s="620">
        <v>17080</v>
      </c>
      <c r="AU60" s="612">
        <v>1195</v>
      </c>
      <c r="AV60" s="613">
        <f t="shared" si="9"/>
        <v>6.9964871194379386E-2</v>
      </c>
    </row>
    <row r="61" spans="1:48" ht="15" customHeight="1">
      <c r="A61" s="529" t="s">
        <v>137</v>
      </c>
      <c r="B61" s="532" t="s">
        <v>138</v>
      </c>
      <c r="C61" s="531" t="s">
        <v>275</v>
      </c>
      <c r="D61" s="646">
        <f t="shared" si="21"/>
        <v>4.5006509205876885E-2</v>
      </c>
      <c r="E61" s="647">
        <f t="shared" si="10"/>
        <v>5.5717407137654773E-2</v>
      </c>
      <c r="F61" s="647">
        <f t="shared" si="11"/>
        <v>5.58205264087617E-2</v>
      </c>
      <c r="G61" s="647">
        <f t="shared" si="1"/>
        <v>4.8492553577915001E-2</v>
      </c>
      <c r="H61" s="647">
        <f t="shared" si="2"/>
        <v>5.1874222774915615E-2</v>
      </c>
      <c r="I61" s="647">
        <f t="shared" si="3"/>
        <v>4.327693677649154E-2</v>
      </c>
      <c r="J61" s="647">
        <f t="shared" si="4"/>
        <v>4.4544634806131647E-2</v>
      </c>
      <c r="K61" s="647">
        <f t="shared" si="5"/>
        <v>5.9112404510731173E-2</v>
      </c>
      <c r="L61" s="647">
        <f t="shared" si="6"/>
        <v>9.7073259407380472E-2</v>
      </c>
      <c r="M61" s="647">
        <f t="shared" si="7"/>
        <v>0.1001078360891445</v>
      </c>
      <c r="N61" s="648">
        <f t="shared" si="8"/>
        <v>9.1428571428571428E-2</v>
      </c>
      <c r="O61" s="639"/>
      <c r="P61" s="610">
        <v>5377</v>
      </c>
      <c r="Q61" s="611">
        <v>242</v>
      </c>
      <c r="R61" s="637">
        <f t="shared" si="0"/>
        <v>4.5006509205876885E-2</v>
      </c>
      <c r="S61" s="633">
        <v>5492</v>
      </c>
      <c r="T61" s="634">
        <v>306</v>
      </c>
      <c r="U61" s="638">
        <f t="shared" si="12"/>
        <v>5.5717407137654773E-2</v>
      </c>
      <c r="V61" s="633">
        <v>5661</v>
      </c>
      <c r="W61" s="634">
        <v>316</v>
      </c>
      <c r="X61" s="638">
        <f t="shared" si="13"/>
        <v>5.58205264087617E-2</v>
      </c>
      <c r="Y61" s="633">
        <v>5506</v>
      </c>
      <c r="Z61" s="634">
        <v>267</v>
      </c>
      <c r="AA61" s="635">
        <f t="shared" si="14"/>
        <v>4.8492553577915001E-2</v>
      </c>
      <c r="AB61" s="633">
        <v>5629</v>
      </c>
      <c r="AC61" s="634">
        <v>292</v>
      </c>
      <c r="AD61" s="635">
        <f t="shared" si="15"/>
        <v>5.1874222774915615E-2</v>
      </c>
      <c r="AE61" s="633">
        <v>5615</v>
      </c>
      <c r="AF61" s="634">
        <v>243</v>
      </c>
      <c r="AG61" s="635">
        <f t="shared" si="16"/>
        <v>4.327693677649154E-2</v>
      </c>
      <c r="AH61" s="610">
        <v>5545</v>
      </c>
      <c r="AI61" s="611">
        <v>247</v>
      </c>
      <c r="AJ61" s="622">
        <f t="shared" si="17"/>
        <v>4.4544634806131647E-2</v>
      </c>
      <c r="AK61" s="633">
        <v>5498</v>
      </c>
      <c r="AL61" s="634">
        <v>325</v>
      </c>
      <c r="AM61" s="635">
        <f t="shared" si="18"/>
        <v>5.9112404510731173E-2</v>
      </c>
      <c r="AN61" s="630">
        <v>5501</v>
      </c>
      <c r="AO61" s="611">
        <v>534</v>
      </c>
      <c r="AP61" s="619">
        <f t="shared" si="19"/>
        <v>9.7073259407380472E-2</v>
      </c>
      <c r="AQ61" s="610">
        <v>5564</v>
      </c>
      <c r="AR61" s="611">
        <v>557</v>
      </c>
      <c r="AS61" s="622">
        <f t="shared" si="20"/>
        <v>0.1001078360891445</v>
      </c>
      <c r="AT61" s="620">
        <v>5425</v>
      </c>
      <c r="AU61" s="612">
        <v>496</v>
      </c>
      <c r="AV61" s="613">
        <f t="shared" si="9"/>
        <v>9.1428571428571428E-2</v>
      </c>
    </row>
    <row r="62" spans="1:48" ht="15" customHeight="1">
      <c r="A62" s="529" t="s">
        <v>141</v>
      </c>
      <c r="B62" s="532" t="s">
        <v>142</v>
      </c>
      <c r="C62" s="531" t="s">
        <v>276</v>
      </c>
      <c r="D62" s="646">
        <f t="shared" si="21"/>
        <v>2.2172949002217297E-2</v>
      </c>
      <c r="E62" s="647">
        <f t="shared" si="10"/>
        <v>4.2871385842472583E-2</v>
      </c>
      <c r="F62" s="647">
        <f t="shared" si="11"/>
        <v>3.8482834994462901E-2</v>
      </c>
      <c r="G62" s="647">
        <f t="shared" si="1"/>
        <v>2.962650940746981E-2</v>
      </c>
      <c r="H62" s="647">
        <f t="shared" si="2"/>
        <v>3.0374154355929862E-2</v>
      </c>
      <c r="I62" s="647">
        <f t="shared" si="3"/>
        <v>2.5910268648574934E-2</v>
      </c>
      <c r="J62" s="647">
        <f t="shared" si="4"/>
        <v>2.6337115072933549E-2</v>
      </c>
      <c r="K62" s="647">
        <f t="shared" si="5"/>
        <v>3.7172208705055422E-2</v>
      </c>
      <c r="L62" s="647">
        <f t="shared" si="6"/>
        <v>6.250851150755822E-2</v>
      </c>
      <c r="M62" s="647">
        <f t="shared" si="7"/>
        <v>6.1986255221668236E-2</v>
      </c>
      <c r="N62" s="648">
        <f t="shared" si="8"/>
        <v>5.2137217533351481E-2</v>
      </c>
      <c r="O62" s="639"/>
      <c r="P62" s="610">
        <v>6765</v>
      </c>
      <c r="Q62" s="611">
        <v>150</v>
      </c>
      <c r="R62" s="637">
        <f t="shared" si="0"/>
        <v>2.2172949002217297E-2</v>
      </c>
      <c r="S62" s="633">
        <v>7021</v>
      </c>
      <c r="T62" s="634">
        <v>301</v>
      </c>
      <c r="U62" s="638">
        <f t="shared" si="12"/>
        <v>4.2871385842472583E-2</v>
      </c>
      <c r="V62" s="633">
        <v>7224</v>
      </c>
      <c r="W62" s="634">
        <v>278</v>
      </c>
      <c r="X62" s="638">
        <f t="shared" si="13"/>
        <v>3.8482834994462901E-2</v>
      </c>
      <c r="Y62" s="633">
        <v>7122</v>
      </c>
      <c r="Z62" s="634">
        <v>211</v>
      </c>
      <c r="AA62" s="635">
        <f t="shared" si="14"/>
        <v>2.962650940746981E-2</v>
      </c>
      <c r="AB62" s="633">
        <v>7243</v>
      </c>
      <c r="AC62" s="634">
        <v>220</v>
      </c>
      <c r="AD62" s="635">
        <f t="shared" si="15"/>
        <v>3.0374154355929862E-2</v>
      </c>
      <c r="AE62" s="633">
        <v>7333</v>
      </c>
      <c r="AF62" s="634">
        <v>190</v>
      </c>
      <c r="AG62" s="635">
        <f t="shared" si="16"/>
        <v>2.5910268648574934E-2</v>
      </c>
      <c r="AH62" s="610">
        <v>7404</v>
      </c>
      <c r="AI62" s="611">
        <v>195</v>
      </c>
      <c r="AJ62" s="622">
        <f t="shared" si="17"/>
        <v>2.6337115072933549E-2</v>
      </c>
      <c r="AK62" s="633">
        <v>7398</v>
      </c>
      <c r="AL62" s="634">
        <v>275</v>
      </c>
      <c r="AM62" s="635">
        <f t="shared" si="18"/>
        <v>3.7172208705055422E-2</v>
      </c>
      <c r="AN62" s="630">
        <v>7343</v>
      </c>
      <c r="AO62" s="611">
        <v>459</v>
      </c>
      <c r="AP62" s="619">
        <f t="shared" si="19"/>
        <v>6.250851150755822E-2</v>
      </c>
      <c r="AQ62" s="610">
        <v>7421</v>
      </c>
      <c r="AR62" s="611">
        <v>460</v>
      </c>
      <c r="AS62" s="622">
        <f t="shared" si="20"/>
        <v>6.1986255221668236E-2</v>
      </c>
      <c r="AT62" s="620">
        <v>7346</v>
      </c>
      <c r="AU62" s="612">
        <v>383</v>
      </c>
      <c r="AV62" s="613">
        <f t="shared" si="9"/>
        <v>5.2137217533351481E-2</v>
      </c>
    </row>
    <row r="63" spans="1:48" ht="15" customHeight="1">
      <c r="A63" s="529" t="s">
        <v>147</v>
      </c>
      <c r="B63" s="532" t="s">
        <v>148</v>
      </c>
      <c r="C63" s="531" t="s">
        <v>272</v>
      </c>
      <c r="D63" s="646">
        <f t="shared" si="21"/>
        <v>2.9737206085753802E-2</v>
      </c>
      <c r="E63" s="647">
        <f t="shared" si="10"/>
        <v>3.9595050618672668E-2</v>
      </c>
      <c r="F63" s="647">
        <f t="shared" si="11"/>
        <v>3.1839890834659997E-2</v>
      </c>
      <c r="G63" s="647">
        <f t="shared" si="1"/>
        <v>2.9741477922672156E-2</v>
      </c>
      <c r="H63" s="647">
        <f t="shared" si="2"/>
        <v>2.9511151160171209E-2</v>
      </c>
      <c r="I63" s="647">
        <f t="shared" si="3"/>
        <v>2.560106856634016E-2</v>
      </c>
      <c r="J63" s="647">
        <f t="shared" si="4"/>
        <v>2.5117739403453691E-2</v>
      </c>
      <c r="K63" s="647">
        <f t="shared" si="5"/>
        <v>3.5356904603068715E-2</v>
      </c>
      <c r="L63" s="647">
        <f t="shared" si="6"/>
        <v>5.4216867469879519E-2</v>
      </c>
      <c r="M63" s="647">
        <f t="shared" si="7"/>
        <v>6.0364464692482918E-2</v>
      </c>
      <c r="N63" s="648">
        <f t="shared" si="8"/>
        <v>6.0070671378091869E-2</v>
      </c>
      <c r="O63" s="639"/>
      <c r="P63" s="610">
        <v>4338</v>
      </c>
      <c r="Q63" s="611">
        <v>129</v>
      </c>
      <c r="R63" s="637">
        <f t="shared" si="0"/>
        <v>2.9737206085753802E-2</v>
      </c>
      <c r="S63" s="633">
        <v>4445</v>
      </c>
      <c r="T63" s="634">
        <v>176</v>
      </c>
      <c r="U63" s="638">
        <f t="shared" si="12"/>
        <v>3.9595050618672668E-2</v>
      </c>
      <c r="V63" s="633">
        <v>4397</v>
      </c>
      <c r="W63" s="634">
        <v>140</v>
      </c>
      <c r="X63" s="638">
        <f t="shared" si="13"/>
        <v>3.1839890834659997E-2</v>
      </c>
      <c r="Y63" s="633">
        <v>4371</v>
      </c>
      <c r="Z63" s="634">
        <v>130</v>
      </c>
      <c r="AA63" s="635">
        <f t="shared" si="14"/>
        <v>2.9741477922672156E-2</v>
      </c>
      <c r="AB63" s="633">
        <v>4439</v>
      </c>
      <c r="AC63" s="634">
        <v>131</v>
      </c>
      <c r="AD63" s="635">
        <f t="shared" si="15"/>
        <v>2.9511151160171209E-2</v>
      </c>
      <c r="AE63" s="633">
        <v>4492</v>
      </c>
      <c r="AF63" s="634">
        <v>115</v>
      </c>
      <c r="AG63" s="635">
        <f t="shared" si="16"/>
        <v>2.560106856634016E-2</v>
      </c>
      <c r="AH63" s="610">
        <v>4459</v>
      </c>
      <c r="AI63" s="611">
        <v>112</v>
      </c>
      <c r="AJ63" s="622">
        <f t="shared" si="17"/>
        <v>2.5117739403453691E-2</v>
      </c>
      <c r="AK63" s="633">
        <v>4497</v>
      </c>
      <c r="AL63" s="634">
        <v>159</v>
      </c>
      <c r="AM63" s="635">
        <f t="shared" si="18"/>
        <v>3.5356904603068715E-2</v>
      </c>
      <c r="AN63" s="630">
        <v>4482</v>
      </c>
      <c r="AO63" s="611">
        <v>243</v>
      </c>
      <c r="AP63" s="619">
        <f t="shared" si="19"/>
        <v>5.4216867469879519E-2</v>
      </c>
      <c r="AQ63" s="610">
        <v>4390</v>
      </c>
      <c r="AR63" s="611">
        <v>265</v>
      </c>
      <c r="AS63" s="622">
        <f t="shared" si="20"/>
        <v>6.0364464692482918E-2</v>
      </c>
      <c r="AT63" s="620">
        <v>4528</v>
      </c>
      <c r="AU63" s="612">
        <v>272</v>
      </c>
      <c r="AV63" s="613">
        <f t="shared" si="9"/>
        <v>6.0070671378091869E-2</v>
      </c>
    </row>
    <row r="64" spans="1:48" ht="15" customHeight="1">
      <c r="A64" s="529" t="s">
        <v>149</v>
      </c>
      <c r="B64" s="532" t="s">
        <v>150</v>
      </c>
      <c r="C64" s="531" t="s">
        <v>273</v>
      </c>
      <c r="D64" s="646">
        <f t="shared" si="21"/>
        <v>5.8173315382980234E-2</v>
      </c>
      <c r="E64" s="647">
        <f t="shared" si="10"/>
        <v>0.10162544169611308</v>
      </c>
      <c r="F64" s="647">
        <f t="shared" si="11"/>
        <v>9.3296575739988397E-2</v>
      </c>
      <c r="G64" s="647">
        <f t="shared" si="1"/>
        <v>6.651029055690072E-2</v>
      </c>
      <c r="H64" s="647">
        <f t="shared" si="2"/>
        <v>6.0612888688598467E-2</v>
      </c>
      <c r="I64" s="647">
        <f t="shared" si="3"/>
        <v>5.1600211848377091E-2</v>
      </c>
      <c r="J64" s="647">
        <f t="shared" si="4"/>
        <v>4.9849397590361444E-2</v>
      </c>
      <c r="K64" s="647">
        <f t="shared" si="5"/>
        <v>6.5180230397621705E-2</v>
      </c>
      <c r="L64" s="647">
        <f t="shared" si="6"/>
        <v>0.11194995685936152</v>
      </c>
      <c r="M64" s="647">
        <f t="shared" si="7"/>
        <v>0.11496220225360149</v>
      </c>
      <c r="N64" s="648">
        <f t="shared" si="8"/>
        <v>0.1056480811006517</v>
      </c>
      <c r="O64" s="639"/>
      <c r="P64" s="610">
        <v>14113</v>
      </c>
      <c r="Q64" s="611">
        <v>821</v>
      </c>
      <c r="R64" s="637">
        <f t="shared" si="0"/>
        <v>5.8173315382980234E-2</v>
      </c>
      <c r="S64" s="633">
        <v>14150</v>
      </c>
      <c r="T64" s="634">
        <v>1438</v>
      </c>
      <c r="U64" s="638">
        <f t="shared" si="12"/>
        <v>0.10162544169611308</v>
      </c>
      <c r="V64" s="633">
        <v>13784</v>
      </c>
      <c r="W64" s="634">
        <v>1286</v>
      </c>
      <c r="X64" s="638">
        <f t="shared" si="13"/>
        <v>9.3296575739988397E-2</v>
      </c>
      <c r="Y64" s="633">
        <v>13216</v>
      </c>
      <c r="Z64" s="634">
        <v>879</v>
      </c>
      <c r="AA64" s="635">
        <f t="shared" si="14"/>
        <v>6.651029055690072E-2</v>
      </c>
      <c r="AB64" s="633">
        <v>13314</v>
      </c>
      <c r="AC64" s="634">
        <v>807</v>
      </c>
      <c r="AD64" s="635">
        <f t="shared" si="15"/>
        <v>6.0612888688598467E-2</v>
      </c>
      <c r="AE64" s="633">
        <v>13217</v>
      </c>
      <c r="AF64" s="634">
        <v>682</v>
      </c>
      <c r="AG64" s="635">
        <f t="shared" si="16"/>
        <v>5.1600211848377091E-2</v>
      </c>
      <c r="AH64" s="610">
        <v>13280</v>
      </c>
      <c r="AI64" s="611">
        <v>662</v>
      </c>
      <c r="AJ64" s="622">
        <f t="shared" si="17"/>
        <v>4.9849397590361444E-2</v>
      </c>
      <c r="AK64" s="633">
        <v>13455</v>
      </c>
      <c r="AL64" s="634">
        <v>877</v>
      </c>
      <c r="AM64" s="635">
        <f t="shared" si="18"/>
        <v>6.5180230397621705E-2</v>
      </c>
      <c r="AN64" s="630">
        <v>13908</v>
      </c>
      <c r="AO64" s="611">
        <v>1557</v>
      </c>
      <c r="AP64" s="619">
        <f t="shared" si="19"/>
        <v>0.11194995685936152</v>
      </c>
      <c r="AQ64" s="610">
        <v>14022</v>
      </c>
      <c r="AR64" s="611">
        <v>1612</v>
      </c>
      <c r="AS64" s="622">
        <f t="shared" si="20"/>
        <v>0.11496220225360149</v>
      </c>
      <c r="AT64" s="620">
        <v>13810</v>
      </c>
      <c r="AU64" s="612">
        <v>1459</v>
      </c>
      <c r="AV64" s="613">
        <f t="shared" si="9"/>
        <v>0.1056480811006517</v>
      </c>
    </row>
    <row r="65" spans="1:48" ht="15" customHeight="1">
      <c r="A65" s="529" t="s">
        <v>151</v>
      </c>
      <c r="B65" s="532" t="s">
        <v>152</v>
      </c>
      <c r="C65" s="531" t="s">
        <v>275</v>
      </c>
      <c r="D65" s="646">
        <f t="shared" si="21"/>
        <v>2.6446997615434641E-2</v>
      </c>
      <c r="E65" s="647">
        <f t="shared" si="10"/>
        <v>3.2969340613187736E-2</v>
      </c>
      <c r="F65" s="647">
        <f t="shared" si="11"/>
        <v>3.4897959183673471E-2</v>
      </c>
      <c r="G65" s="647">
        <f t="shared" si="1"/>
        <v>3.3400809716599193E-2</v>
      </c>
      <c r="H65" s="647">
        <f t="shared" si="2"/>
        <v>3.4645669291338582E-2</v>
      </c>
      <c r="I65" s="647">
        <f t="shared" si="3"/>
        <v>3.1176470588235295E-2</v>
      </c>
      <c r="J65" s="647">
        <f t="shared" si="4"/>
        <v>2.955082742316785E-2</v>
      </c>
      <c r="K65" s="647">
        <f t="shared" si="5"/>
        <v>3.8214076818093197E-2</v>
      </c>
      <c r="L65" s="647">
        <f t="shared" si="6"/>
        <v>6.7776917118512775E-2</v>
      </c>
      <c r="M65" s="647">
        <f t="shared" si="7"/>
        <v>7.2575962841107025E-2</v>
      </c>
      <c r="N65" s="648">
        <f t="shared" si="8"/>
        <v>6.4478539522237324E-2</v>
      </c>
      <c r="O65" s="639"/>
      <c r="P65" s="610">
        <v>4613</v>
      </c>
      <c r="Q65" s="611">
        <v>122</v>
      </c>
      <c r="R65" s="637">
        <f t="shared" si="0"/>
        <v>2.6446997615434641E-2</v>
      </c>
      <c r="S65" s="633">
        <v>4762</v>
      </c>
      <c r="T65" s="634">
        <v>157</v>
      </c>
      <c r="U65" s="638">
        <f t="shared" si="12"/>
        <v>3.2969340613187736E-2</v>
      </c>
      <c r="V65" s="633">
        <v>4900</v>
      </c>
      <c r="W65" s="634">
        <v>171</v>
      </c>
      <c r="X65" s="638">
        <f t="shared" si="13"/>
        <v>3.4897959183673471E-2</v>
      </c>
      <c r="Y65" s="633">
        <v>4940</v>
      </c>
      <c r="Z65" s="634">
        <v>165</v>
      </c>
      <c r="AA65" s="635">
        <f t="shared" si="14"/>
        <v>3.3400809716599193E-2</v>
      </c>
      <c r="AB65" s="633">
        <v>5080</v>
      </c>
      <c r="AC65" s="634">
        <v>176</v>
      </c>
      <c r="AD65" s="635">
        <f t="shared" si="15"/>
        <v>3.4645669291338582E-2</v>
      </c>
      <c r="AE65" s="633">
        <v>5100</v>
      </c>
      <c r="AF65" s="634">
        <v>159</v>
      </c>
      <c r="AG65" s="635">
        <f t="shared" si="16"/>
        <v>3.1176470588235295E-2</v>
      </c>
      <c r="AH65" s="610">
        <v>5076</v>
      </c>
      <c r="AI65" s="611">
        <v>150</v>
      </c>
      <c r="AJ65" s="622">
        <f t="shared" si="17"/>
        <v>2.955082742316785E-2</v>
      </c>
      <c r="AK65" s="633">
        <v>5129</v>
      </c>
      <c r="AL65" s="634">
        <v>196</v>
      </c>
      <c r="AM65" s="635">
        <f t="shared" si="18"/>
        <v>3.8214076818093197E-2</v>
      </c>
      <c r="AN65" s="630">
        <v>5164</v>
      </c>
      <c r="AO65" s="611">
        <v>350</v>
      </c>
      <c r="AP65" s="619">
        <f t="shared" si="19"/>
        <v>6.7776917118512775E-2</v>
      </c>
      <c r="AQ65" s="610">
        <v>5167</v>
      </c>
      <c r="AR65" s="611">
        <v>375</v>
      </c>
      <c r="AS65" s="622">
        <f t="shared" si="20"/>
        <v>7.2575962841107025E-2</v>
      </c>
      <c r="AT65" s="620">
        <v>5149</v>
      </c>
      <c r="AU65" s="612">
        <v>332</v>
      </c>
      <c r="AV65" s="613">
        <f t="shared" si="9"/>
        <v>6.4478539522237324E-2</v>
      </c>
    </row>
    <row r="66" spans="1:48" ht="15" customHeight="1">
      <c r="A66" s="529" t="s">
        <v>153</v>
      </c>
      <c r="B66" s="532" t="s">
        <v>154</v>
      </c>
      <c r="C66" s="531" t="s">
        <v>278</v>
      </c>
      <c r="D66" s="646">
        <f t="shared" si="21"/>
        <v>3.2999901931940766E-2</v>
      </c>
      <c r="E66" s="647">
        <f t="shared" si="10"/>
        <v>3.9803629012850748E-2</v>
      </c>
      <c r="F66" s="647">
        <f t="shared" si="11"/>
        <v>3.7969689233411472E-2</v>
      </c>
      <c r="G66" s="647">
        <f t="shared" si="1"/>
        <v>3.6267025547021832E-2</v>
      </c>
      <c r="H66" s="647">
        <f t="shared" si="2"/>
        <v>3.5274664706963069E-2</v>
      </c>
      <c r="I66" s="647">
        <f t="shared" si="3"/>
        <v>3.0291297515202587E-2</v>
      </c>
      <c r="J66" s="647">
        <f t="shared" si="4"/>
        <v>3.1590511636249492E-2</v>
      </c>
      <c r="K66" s="647">
        <f t="shared" si="5"/>
        <v>4.0613344384583507E-2</v>
      </c>
      <c r="L66" s="647">
        <f t="shared" si="6"/>
        <v>6.8570192515682457E-2</v>
      </c>
      <c r="M66" s="647">
        <f t="shared" si="7"/>
        <v>7.4120137025157642E-2</v>
      </c>
      <c r="N66" s="648">
        <f t="shared" si="8"/>
        <v>6.3678667646338477E-2</v>
      </c>
      <c r="O66" s="639"/>
      <c r="P66" s="610">
        <v>40788</v>
      </c>
      <c r="Q66" s="611">
        <v>1346</v>
      </c>
      <c r="R66" s="637">
        <f t="shared" si="0"/>
        <v>3.2999901931940766E-2</v>
      </c>
      <c r="S66" s="633">
        <v>41554</v>
      </c>
      <c r="T66" s="634">
        <v>1654</v>
      </c>
      <c r="U66" s="638">
        <f t="shared" si="12"/>
        <v>3.9803629012850748E-2</v>
      </c>
      <c r="V66" s="633">
        <v>43087</v>
      </c>
      <c r="W66" s="634">
        <v>1636</v>
      </c>
      <c r="X66" s="638">
        <f t="shared" si="13"/>
        <v>3.7969689233411472E-2</v>
      </c>
      <c r="Y66" s="633">
        <v>43097</v>
      </c>
      <c r="Z66" s="634">
        <v>1563</v>
      </c>
      <c r="AA66" s="635">
        <f t="shared" si="14"/>
        <v>3.6267025547021832E-2</v>
      </c>
      <c r="AB66" s="633">
        <v>43544</v>
      </c>
      <c r="AC66" s="634">
        <v>1536</v>
      </c>
      <c r="AD66" s="635">
        <f t="shared" si="15"/>
        <v>3.5274664706963069E-2</v>
      </c>
      <c r="AE66" s="633">
        <v>43907</v>
      </c>
      <c r="AF66" s="634">
        <v>1330</v>
      </c>
      <c r="AG66" s="635">
        <f t="shared" si="16"/>
        <v>3.0291297515202587E-2</v>
      </c>
      <c r="AH66" s="610">
        <v>44602</v>
      </c>
      <c r="AI66" s="611">
        <v>1409</v>
      </c>
      <c r="AJ66" s="622">
        <f t="shared" si="17"/>
        <v>3.1590511636249492E-2</v>
      </c>
      <c r="AK66" s="633">
        <v>45847</v>
      </c>
      <c r="AL66" s="634">
        <v>1862</v>
      </c>
      <c r="AM66" s="635">
        <f t="shared" si="18"/>
        <v>4.0613344384583507E-2</v>
      </c>
      <c r="AN66" s="630">
        <v>46230</v>
      </c>
      <c r="AO66" s="611">
        <v>3170</v>
      </c>
      <c r="AP66" s="619">
        <f t="shared" si="19"/>
        <v>6.8570192515682457E-2</v>
      </c>
      <c r="AQ66" s="610">
        <v>45831</v>
      </c>
      <c r="AR66" s="611">
        <v>3397</v>
      </c>
      <c r="AS66" s="622">
        <f t="shared" si="20"/>
        <v>7.4120137025157642E-2</v>
      </c>
      <c r="AT66" s="620">
        <v>48996</v>
      </c>
      <c r="AU66" s="612">
        <v>3120</v>
      </c>
      <c r="AV66" s="613">
        <f t="shared" si="9"/>
        <v>6.3678667646338477E-2</v>
      </c>
    </row>
    <row r="67" spans="1:48" ht="15" customHeight="1">
      <c r="A67" s="529" t="s">
        <v>155</v>
      </c>
      <c r="B67" s="532" t="s">
        <v>156</v>
      </c>
      <c r="C67" s="531" t="s">
        <v>273</v>
      </c>
      <c r="D67" s="646">
        <f t="shared" si="21"/>
        <v>3.2717529262445352E-2</v>
      </c>
      <c r="E67" s="647">
        <f t="shared" si="10"/>
        <v>3.6289757601233014E-2</v>
      </c>
      <c r="F67" s="647">
        <f t="shared" si="11"/>
        <v>3.6341025286721014E-2</v>
      </c>
      <c r="G67" s="647">
        <f t="shared" si="1"/>
        <v>3.5563428259980927E-2</v>
      </c>
      <c r="H67" s="647">
        <f t="shared" si="2"/>
        <v>3.1875166711122969E-2</v>
      </c>
      <c r="I67" s="647">
        <f t="shared" si="3"/>
        <v>2.7127796348675751E-2</v>
      </c>
      <c r="J67" s="647">
        <f t="shared" si="4"/>
        <v>2.6504208014068584E-2</v>
      </c>
      <c r="K67" s="647">
        <f t="shared" si="5"/>
        <v>3.579834014616623E-2</v>
      </c>
      <c r="L67" s="647">
        <f t="shared" si="6"/>
        <v>6.3218390804597707E-2</v>
      </c>
      <c r="M67" s="647">
        <f t="shared" si="7"/>
        <v>6.2107208872458408E-2</v>
      </c>
      <c r="N67" s="648">
        <f t="shared" si="8"/>
        <v>5.4033676803216892E-2</v>
      </c>
      <c r="O67" s="639"/>
      <c r="P67" s="610">
        <v>7091</v>
      </c>
      <c r="Q67" s="611">
        <v>232</v>
      </c>
      <c r="R67" s="637">
        <f t="shared" si="0"/>
        <v>3.2717529262445352E-2</v>
      </c>
      <c r="S67" s="633">
        <v>7137</v>
      </c>
      <c r="T67" s="634">
        <v>259</v>
      </c>
      <c r="U67" s="638">
        <f t="shared" si="12"/>
        <v>3.6289757601233014E-2</v>
      </c>
      <c r="V67" s="633">
        <v>7237</v>
      </c>
      <c r="W67" s="634">
        <v>263</v>
      </c>
      <c r="X67" s="638">
        <f t="shared" si="13"/>
        <v>3.6341025286721014E-2</v>
      </c>
      <c r="Y67" s="633">
        <v>7339</v>
      </c>
      <c r="Z67" s="634">
        <v>261</v>
      </c>
      <c r="AA67" s="635">
        <f t="shared" si="14"/>
        <v>3.5563428259980927E-2</v>
      </c>
      <c r="AB67" s="633">
        <v>7498</v>
      </c>
      <c r="AC67" s="634">
        <v>239</v>
      </c>
      <c r="AD67" s="635">
        <f t="shared" si="15"/>
        <v>3.1875166711122969E-2</v>
      </c>
      <c r="AE67" s="633">
        <v>7778</v>
      </c>
      <c r="AF67" s="634">
        <v>211</v>
      </c>
      <c r="AG67" s="635">
        <f t="shared" si="16"/>
        <v>2.7127796348675751E-2</v>
      </c>
      <c r="AH67" s="610">
        <v>7961</v>
      </c>
      <c r="AI67" s="611">
        <v>211</v>
      </c>
      <c r="AJ67" s="622">
        <f t="shared" si="17"/>
        <v>2.6504208014068584E-2</v>
      </c>
      <c r="AK67" s="633">
        <v>8073</v>
      </c>
      <c r="AL67" s="634">
        <v>289</v>
      </c>
      <c r="AM67" s="635">
        <f t="shared" si="18"/>
        <v>3.579834014616623E-2</v>
      </c>
      <c r="AN67" s="630">
        <v>8178</v>
      </c>
      <c r="AO67" s="611">
        <v>517</v>
      </c>
      <c r="AP67" s="619">
        <f t="shared" si="19"/>
        <v>6.3218390804597707E-2</v>
      </c>
      <c r="AQ67" s="610">
        <v>8115</v>
      </c>
      <c r="AR67" s="611">
        <v>504</v>
      </c>
      <c r="AS67" s="622">
        <f t="shared" si="20"/>
        <v>6.2107208872458408E-2</v>
      </c>
      <c r="AT67" s="620">
        <v>7958</v>
      </c>
      <c r="AU67" s="612">
        <v>430</v>
      </c>
      <c r="AV67" s="613">
        <f t="shared" si="9"/>
        <v>5.4033676803216892E-2</v>
      </c>
    </row>
    <row r="68" spans="1:48" ht="15" customHeight="1">
      <c r="A68" s="529" t="s">
        <v>157</v>
      </c>
      <c r="B68" s="532" t="s">
        <v>158</v>
      </c>
      <c r="C68" s="531" t="s">
        <v>275</v>
      </c>
      <c r="D68" s="646">
        <f t="shared" si="21"/>
        <v>2.9976019184652279E-2</v>
      </c>
      <c r="E68" s="647">
        <f t="shared" si="10"/>
        <v>3.6105738233397806E-2</v>
      </c>
      <c r="F68" s="647">
        <f t="shared" si="11"/>
        <v>3.6813592711154891E-2</v>
      </c>
      <c r="G68" s="647">
        <f t="shared" si="1"/>
        <v>3.3721066854658678E-2</v>
      </c>
      <c r="H68" s="647">
        <f t="shared" si="2"/>
        <v>3.1880139686831135E-2</v>
      </c>
      <c r="I68" s="647">
        <f t="shared" si="3"/>
        <v>2.6974951830443159E-2</v>
      </c>
      <c r="J68" s="647">
        <f t="shared" si="4"/>
        <v>2.6687763713080168E-2</v>
      </c>
      <c r="K68" s="647">
        <f t="shared" si="5"/>
        <v>3.5681886906561835E-2</v>
      </c>
      <c r="L68" s="647">
        <f t="shared" si="6"/>
        <v>6.8692338547934217E-2</v>
      </c>
      <c r="M68" s="647">
        <f t="shared" si="7"/>
        <v>7.4044506536273827E-2</v>
      </c>
      <c r="N68" s="648">
        <f t="shared" si="8"/>
        <v>6.4100077579519008E-2</v>
      </c>
      <c r="O68" s="639"/>
      <c r="P68" s="610">
        <v>7506</v>
      </c>
      <c r="Q68" s="611">
        <v>225</v>
      </c>
      <c r="R68" s="637">
        <f t="shared" si="0"/>
        <v>2.9976019184652279E-2</v>
      </c>
      <c r="S68" s="633">
        <v>7755</v>
      </c>
      <c r="T68" s="634">
        <v>280</v>
      </c>
      <c r="U68" s="638">
        <f t="shared" si="12"/>
        <v>3.6105738233397806E-2</v>
      </c>
      <c r="V68" s="633">
        <v>8122</v>
      </c>
      <c r="W68" s="634">
        <v>299</v>
      </c>
      <c r="X68" s="638">
        <f t="shared" si="13"/>
        <v>3.6813592711154891E-2</v>
      </c>
      <c r="Y68" s="633">
        <v>8511</v>
      </c>
      <c r="Z68" s="634">
        <v>287</v>
      </c>
      <c r="AA68" s="635">
        <f t="shared" si="14"/>
        <v>3.3721066854658678E-2</v>
      </c>
      <c r="AB68" s="633">
        <v>8877</v>
      </c>
      <c r="AC68" s="634">
        <v>283</v>
      </c>
      <c r="AD68" s="635">
        <f t="shared" si="15"/>
        <v>3.1880139686831135E-2</v>
      </c>
      <c r="AE68" s="633">
        <v>9342</v>
      </c>
      <c r="AF68" s="634">
        <v>252</v>
      </c>
      <c r="AG68" s="635">
        <f t="shared" si="16"/>
        <v>2.6974951830443159E-2</v>
      </c>
      <c r="AH68" s="610">
        <v>9480</v>
      </c>
      <c r="AI68" s="611">
        <v>253</v>
      </c>
      <c r="AJ68" s="622">
        <f t="shared" si="17"/>
        <v>2.6687763713080168E-2</v>
      </c>
      <c r="AK68" s="633">
        <v>9921</v>
      </c>
      <c r="AL68" s="634">
        <v>354</v>
      </c>
      <c r="AM68" s="635">
        <f t="shared" si="18"/>
        <v>3.5681886906561835E-2</v>
      </c>
      <c r="AN68" s="630">
        <v>9972</v>
      </c>
      <c r="AO68" s="611">
        <v>685</v>
      </c>
      <c r="AP68" s="619">
        <f t="shared" si="19"/>
        <v>6.8692338547934217E-2</v>
      </c>
      <c r="AQ68" s="610">
        <v>10021</v>
      </c>
      <c r="AR68" s="611">
        <v>742</v>
      </c>
      <c r="AS68" s="622">
        <f t="shared" si="20"/>
        <v>7.4044506536273827E-2</v>
      </c>
      <c r="AT68" s="620">
        <v>10312</v>
      </c>
      <c r="AU68" s="612">
        <v>661</v>
      </c>
      <c r="AV68" s="613">
        <f t="shared" si="9"/>
        <v>6.4100077579519008E-2</v>
      </c>
    </row>
    <row r="69" spans="1:48" ht="15" customHeight="1">
      <c r="A69" s="529" t="s">
        <v>163</v>
      </c>
      <c r="B69" s="532" t="s">
        <v>164</v>
      </c>
      <c r="C69" s="531" t="s">
        <v>272</v>
      </c>
      <c r="D69" s="646">
        <f t="shared" si="21"/>
        <v>3.6663124335812966E-2</v>
      </c>
      <c r="E69" s="647">
        <f t="shared" si="10"/>
        <v>5.0643631436314361E-2</v>
      </c>
      <c r="F69" s="647">
        <f t="shared" si="11"/>
        <v>4.8395143854980872E-2</v>
      </c>
      <c r="G69" s="647">
        <f t="shared" si="1"/>
        <v>4.6182060686895635E-2</v>
      </c>
      <c r="H69" s="647">
        <f t="shared" si="2"/>
        <v>5.0594739487351312E-2</v>
      </c>
      <c r="I69" s="647">
        <f t="shared" si="3"/>
        <v>4.3154510069385685E-2</v>
      </c>
      <c r="J69" s="647">
        <f t="shared" si="4"/>
        <v>0.04</v>
      </c>
      <c r="K69" s="647">
        <f t="shared" si="5"/>
        <v>5.419122462344466E-2</v>
      </c>
      <c r="L69" s="647">
        <f t="shared" si="6"/>
        <v>7.8817733990147784E-2</v>
      </c>
      <c r="M69" s="647">
        <f t="shared" si="7"/>
        <v>8.0831408775981523E-2</v>
      </c>
      <c r="N69" s="648">
        <f t="shared" si="8"/>
        <v>8.010375343301801E-2</v>
      </c>
      <c r="O69" s="639"/>
      <c r="P69" s="610">
        <v>5646</v>
      </c>
      <c r="Q69" s="611">
        <v>207</v>
      </c>
      <c r="R69" s="637">
        <f t="shared" si="0"/>
        <v>3.6663124335812966E-2</v>
      </c>
      <c r="S69" s="633">
        <v>5904</v>
      </c>
      <c r="T69" s="634">
        <v>299</v>
      </c>
      <c r="U69" s="638">
        <f t="shared" si="12"/>
        <v>5.0643631436314361E-2</v>
      </c>
      <c r="V69" s="633">
        <v>6013</v>
      </c>
      <c r="W69" s="634">
        <v>291</v>
      </c>
      <c r="X69" s="638">
        <f t="shared" si="13"/>
        <v>4.8395143854980872E-2</v>
      </c>
      <c r="Y69" s="633">
        <v>5998</v>
      </c>
      <c r="Z69" s="634">
        <v>277</v>
      </c>
      <c r="AA69" s="635">
        <f t="shared" si="14"/>
        <v>4.6182060686895635E-2</v>
      </c>
      <c r="AB69" s="633">
        <v>5969</v>
      </c>
      <c r="AC69" s="634">
        <v>302</v>
      </c>
      <c r="AD69" s="635">
        <f t="shared" si="15"/>
        <v>5.0594739487351312E-2</v>
      </c>
      <c r="AE69" s="633">
        <v>5909</v>
      </c>
      <c r="AF69" s="634">
        <v>255</v>
      </c>
      <c r="AG69" s="635">
        <f t="shared" si="16"/>
        <v>4.3154510069385685E-2</v>
      </c>
      <c r="AH69" s="610">
        <v>6000</v>
      </c>
      <c r="AI69" s="611">
        <v>240</v>
      </c>
      <c r="AJ69" s="622">
        <f t="shared" si="17"/>
        <v>0.04</v>
      </c>
      <c r="AK69" s="633">
        <v>6108</v>
      </c>
      <c r="AL69" s="634">
        <v>331</v>
      </c>
      <c r="AM69" s="635">
        <f t="shared" si="18"/>
        <v>5.419122462344466E-2</v>
      </c>
      <c r="AN69" s="630">
        <v>6293</v>
      </c>
      <c r="AO69" s="611">
        <v>496</v>
      </c>
      <c r="AP69" s="619">
        <f t="shared" si="19"/>
        <v>7.8817733990147784E-2</v>
      </c>
      <c r="AQ69" s="610">
        <v>6495</v>
      </c>
      <c r="AR69" s="611">
        <v>525</v>
      </c>
      <c r="AS69" s="622">
        <f t="shared" si="20"/>
        <v>8.0831408775981523E-2</v>
      </c>
      <c r="AT69" s="620">
        <v>6554</v>
      </c>
      <c r="AU69" s="612">
        <v>525</v>
      </c>
      <c r="AV69" s="613">
        <f t="shared" si="9"/>
        <v>8.010375343301801E-2</v>
      </c>
    </row>
    <row r="70" spans="1:48" ht="15" customHeight="1">
      <c r="A70" s="529" t="s">
        <v>165</v>
      </c>
      <c r="B70" s="532" t="s">
        <v>166</v>
      </c>
      <c r="C70" s="531" t="s">
        <v>275</v>
      </c>
      <c r="D70" s="646">
        <f t="shared" si="21"/>
        <v>5.0200803212851405E-2</v>
      </c>
      <c r="E70" s="647">
        <f t="shared" si="10"/>
        <v>5.9432446903444583E-2</v>
      </c>
      <c r="F70" s="647">
        <f t="shared" si="11"/>
        <v>5.576012624934245E-2</v>
      </c>
      <c r="G70" s="647">
        <f t="shared" si="1"/>
        <v>4.9319163068747923E-2</v>
      </c>
      <c r="H70" s="647">
        <f t="shared" si="2"/>
        <v>4.7587791270101737E-2</v>
      </c>
      <c r="I70" s="647">
        <f t="shared" si="3"/>
        <v>4.1050357320924047E-2</v>
      </c>
      <c r="J70" s="647">
        <f t="shared" si="4"/>
        <v>4.2759311842325037E-2</v>
      </c>
      <c r="K70" s="647">
        <f t="shared" si="5"/>
        <v>5.6562235393734124E-2</v>
      </c>
      <c r="L70" s="647">
        <f t="shared" si="6"/>
        <v>8.8055509664629106E-2</v>
      </c>
      <c r="M70" s="647">
        <f t="shared" si="7"/>
        <v>8.6879999999999999E-2</v>
      </c>
      <c r="N70" s="648">
        <f t="shared" si="8"/>
        <v>8.9650514941752496E-2</v>
      </c>
      <c r="O70" s="639"/>
      <c r="P70" s="610">
        <v>5478</v>
      </c>
      <c r="Q70" s="611">
        <v>275</v>
      </c>
      <c r="R70" s="637">
        <f t="shared" ref="R70:R122" si="22">+Q70/P70</f>
        <v>5.0200803212851405E-2</v>
      </c>
      <c r="S70" s="633">
        <v>5603</v>
      </c>
      <c r="T70" s="634">
        <v>333</v>
      </c>
      <c r="U70" s="638">
        <f t="shared" si="12"/>
        <v>5.9432446903444583E-2</v>
      </c>
      <c r="V70" s="633">
        <v>5703</v>
      </c>
      <c r="W70" s="634">
        <v>318</v>
      </c>
      <c r="X70" s="638">
        <f t="shared" si="13"/>
        <v>5.576012624934245E-2</v>
      </c>
      <c r="Y70" s="633">
        <v>6022</v>
      </c>
      <c r="Z70" s="634">
        <v>297</v>
      </c>
      <c r="AA70" s="635">
        <f t="shared" si="14"/>
        <v>4.9319163068747923E-2</v>
      </c>
      <c r="AB70" s="633">
        <v>6094</v>
      </c>
      <c r="AC70" s="634">
        <v>290</v>
      </c>
      <c r="AD70" s="635">
        <f t="shared" si="15"/>
        <v>4.7587791270101737E-2</v>
      </c>
      <c r="AE70" s="633">
        <v>6017</v>
      </c>
      <c r="AF70" s="634">
        <v>247</v>
      </c>
      <c r="AG70" s="635">
        <f t="shared" si="16"/>
        <v>4.1050357320924047E-2</v>
      </c>
      <c r="AH70" s="610">
        <v>5987</v>
      </c>
      <c r="AI70" s="611">
        <v>256</v>
      </c>
      <c r="AJ70" s="622">
        <f t="shared" si="17"/>
        <v>4.2759311842325037E-2</v>
      </c>
      <c r="AK70" s="633">
        <v>5905</v>
      </c>
      <c r="AL70" s="634">
        <v>334</v>
      </c>
      <c r="AM70" s="635">
        <f t="shared" si="18"/>
        <v>5.6562235393734124E-2</v>
      </c>
      <c r="AN70" s="630">
        <v>6053</v>
      </c>
      <c r="AO70" s="611">
        <v>533</v>
      </c>
      <c r="AP70" s="619">
        <f t="shared" si="19"/>
        <v>8.8055509664629106E-2</v>
      </c>
      <c r="AQ70" s="610">
        <v>6250</v>
      </c>
      <c r="AR70" s="611">
        <v>543</v>
      </c>
      <c r="AS70" s="622">
        <f t="shared" si="20"/>
        <v>8.6879999999999999E-2</v>
      </c>
      <c r="AT70" s="620">
        <v>5923</v>
      </c>
      <c r="AU70" s="612">
        <v>531</v>
      </c>
      <c r="AV70" s="613">
        <f t="shared" si="9"/>
        <v>8.9650514941752496E-2</v>
      </c>
    </row>
    <row r="71" spans="1:48" ht="15" customHeight="1">
      <c r="A71" s="529" t="s">
        <v>169</v>
      </c>
      <c r="B71" s="532" t="s">
        <v>170</v>
      </c>
      <c r="C71" s="531" t="s">
        <v>275</v>
      </c>
      <c r="D71" s="646">
        <f t="shared" si="21"/>
        <v>3.9743589743589741E-2</v>
      </c>
      <c r="E71" s="647">
        <f t="shared" si="10"/>
        <v>4.3866520444931847E-2</v>
      </c>
      <c r="F71" s="647">
        <f t="shared" si="11"/>
        <v>4.4307692307692305E-2</v>
      </c>
      <c r="G71" s="647">
        <f t="shared" ref="G71:G122" si="23">+AA71</f>
        <v>4.3662635464111824E-2</v>
      </c>
      <c r="H71" s="647">
        <f t="shared" ref="H71:H122" si="24">+AD71</f>
        <v>4.5113955666562601E-2</v>
      </c>
      <c r="I71" s="647">
        <f t="shared" ref="I71:I122" si="25">+AG71</f>
        <v>4.0450825999691215E-2</v>
      </c>
      <c r="J71" s="647">
        <f t="shared" ref="J71:J122" si="26">+AJ71</f>
        <v>3.8200211384568923E-2</v>
      </c>
      <c r="K71" s="647">
        <f t="shared" ref="K71:K122" si="27">+AM71</f>
        <v>5.4526123936816523E-2</v>
      </c>
      <c r="L71" s="647">
        <f t="shared" ref="L71:L122" si="28">+AP71</f>
        <v>8.1595372202770591E-2</v>
      </c>
      <c r="M71" s="647">
        <f t="shared" ref="M71:M122" si="29">+AS71</f>
        <v>8.3421330517423439E-2</v>
      </c>
      <c r="N71" s="648">
        <f t="shared" ref="N71:N126" si="30">+AV71</f>
        <v>7.6865448007192083E-2</v>
      </c>
      <c r="O71" s="639"/>
      <c r="P71" s="610">
        <v>6240</v>
      </c>
      <c r="Q71" s="611">
        <v>248</v>
      </c>
      <c r="R71" s="637">
        <f t="shared" si="22"/>
        <v>3.9743589743589741E-2</v>
      </c>
      <c r="S71" s="633">
        <v>6383</v>
      </c>
      <c r="T71" s="634">
        <v>280</v>
      </c>
      <c r="U71" s="638">
        <f t="shared" si="12"/>
        <v>4.3866520444931847E-2</v>
      </c>
      <c r="V71" s="633">
        <v>6500</v>
      </c>
      <c r="W71" s="634">
        <v>288</v>
      </c>
      <c r="X71" s="638">
        <f t="shared" si="13"/>
        <v>4.4307692307692305E-2</v>
      </c>
      <c r="Y71" s="633">
        <v>6367</v>
      </c>
      <c r="Z71" s="634">
        <v>278</v>
      </c>
      <c r="AA71" s="635">
        <f t="shared" si="14"/>
        <v>4.3662635464111824E-2</v>
      </c>
      <c r="AB71" s="633">
        <v>6406</v>
      </c>
      <c r="AC71" s="634">
        <v>289</v>
      </c>
      <c r="AD71" s="635">
        <f t="shared" si="15"/>
        <v>4.5113955666562601E-2</v>
      </c>
      <c r="AE71" s="633">
        <v>6477</v>
      </c>
      <c r="AF71" s="634">
        <v>262</v>
      </c>
      <c r="AG71" s="635">
        <f t="shared" si="16"/>
        <v>4.0450825999691215E-2</v>
      </c>
      <c r="AH71" s="610">
        <v>6623</v>
      </c>
      <c r="AI71" s="611">
        <v>253</v>
      </c>
      <c r="AJ71" s="622">
        <f t="shared" si="17"/>
        <v>3.8200211384568923E-2</v>
      </c>
      <c r="AK71" s="633">
        <v>6584</v>
      </c>
      <c r="AL71" s="634">
        <v>359</v>
      </c>
      <c r="AM71" s="635">
        <f t="shared" si="18"/>
        <v>5.4526123936816523E-2</v>
      </c>
      <c r="AN71" s="630">
        <v>6569</v>
      </c>
      <c r="AO71" s="611">
        <v>536</v>
      </c>
      <c r="AP71" s="619">
        <f t="shared" si="19"/>
        <v>8.1595372202770591E-2</v>
      </c>
      <c r="AQ71" s="610">
        <v>6629</v>
      </c>
      <c r="AR71" s="611">
        <v>553</v>
      </c>
      <c r="AS71" s="622">
        <f t="shared" si="20"/>
        <v>8.3421330517423439E-2</v>
      </c>
      <c r="AT71" s="620">
        <v>6674</v>
      </c>
      <c r="AU71" s="612">
        <v>513</v>
      </c>
      <c r="AV71" s="613">
        <f t="shared" ref="AV71:AV126" si="31">+AU71/AT71</f>
        <v>7.6865448007192083E-2</v>
      </c>
    </row>
    <row r="72" spans="1:48" ht="15" customHeight="1">
      <c r="A72" s="529" t="s">
        <v>171</v>
      </c>
      <c r="B72" s="532" t="s">
        <v>172</v>
      </c>
      <c r="C72" s="531" t="s">
        <v>276</v>
      </c>
      <c r="D72" s="646">
        <f t="shared" si="21"/>
        <v>2.6861268535051625E-2</v>
      </c>
      <c r="E72" s="647">
        <f t="shared" ref="E72:E122" si="32">+U72</f>
        <v>4.4787297783103655E-2</v>
      </c>
      <c r="F72" s="647">
        <f t="shared" ref="F72:F122" si="33">+X72</f>
        <v>3.9910829857615418E-2</v>
      </c>
      <c r="G72" s="647">
        <f t="shared" si="23"/>
        <v>3.3084386124101348E-2</v>
      </c>
      <c r="H72" s="647">
        <f t="shared" si="24"/>
        <v>3.1562584482292509E-2</v>
      </c>
      <c r="I72" s="647">
        <f t="shared" si="25"/>
        <v>2.974345446151817E-2</v>
      </c>
      <c r="J72" s="647">
        <f t="shared" si="26"/>
        <v>3.154228213894085E-2</v>
      </c>
      <c r="K72" s="647">
        <f t="shared" si="27"/>
        <v>4.5576407506702415E-2</v>
      </c>
      <c r="L72" s="647">
        <f t="shared" si="28"/>
        <v>7.7632248219735508E-2</v>
      </c>
      <c r="M72" s="647">
        <f t="shared" si="29"/>
        <v>7.6975816504612313E-2</v>
      </c>
      <c r="N72" s="648">
        <f t="shared" si="30"/>
        <v>7.2042258002927517E-2</v>
      </c>
      <c r="O72" s="639"/>
      <c r="P72" s="610">
        <v>12881</v>
      </c>
      <c r="Q72" s="611">
        <v>346</v>
      </c>
      <c r="R72" s="637">
        <f t="shared" si="22"/>
        <v>2.6861268535051625E-2</v>
      </c>
      <c r="S72" s="633">
        <v>13352</v>
      </c>
      <c r="T72" s="634">
        <v>598</v>
      </c>
      <c r="U72" s="638">
        <f t="shared" ref="U72:U122" si="34">+T72/S72</f>
        <v>4.4787297783103655E-2</v>
      </c>
      <c r="V72" s="633">
        <v>13906</v>
      </c>
      <c r="W72" s="634">
        <v>555</v>
      </c>
      <c r="X72" s="638">
        <f t="shared" ref="X72:X122" si="35">+W72/V72</f>
        <v>3.9910829857615418E-2</v>
      </c>
      <c r="Y72" s="633">
        <v>14327</v>
      </c>
      <c r="Z72" s="634">
        <v>474</v>
      </c>
      <c r="AA72" s="635">
        <f t="shared" ref="AA72:AA122" si="36">+Z72/Y72</f>
        <v>3.3084386124101348E-2</v>
      </c>
      <c r="AB72" s="633">
        <v>14796</v>
      </c>
      <c r="AC72" s="634">
        <v>467</v>
      </c>
      <c r="AD72" s="635">
        <f t="shared" ref="AD72:AD122" si="37">+AC72/AB72</f>
        <v>3.1562584482292509E-2</v>
      </c>
      <c r="AE72" s="633">
        <v>15163</v>
      </c>
      <c r="AF72" s="634">
        <v>451</v>
      </c>
      <c r="AG72" s="635">
        <f t="shared" ref="AG72:AG122" si="38">+AF72/AE72</f>
        <v>2.974345446151817E-2</v>
      </c>
      <c r="AH72" s="610">
        <v>15503</v>
      </c>
      <c r="AI72" s="611">
        <v>489</v>
      </c>
      <c r="AJ72" s="622">
        <f t="shared" ref="AJ72:AJ122" si="39">+AI72/AH72</f>
        <v>3.154228213894085E-2</v>
      </c>
      <c r="AK72" s="633">
        <v>15666</v>
      </c>
      <c r="AL72" s="634">
        <v>714</v>
      </c>
      <c r="AM72" s="635">
        <f t="shared" ref="AM72:AM122" si="40">+AL72/AK72</f>
        <v>4.5576407506702415E-2</v>
      </c>
      <c r="AN72" s="630">
        <v>15728</v>
      </c>
      <c r="AO72" s="611">
        <v>1221</v>
      </c>
      <c r="AP72" s="619">
        <f t="shared" ref="AP72:AP122" si="41">+AO72/AN72</f>
        <v>7.7632248219735508E-2</v>
      </c>
      <c r="AQ72" s="610">
        <v>16044</v>
      </c>
      <c r="AR72" s="611">
        <v>1235</v>
      </c>
      <c r="AS72" s="622">
        <f t="shared" ref="AS72:AS122" si="42">+AR72/AQ72</f>
        <v>7.6975816504612313E-2</v>
      </c>
      <c r="AT72" s="620">
        <v>15713</v>
      </c>
      <c r="AU72" s="612">
        <v>1132</v>
      </c>
      <c r="AV72" s="613">
        <f t="shared" si="31"/>
        <v>7.2042258002927517E-2</v>
      </c>
    </row>
    <row r="73" spans="1:48" ht="15" customHeight="1">
      <c r="A73" s="529" t="s">
        <v>173</v>
      </c>
      <c r="B73" s="532" t="s">
        <v>174</v>
      </c>
      <c r="C73" s="531" t="s">
        <v>276</v>
      </c>
      <c r="D73" s="646">
        <f t="shared" ref="D73:D123" si="43">+R73</f>
        <v>3.3432392273402674E-2</v>
      </c>
      <c r="E73" s="647">
        <f t="shared" si="32"/>
        <v>6.1209618654359969E-2</v>
      </c>
      <c r="F73" s="647">
        <f t="shared" si="33"/>
        <v>6.9630245118404654E-2</v>
      </c>
      <c r="G73" s="647">
        <f t="shared" si="23"/>
        <v>5.4213727193744572E-2</v>
      </c>
      <c r="H73" s="647">
        <f t="shared" si="24"/>
        <v>5.0515553244952778E-2</v>
      </c>
      <c r="I73" s="647">
        <f t="shared" si="25"/>
        <v>4.5821863067223162E-2</v>
      </c>
      <c r="J73" s="647">
        <f t="shared" si="26"/>
        <v>4.9811453126370253E-2</v>
      </c>
      <c r="K73" s="647">
        <f t="shared" si="27"/>
        <v>6.8558321298105518E-2</v>
      </c>
      <c r="L73" s="647">
        <f t="shared" si="28"/>
        <v>0.11863281898125104</v>
      </c>
      <c r="M73" s="647">
        <f t="shared" si="29"/>
        <v>0.11559602920666175</v>
      </c>
      <c r="N73" s="648">
        <f t="shared" si="30"/>
        <v>0.10879272550133962</v>
      </c>
      <c r="O73" s="533"/>
      <c r="P73" s="610">
        <v>12114</v>
      </c>
      <c r="Q73" s="611">
        <v>405</v>
      </c>
      <c r="R73" s="637">
        <f t="shared" si="22"/>
        <v>3.3432392273402674E-2</v>
      </c>
      <c r="S73" s="633">
        <v>12351</v>
      </c>
      <c r="T73" s="634">
        <v>756</v>
      </c>
      <c r="U73" s="638">
        <f t="shared" si="34"/>
        <v>6.1209618654359969E-2</v>
      </c>
      <c r="V73" s="633">
        <v>12035</v>
      </c>
      <c r="W73" s="634">
        <v>838</v>
      </c>
      <c r="X73" s="638">
        <f t="shared" si="35"/>
        <v>6.9630245118404654E-2</v>
      </c>
      <c r="Y73" s="626">
        <v>11510</v>
      </c>
      <c r="Z73" s="616">
        <v>624</v>
      </c>
      <c r="AA73" s="635">
        <f t="shared" si="36"/>
        <v>5.4213727193744572E-2</v>
      </c>
      <c r="AB73" s="626">
        <v>11541</v>
      </c>
      <c r="AC73" s="616">
        <v>583</v>
      </c>
      <c r="AD73" s="635">
        <f t="shared" si="37"/>
        <v>5.0515553244952778E-2</v>
      </c>
      <c r="AE73" s="626">
        <v>11261</v>
      </c>
      <c r="AF73" s="616">
        <v>516</v>
      </c>
      <c r="AG73" s="635">
        <f t="shared" si="38"/>
        <v>4.5821863067223162E-2</v>
      </c>
      <c r="AH73" s="626">
        <v>11403</v>
      </c>
      <c r="AI73" s="616">
        <v>568</v>
      </c>
      <c r="AJ73" s="622">
        <f t="shared" si="39"/>
        <v>4.9811453126370253E-2</v>
      </c>
      <c r="AK73" s="626">
        <v>11771</v>
      </c>
      <c r="AL73" s="616">
        <v>807</v>
      </c>
      <c r="AM73" s="635">
        <f t="shared" si="40"/>
        <v>6.8558321298105518E-2</v>
      </c>
      <c r="AN73" s="625">
        <v>12054</v>
      </c>
      <c r="AO73" s="616">
        <v>1430</v>
      </c>
      <c r="AP73" s="619">
        <f t="shared" si="41"/>
        <v>0.11863281898125104</v>
      </c>
      <c r="AQ73" s="610">
        <v>12189</v>
      </c>
      <c r="AR73" s="611">
        <v>1409</v>
      </c>
      <c r="AS73" s="622">
        <f t="shared" si="42"/>
        <v>0.11559602920666175</v>
      </c>
      <c r="AT73" s="620">
        <v>12317</v>
      </c>
      <c r="AU73" s="612">
        <v>1340</v>
      </c>
      <c r="AV73" s="613">
        <f t="shared" si="31"/>
        <v>0.10879272550133962</v>
      </c>
    </row>
    <row r="74" spans="1:48" ht="15" customHeight="1">
      <c r="A74" s="529" t="s">
        <v>175</v>
      </c>
      <c r="B74" s="532" t="s">
        <v>176</v>
      </c>
      <c r="C74" s="531" t="s">
        <v>278</v>
      </c>
      <c r="D74" s="646">
        <f t="shared" si="43"/>
        <v>5.2559941367396085E-2</v>
      </c>
      <c r="E74" s="647">
        <f t="shared" si="32"/>
        <v>8.3877656817003626E-2</v>
      </c>
      <c r="F74" s="647">
        <f t="shared" si="33"/>
        <v>7.6378351036924627E-2</v>
      </c>
      <c r="G74" s="647">
        <f t="shared" si="23"/>
        <v>7.5663282017687516E-2</v>
      </c>
      <c r="H74" s="647">
        <f t="shared" si="24"/>
        <v>6.5131504684501643E-2</v>
      </c>
      <c r="I74" s="647">
        <f t="shared" si="25"/>
        <v>4.5408450704225355E-2</v>
      </c>
      <c r="J74" s="647">
        <f t="shared" si="26"/>
        <v>3.995170672813083E-2</v>
      </c>
      <c r="K74" s="647">
        <f t="shared" si="27"/>
        <v>6.4586754241926655E-2</v>
      </c>
      <c r="L74" s="647">
        <f t="shared" si="28"/>
        <v>0.11432325886990802</v>
      </c>
      <c r="M74" s="647">
        <f t="shared" si="29"/>
        <v>0.11223404255319148</v>
      </c>
      <c r="N74" s="648">
        <f t="shared" si="30"/>
        <v>9.5042697127647777E-2</v>
      </c>
      <c r="O74" s="639"/>
      <c r="P74" s="610">
        <v>9551</v>
      </c>
      <c r="Q74" s="611">
        <v>502</v>
      </c>
      <c r="R74" s="637">
        <f t="shared" si="22"/>
        <v>5.2559941367396085E-2</v>
      </c>
      <c r="S74" s="633">
        <v>9645</v>
      </c>
      <c r="T74" s="634">
        <v>809</v>
      </c>
      <c r="U74" s="638">
        <f t="shared" si="34"/>
        <v>8.3877656817003626E-2</v>
      </c>
      <c r="V74" s="633">
        <v>9885</v>
      </c>
      <c r="W74" s="634">
        <v>755</v>
      </c>
      <c r="X74" s="638">
        <f t="shared" si="35"/>
        <v>7.6378351036924627E-2</v>
      </c>
      <c r="Y74" s="633">
        <v>9159</v>
      </c>
      <c r="Z74" s="634">
        <v>693</v>
      </c>
      <c r="AA74" s="635">
        <f t="shared" si="36"/>
        <v>7.5663282017687516E-2</v>
      </c>
      <c r="AB74" s="633">
        <v>8859</v>
      </c>
      <c r="AC74" s="634">
        <v>577</v>
      </c>
      <c r="AD74" s="635">
        <f t="shared" si="37"/>
        <v>6.5131504684501643E-2</v>
      </c>
      <c r="AE74" s="633">
        <v>8875</v>
      </c>
      <c r="AF74" s="634">
        <v>403</v>
      </c>
      <c r="AG74" s="635">
        <f t="shared" si="38"/>
        <v>4.5408450704225355E-2</v>
      </c>
      <c r="AH74" s="610">
        <v>9111</v>
      </c>
      <c r="AI74" s="611">
        <v>364</v>
      </c>
      <c r="AJ74" s="622">
        <f t="shared" si="39"/>
        <v>3.995170672813083E-2</v>
      </c>
      <c r="AK74" s="633">
        <v>9135</v>
      </c>
      <c r="AL74" s="634">
        <v>590</v>
      </c>
      <c r="AM74" s="635">
        <f t="shared" si="40"/>
        <v>6.4586754241926655E-2</v>
      </c>
      <c r="AN74" s="630">
        <v>9132</v>
      </c>
      <c r="AO74" s="611">
        <v>1044</v>
      </c>
      <c r="AP74" s="619">
        <f t="shared" si="41"/>
        <v>0.11432325886990802</v>
      </c>
      <c r="AQ74" s="610">
        <v>9400</v>
      </c>
      <c r="AR74" s="611">
        <v>1055</v>
      </c>
      <c r="AS74" s="622">
        <f t="shared" si="42"/>
        <v>0.11223404255319148</v>
      </c>
      <c r="AT74" s="620">
        <v>9017</v>
      </c>
      <c r="AU74" s="612">
        <v>857</v>
      </c>
      <c r="AV74" s="613">
        <f t="shared" si="31"/>
        <v>9.5042697127647777E-2</v>
      </c>
    </row>
    <row r="75" spans="1:48" ht="15" customHeight="1">
      <c r="A75" s="529" t="s">
        <v>179</v>
      </c>
      <c r="B75" s="532" t="s">
        <v>180</v>
      </c>
      <c r="C75" s="531" t="s">
        <v>273</v>
      </c>
      <c r="D75" s="646">
        <f t="shared" si="43"/>
        <v>5.8485494485123739E-2</v>
      </c>
      <c r="E75" s="647">
        <f t="shared" si="32"/>
        <v>7.0014851635195344E-2</v>
      </c>
      <c r="F75" s="647">
        <f t="shared" si="33"/>
        <v>6.5173301044346904E-2</v>
      </c>
      <c r="G75" s="647">
        <f t="shared" si="23"/>
        <v>6.1639997509495052E-2</v>
      </c>
      <c r="H75" s="647">
        <f t="shared" si="24"/>
        <v>6.2685078395311872E-2</v>
      </c>
      <c r="I75" s="647">
        <f t="shared" si="25"/>
        <v>5.3564004988647627E-2</v>
      </c>
      <c r="J75" s="647">
        <f t="shared" si="26"/>
        <v>5.639001219590474E-2</v>
      </c>
      <c r="K75" s="647">
        <f t="shared" si="27"/>
        <v>6.6266961186494167E-2</v>
      </c>
      <c r="L75" s="647">
        <f t="shared" si="28"/>
        <v>0.10570922976622893</v>
      </c>
      <c r="M75" s="647">
        <f t="shared" si="29"/>
        <v>0.1037747759121323</v>
      </c>
      <c r="N75" s="648">
        <f t="shared" si="30"/>
        <v>8.3197635848260051E-2</v>
      </c>
      <c r="O75" s="639"/>
      <c r="P75" s="610">
        <v>32367</v>
      </c>
      <c r="Q75" s="611">
        <v>1893</v>
      </c>
      <c r="R75" s="637">
        <f t="shared" si="22"/>
        <v>5.8485494485123739E-2</v>
      </c>
      <c r="S75" s="633">
        <v>32993</v>
      </c>
      <c r="T75" s="634">
        <v>2310</v>
      </c>
      <c r="U75" s="638">
        <f t="shared" si="34"/>
        <v>7.0014851635195344E-2</v>
      </c>
      <c r="V75" s="633">
        <v>33035</v>
      </c>
      <c r="W75" s="634">
        <v>2153</v>
      </c>
      <c r="X75" s="638">
        <f t="shared" si="35"/>
        <v>6.5173301044346904E-2</v>
      </c>
      <c r="Y75" s="633">
        <v>32122</v>
      </c>
      <c r="Z75" s="634">
        <v>1980</v>
      </c>
      <c r="AA75" s="635">
        <f t="shared" si="36"/>
        <v>6.1639997509495052E-2</v>
      </c>
      <c r="AB75" s="633">
        <v>32081</v>
      </c>
      <c r="AC75" s="634">
        <v>2011</v>
      </c>
      <c r="AD75" s="635">
        <f t="shared" si="37"/>
        <v>6.2685078395311872E-2</v>
      </c>
      <c r="AE75" s="633">
        <v>31271</v>
      </c>
      <c r="AF75" s="634">
        <v>1675</v>
      </c>
      <c r="AG75" s="635">
        <f t="shared" si="38"/>
        <v>5.3564004988647627E-2</v>
      </c>
      <c r="AH75" s="610">
        <v>31158</v>
      </c>
      <c r="AI75" s="611">
        <v>1757</v>
      </c>
      <c r="AJ75" s="622">
        <f t="shared" si="39"/>
        <v>5.639001219590474E-2</v>
      </c>
      <c r="AK75" s="633">
        <v>31690</v>
      </c>
      <c r="AL75" s="634">
        <v>2100</v>
      </c>
      <c r="AM75" s="635">
        <f t="shared" si="40"/>
        <v>6.6266961186494167E-2</v>
      </c>
      <c r="AN75" s="630">
        <v>32211</v>
      </c>
      <c r="AO75" s="611">
        <v>3405</v>
      </c>
      <c r="AP75" s="619">
        <f t="shared" si="41"/>
        <v>0.10570922976622893</v>
      </c>
      <c r="AQ75" s="610">
        <v>31684</v>
      </c>
      <c r="AR75" s="611">
        <v>3288</v>
      </c>
      <c r="AS75" s="622">
        <f t="shared" si="42"/>
        <v>0.1037747759121323</v>
      </c>
      <c r="AT75" s="620">
        <v>33162</v>
      </c>
      <c r="AU75" s="612">
        <v>2759</v>
      </c>
      <c r="AV75" s="613">
        <f t="shared" si="31"/>
        <v>8.3197635848260051E-2</v>
      </c>
    </row>
    <row r="76" spans="1:48" ht="15" customHeight="1">
      <c r="A76" s="529" t="s">
        <v>183</v>
      </c>
      <c r="B76" s="532" t="s">
        <v>184</v>
      </c>
      <c r="C76" s="531" t="s">
        <v>275</v>
      </c>
      <c r="D76" s="646">
        <f t="shared" si="43"/>
        <v>2.5097698653929659E-2</v>
      </c>
      <c r="E76" s="647">
        <f t="shared" si="32"/>
        <v>3.1296205027106949E-2</v>
      </c>
      <c r="F76" s="647">
        <f t="shared" si="33"/>
        <v>3.150977753147019E-2</v>
      </c>
      <c r="G76" s="647">
        <f t="shared" si="23"/>
        <v>2.8658304827061953E-2</v>
      </c>
      <c r="H76" s="647">
        <f t="shared" si="24"/>
        <v>2.8150428854189575E-2</v>
      </c>
      <c r="I76" s="647">
        <f t="shared" si="25"/>
        <v>2.5395939440452105E-2</v>
      </c>
      <c r="J76" s="647">
        <f t="shared" si="26"/>
        <v>2.321378926883514E-2</v>
      </c>
      <c r="K76" s="647">
        <f t="shared" si="27"/>
        <v>3.3372244729794685E-2</v>
      </c>
      <c r="L76" s="647">
        <f t="shared" si="28"/>
        <v>6.1474002335325226E-2</v>
      </c>
      <c r="M76" s="647">
        <f t="shared" si="29"/>
        <v>6.597464121499233E-2</v>
      </c>
      <c r="N76" s="648">
        <f t="shared" si="30"/>
        <v>5.7665935271530445E-2</v>
      </c>
      <c r="O76" s="639"/>
      <c r="P76" s="610">
        <v>11515</v>
      </c>
      <c r="Q76" s="611">
        <v>289</v>
      </c>
      <c r="R76" s="637">
        <f t="shared" si="22"/>
        <v>2.5097698653929659E-2</v>
      </c>
      <c r="S76" s="633">
        <v>12174</v>
      </c>
      <c r="T76" s="634">
        <v>381</v>
      </c>
      <c r="U76" s="638">
        <f t="shared" si="34"/>
        <v>3.1296205027106949E-2</v>
      </c>
      <c r="V76" s="633">
        <v>12631</v>
      </c>
      <c r="W76" s="634">
        <v>398</v>
      </c>
      <c r="X76" s="638">
        <f t="shared" si="35"/>
        <v>3.150977753147019E-2</v>
      </c>
      <c r="Y76" s="633">
        <v>13155</v>
      </c>
      <c r="Z76" s="634">
        <v>377</v>
      </c>
      <c r="AA76" s="635">
        <f t="shared" si="36"/>
        <v>2.8658304827061953E-2</v>
      </c>
      <c r="AB76" s="633">
        <v>13641</v>
      </c>
      <c r="AC76" s="634">
        <v>384</v>
      </c>
      <c r="AD76" s="635">
        <f t="shared" si="37"/>
        <v>2.8150428854189575E-2</v>
      </c>
      <c r="AE76" s="633">
        <v>14333</v>
      </c>
      <c r="AF76" s="634">
        <v>364</v>
      </c>
      <c r="AG76" s="635">
        <f t="shared" si="38"/>
        <v>2.5395939440452105E-2</v>
      </c>
      <c r="AH76" s="610">
        <v>14388</v>
      </c>
      <c r="AI76" s="611">
        <v>334</v>
      </c>
      <c r="AJ76" s="622">
        <f t="shared" si="39"/>
        <v>2.321378926883514E-2</v>
      </c>
      <c r="AK76" s="633">
        <v>14563</v>
      </c>
      <c r="AL76" s="634">
        <v>486</v>
      </c>
      <c r="AM76" s="635">
        <f t="shared" si="40"/>
        <v>3.3372244729794685E-2</v>
      </c>
      <c r="AN76" s="630">
        <v>14559</v>
      </c>
      <c r="AO76" s="611">
        <v>895</v>
      </c>
      <c r="AP76" s="619">
        <f t="shared" si="41"/>
        <v>6.1474002335325226E-2</v>
      </c>
      <c r="AQ76" s="610">
        <v>14354</v>
      </c>
      <c r="AR76" s="611">
        <v>947</v>
      </c>
      <c r="AS76" s="622">
        <f t="shared" si="42"/>
        <v>6.597464121499233E-2</v>
      </c>
      <c r="AT76" s="620">
        <v>14584</v>
      </c>
      <c r="AU76" s="612">
        <v>841</v>
      </c>
      <c r="AV76" s="613">
        <f t="shared" si="31"/>
        <v>5.7665935271530445E-2</v>
      </c>
    </row>
    <row r="77" spans="1:48" ht="15" customHeight="1">
      <c r="A77" s="529" t="s">
        <v>185</v>
      </c>
      <c r="B77" s="532" t="s">
        <v>186</v>
      </c>
      <c r="C77" s="531" t="s">
        <v>275</v>
      </c>
      <c r="D77" s="646">
        <f t="shared" si="43"/>
        <v>4.1839473042205415E-2</v>
      </c>
      <c r="E77" s="647">
        <f t="shared" si="32"/>
        <v>5.8405587668593446E-2</v>
      </c>
      <c r="F77" s="647">
        <f t="shared" si="33"/>
        <v>5.6962764094782306E-2</v>
      </c>
      <c r="G77" s="647">
        <f t="shared" si="23"/>
        <v>5.5450011873664211E-2</v>
      </c>
      <c r="H77" s="647">
        <f t="shared" si="24"/>
        <v>5.6432884347422205E-2</v>
      </c>
      <c r="I77" s="647">
        <f t="shared" si="25"/>
        <v>4.6997097566421078E-2</v>
      </c>
      <c r="J77" s="647">
        <f t="shared" si="26"/>
        <v>4.5314900153609831E-2</v>
      </c>
      <c r="K77" s="647">
        <f t="shared" si="27"/>
        <v>5.4777466542172422E-2</v>
      </c>
      <c r="L77" s="647">
        <f t="shared" si="28"/>
        <v>8.9734459253230231E-2</v>
      </c>
      <c r="M77" s="647">
        <f t="shared" si="29"/>
        <v>9.80142815220581E-2</v>
      </c>
      <c r="N77" s="648">
        <f t="shared" si="30"/>
        <v>9.1567661547377568E-2</v>
      </c>
      <c r="O77" s="639"/>
      <c r="P77" s="610">
        <v>8198</v>
      </c>
      <c r="Q77" s="611">
        <v>343</v>
      </c>
      <c r="R77" s="637">
        <f t="shared" si="22"/>
        <v>4.1839473042205415E-2</v>
      </c>
      <c r="S77" s="633">
        <v>8304</v>
      </c>
      <c r="T77" s="634">
        <v>485</v>
      </c>
      <c r="U77" s="638">
        <f t="shared" si="34"/>
        <v>5.8405587668593446E-2</v>
      </c>
      <c r="V77" s="633">
        <v>8567</v>
      </c>
      <c r="W77" s="634">
        <v>488</v>
      </c>
      <c r="X77" s="638">
        <f t="shared" si="35"/>
        <v>5.6962764094782306E-2</v>
      </c>
      <c r="Y77" s="633">
        <v>8422</v>
      </c>
      <c r="Z77" s="634">
        <v>467</v>
      </c>
      <c r="AA77" s="635">
        <f t="shared" si="36"/>
        <v>5.5450011873664211E-2</v>
      </c>
      <c r="AB77" s="633">
        <v>8612</v>
      </c>
      <c r="AC77" s="634">
        <v>486</v>
      </c>
      <c r="AD77" s="635">
        <f t="shared" si="37"/>
        <v>5.6432884347422205E-2</v>
      </c>
      <c r="AE77" s="633">
        <v>8958</v>
      </c>
      <c r="AF77" s="634">
        <v>421</v>
      </c>
      <c r="AG77" s="635">
        <f t="shared" si="38"/>
        <v>4.6997097566421078E-2</v>
      </c>
      <c r="AH77" s="610">
        <v>9114</v>
      </c>
      <c r="AI77" s="611">
        <v>413</v>
      </c>
      <c r="AJ77" s="622">
        <f t="shared" si="39"/>
        <v>4.5314900153609831E-2</v>
      </c>
      <c r="AK77" s="633">
        <v>9639</v>
      </c>
      <c r="AL77" s="634">
        <v>528</v>
      </c>
      <c r="AM77" s="635">
        <f t="shared" si="40"/>
        <v>5.4777466542172422E-2</v>
      </c>
      <c r="AN77" s="630">
        <v>9829</v>
      </c>
      <c r="AO77" s="611">
        <v>882</v>
      </c>
      <c r="AP77" s="619">
        <f t="shared" si="41"/>
        <v>8.9734459253230231E-2</v>
      </c>
      <c r="AQ77" s="610">
        <v>10223</v>
      </c>
      <c r="AR77" s="611">
        <v>1002</v>
      </c>
      <c r="AS77" s="622">
        <f t="shared" si="42"/>
        <v>9.80142815220581E-2</v>
      </c>
      <c r="AT77" s="620">
        <v>10353</v>
      </c>
      <c r="AU77" s="612">
        <v>948</v>
      </c>
      <c r="AV77" s="613">
        <f t="shared" si="31"/>
        <v>9.1567661547377568E-2</v>
      </c>
    </row>
    <row r="78" spans="1:48" ht="15" customHeight="1">
      <c r="A78" s="529" t="s">
        <v>187</v>
      </c>
      <c r="B78" s="532" t="s">
        <v>188</v>
      </c>
      <c r="C78" s="531" t="s">
        <v>272</v>
      </c>
      <c r="D78" s="646">
        <f t="shared" si="43"/>
        <v>3.4864824937213768E-2</v>
      </c>
      <c r="E78" s="647">
        <f t="shared" si="32"/>
        <v>3.8423575860124085E-2</v>
      </c>
      <c r="F78" s="647">
        <f t="shared" si="33"/>
        <v>4.1530944625407164E-2</v>
      </c>
      <c r="G78" s="647">
        <f t="shared" si="23"/>
        <v>3.6058335563286061E-2</v>
      </c>
      <c r="H78" s="647">
        <f t="shared" si="24"/>
        <v>3.8028076187965464E-2</v>
      </c>
      <c r="I78" s="647">
        <f t="shared" si="25"/>
        <v>3.299712778037539E-2</v>
      </c>
      <c r="J78" s="647">
        <f t="shared" si="26"/>
        <v>3.1767489016559645E-2</v>
      </c>
      <c r="K78" s="647">
        <f t="shared" si="27"/>
        <v>4.2470784641068446E-2</v>
      </c>
      <c r="L78" s="647">
        <f t="shared" si="28"/>
        <v>6.9963247577681256E-2</v>
      </c>
      <c r="M78" s="647">
        <f t="shared" si="29"/>
        <v>7.3225045847524234E-2</v>
      </c>
      <c r="N78" s="648">
        <f t="shared" si="30"/>
        <v>6.8474667746070292E-2</v>
      </c>
      <c r="O78" s="639"/>
      <c r="P78" s="610">
        <v>13538</v>
      </c>
      <c r="Q78" s="611">
        <v>472</v>
      </c>
      <c r="R78" s="637">
        <f t="shared" si="22"/>
        <v>3.4864824937213768E-2</v>
      </c>
      <c r="S78" s="633">
        <v>14184</v>
      </c>
      <c r="T78" s="634">
        <v>545</v>
      </c>
      <c r="U78" s="638">
        <f t="shared" si="34"/>
        <v>3.8423575860124085E-2</v>
      </c>
      <c r="V78" s="633">
        <v>14736</v>
      </c>
      <c r="W78" s="634">
        <v>612</v>
      </c>
      <c r="X78" s="638">
        <f t="shared" si="35"/>
        <v>4.1530944625407164E-2</v>
      </c>
      <c r="Y78" s="633">
        <v>14948</v>
      </c>
      <c r="Z78" s="634">
        <v>539</v>
      </c>
      <c r="AA78" s="635">
        <f t="shared" si="36"/>
        <v>3.6058335563286061E-2</v>
      </c>
      <c r="AB78" s="633">
        <v>15173</v>
      </c>
      <c r="AC78" s="634">
        <v>577</v>
      </c>
      <c r="AD78" s="635">
        <f t="shared" si="37"/>
        <v>3.8028076187965464E-2</v>
      </c>
      <c r="AE78" s="633">
        <v>14971</v>
      </c>
      <c r="AF78" s="634">
        <v>494</v>
      </c>
      <c r="AG78" s="635">
        <f t="shared" si="38"/>
        <v>3.299712778037539E-2</v>
      </c>
      <c r="AH78" s="610">
        <v>14795</v>
      </c>
      <c r="AI78" s="611">
        <v>470</v>
      </c>
      <c r="AJ78" s="622">
        <f t="shared" si="39"/>
        <v>3.1767489016559645E-2</v>
      </c>
      <c r="AK78" s="633">
        <v>14975</v>
      </c>
      <c r="AL78" s="634">
        <v>636</v>
      </c>
      <c r="AM78" s="635">
        <f t="shared" si="40"/>
        <v>4.2470784641068446E-2</v>
      </c>
      <c r="AN78" s="630">
        <v>14965</v>
      </c>
      <c r="AO78" s="611">
        <v>1047</v>
      </c>
      <c r="AP78" s="619">
        <f t="shared" si="41"/>
        <v>6.9963247577681256E-2</v>
      </c>
      <c r="AQ78" s="610">
        <v>15268</v>
      </c>
      <c r="AR78" s="611">
        <v>1118</v>
      </c>
      <c r="AS78" s="622">
        <f t="shared" si="42"/>
        <v>7.3225045847524234E-2</v>
      </c>
      <c r="AT78" s="620">
        <v>14823</v>
      </c>
      <c r="AU78" s="612">
        <v>1015</v>
      </c>
      <c r="AV78" s="613">
        <f t="shared" si="31"/>
        <v>6.8474667746070292E-2</v>
      </c>
    </row>
    <row r="79" spans="1:48" ht="15" customHeight="1">
      <c r="A79" s="529" t="s">
        <v>189</v>
      </c>
      <c r="B79" s="532" t="s">
        <v>190</v>
      </c>
      <c r="C79" s="531" t="s">
        <v>276</v>
      </c>
      <c r="D79" s="646">
        <f t="shared" si="43"/>
        <v>2.4553752725591509E-2</v>
      </c>
      <c r="E79" s="647">
        <f t="shared" si="32"/>
        <v>3.4000934321957763E-2</v>
      </c>
      <c r="F79" s="647">
        <f t="shared" si="33"/>
        <v>3.3842542267039803E-2</v>
      </c>
      <c r="G79" s="647">
        <f t="shared" si="23"/>
        <v>2.8726171270536331E-2</v>
      </c>
      <c r="H79" s="647">
        <f t="shared" si="24"/>
        <v>2.6834845621325872E-2</v>
      </c>
      <c r="I79" s="647">
        <f t="shared" si="25"/>
        <v>2.3587730555345864E-2</v>
      </c>
      <c r="J79" s="647">
        <f t="shared" si="26"/>
        <v>2.4319635155901454E-2</v>
      </c>
      <c r="K79" s="647">
        <f t="shared" si="27"/>
        <v>3.2808137699983003E-2</v>
      </c>
      <c r="L79" s="647">
        <f t="shared" si="28"/>
        <v>5.372401296967385E-2</v>
      </c>
      <c r="M79" s="647">
        <f t="shared" si="29"/>
        <v>5.7733085481023419E-2</v>
      </c>
      <c r="N79" s="648">
        <f t="shared" si="30"/>
        <v>5.117123047407876E-2</v>
      </c>
      <c r="O79" s="639"/>
      <c r="P79" s="610">
        <v>160057</v>
      </c>
      <c r="Q79" s="611">
        <v>3930</v>
      </c>
      <c r="R79" s="637">
        <f t="shared" si="22"/>
        <v>2.4553752725591509E-2</v>
      </c>
      <c r="S79" s="633">
        <v>166966</v>
      </c>
      <c r="T79" s="634">
        <v>5677</v>
      </c>
      <c r="U79" s="638">
        <f t="shared" si="34"/>
        <v>3.4000934321957763E-2</v>
      </c>
      <c r="V79" s="633">
        <v>172948</v>
      </c>
      <c r="W79" s="634">
        <v>5853</v>
      </c>
      <c r="X79" s="638">
        <f t="shared" si="35"/>
        <v>3.3842542267039803E-2</v>
      </c>
      <c r="Y79" s="633">
        <v>182238</v>
      </c>
      <c r="Z79" s="634">
        <v>5235</v>
      </c>
      <c r="AA79" s="635">
        <f t="shared" si="36"/>
        <v>2.8726171270536331E-2</v>
      </c>
      <c r="AB79" s="633">
        <v>191542</v>
      </c>
      <c r="AC79" s="634">
        <v>5140</v>
      </c>
      <c r="AD79" s="635">
        <f t="shared" si="37"/>
        <v>2.6834845621325872E-2</v>
      </c>
      <c r="AE79" s="633">
        <v>198705</v>
      </c>
      <c r="AF79" s="634">
        <v>4687</v>
      </c>
      <c r="AG79" s="635">
        <f t="shared" si="38"/>
        <v>2.3587730555345864E-2</v>
      </c>
      <c r="AH79" s="610">
        <v>201730</v>
      </c>
      <c r="AI79" s="611">
        <v>4906</v>
      </c>
      <c r="AJ79" s="622">
        <f t="shared" si="39"/>
        <v>2.4319635155901454E-2</v>
      </c>
      <c r="AK79" s="633">
        <v>205955</v>
      </c>
      <c r="AL79" s="634">
        <v>6757</v>
      </c>
      <c r="AM79" s="635">
        <f t="shared" si="40"/>
        <v>3.2808137699983003E-2</v>
      </c>
      <c r="AN79" s="630">
        <v>209720</v>
      </c>
      <c r="AO79" s="611">
        <v>11267</v>
      </c>
      <c r="AP79" s="619">
        <f t="shared" si="41"/>
        <v>5.372401296967385E-2</v>
      </c>
      <c r="AQ79" s="610">
        <v>214106</v>
      </c>
      <c r="AR79" s="611">
        <v>12361</v>
      </c>
      <c r="AS79" s="622">
        <f t="shared" si="42"/>
        <v>5.7733085481023419E-2</v>
      </c>
      <c r="AT79" s="620">
        <v>230911</v>
      </c>
      <c r="AU79" s="612">
        <v>11816</v>
      </c>
      <c r="AV79" s="613">
        <f t="shared" si="31"/>
        <v>5.117123047407876E-2</v>
      </c>
    </row>
    <row r="80" spans="1:48" ht="15" customHeight="1">
      <c r="A80" s="529" t="s">
        <v>191</v>
      </c>
      <c r="B80" s="532" t="s">
        <v>192</v>
      </c>
      <c r="C80" s="531" t="s">
        <v>278</v>
      </c>
      <c r="D80" s="646">
        <f t="shared" si="43"/>
        <v>7.0724801812004537E-2</v>
      </c>
      <c r="E80" s="647">
        <f t="shared" si="32"/>
        <v>6.2953309156844967E-2</v>
      </c>
      <c r="F80" s="647">
        <f t="shared" si="33"/>
        <v>6.0844823812650474E-2</v>
      </c>
      <c r="G80" s="647">
        <f t="shared" si="23"/>
        <v>5.8065924470639602E-2</v>
      </c>
      <c r="H80" s="647">
        <f t="shared" si="24"/>
        <v>4.4418758256274768E-2</v>
      </c>
      <c r="I80" s="647">
        <f t="shared" si="25"/>
        <v>3.8130246337850442E-2</v>
      </c>
      <c r="J80" s="647">
        <f t="shared" si="26"/>
        <v>5.4311844246198733E-2</v>
      </c>
      <c r="K80" s="647">
        <f t="shared" si="27"/>
        <v>6.3644385616589458E-2</v>
      </c>
      <c r="L80" s="647">
        <f t="shared" si="28"/>
        <v>0.10706994735145589</v>
      </c>
      <c r="M80" s="647">
        <f t="shared" si="29"/>
        <v>9.3330349149507608E-2</v>
      </c>
      <c r="N80" s="648">
        <f t="shared" si="30"/>
        <v>6.9867787796647679E-2</v>
      </c>
      <c r="O80" s="639"/>
      <c r="P80" s="610">
        <v>17660</v>
      </c>
      <c r="Q80" s="611">
        <v>1249</v>
      </c>
      <c r="R80" s="637">
        <f t="shared" si="22"/>
        <v>7.0724801812004537E-2</v>
      </c>
      <c r="S80" s="633">
        <v>17648</v>
      </c>
      <c r="T80" s="634">
        <v>1111</v>
      </c>
      <c r="U80" s="638">
        <f t="shared" si="34"/>
        <v>6.2953309156844967E-2</v>
      </c>
      <c r="V80" s="633">
        <v>18276</v>
      </c>
      <c r="W80" s="634">
        <v>1112</v>
      </c>
      <c r="X80" s="638">
        <f t="shared" si="35"/>
        <v>6.0844823812650474E-2</v>
      </c>
      <c r="Y80" s="633">
        <v>18324</v>
      </c>
      <c r="Z80" s="634">
        <v>1064</v>
      </c>
      <c r="AA80" s="635">
        <f t="shared" si="36"/>
        <v>5.8065924470639602E-2</v>
      </c>
      <c r="AB80" s="633">
        <v>18168</v>
      </c>
      <c r="AC80" s="634">
        <v>807</v>
      </c>
      <c r="AD80" s="635">
        <f t="shared" si="37"/>
        <v>4.4418758256274768E-2</v>
      </c>
      <c r="AE80" s="633">
        <v>18227</v>
      </c>
      <c r="AF80" s="634">
        <v>695</v>
      </c>
      <c r="AG80" s="635">
        <f t="shared" si="38"/>
        <v>3.8130246337850442E-2</v>
      </c>
      <c r="AH80" s="610">
        <v>17823</v>
      </c>
      <c r="AI80" s="611">
        <v>968</v>
      </c>
      <c r="AJ80" s="622">
        <f t="shared" si="39"/>
        <v>5.4311844246198733E-2</v>
      </c>
      <c r="AK80" s="633">
        <v>18132</v>
      </c>
      <c r="AL80" s="634">
        <v>1154</v>
      </c>
      <c r="AM80" s="635">
        <f t="shared" si="40"/>
        <v>6.3644385616589458E-2</v>
      </c>
      <c r="AN80" s="630">
        <v>18614</v>
      </c>
      <c r="AO80" s="611">
        <v>1993</v>
      </c>
      <c r="AP80" s="619">
        <f t="shared" si="41"/>
        <v>0.10706994735145589</v>
      </c>
      <c r="AQ80" s="610">
        <v>17872</v>
      </c>
      <c r="AR80" s="611">
        <v>1668</v>
      </c>
      <c r="AS80" s="622">
        <f t="shared" si="42"/>
        <v>9.3330349149507608E-2</v>
      </c>
      <c r="AT80" s="620">
        <v>18077</v>
      </c>
      <c r="AU80" s="612">
        <v>1263</v>
      </c>
      <c r="AV80" s="613">
        <f t="shared" si="31"/>
        <v>6.9867787796647679E-2</v>
      </c>
    </row>
    <row r="81" spans="1:48" ht="15" customHeight="1">
      <c r="A81" s="529" t="s">
        <v>195</v>
      </c>
      <c r="B81" s="532" t="s">
        <v>196</v>
      </c>
      <c r="C81" s="531" t="s">
        <v>276</v>
      </c>
      <c r="D81" s="646">
        <f t="shared" si="43"/>
        <v>2.3624161073825502E-2</v>
      </c>
      <c r="E81" s="647">
        <f t="shared" si="32"/>
        <v>3.3893781692020286E-2</v>
      </c>
      <c r="F81" s="647">
        <f t="shared" si="33"/>
        <v>3.0272704528396296E-2</v>
      </c>
      <c r="G81" s="647">
        <f t="shared" si="23"/>
        <v>2.5740650801359885E-2</v>
      </c>
      <c r="H81" s="647">
        <f t="shared" si="24"/>
        <v>2.5764507584878402E-2</v>
      </c>
      <c r="I81" s="647">
        <f t="shared" si="25"/>
        <v>2.3023255813953487E-2</v>
      </c>
      <c r="J81" s="647">
        <f t="shared" si="26"/>
        <v>2.4850437183617118E-2</v>
      </c>
      <c r="K81" s="647">
        <f t="shared" si="27"/>
        <v>3.4821219911194204E-2</v>
      </c>
      <c r="L81" s="647">
        <f t="shared" si="28"/>
        <v>5.8949880668257758E-2</v>
      </c>
      <c r="M81" s="647">
        <f t="shared" si="29"/>
        <v>5.6453501991098616E-2</v>
      </c>
      <c r="N81" s="648">
        <f t="shared" si="30"/>
        <v>5.1565811160819403E-2</v>
      </c>
      <c r="O81" s="639"/>
      <c r="P81" s="610">
        <v>3725</v>
      </c>
      <c r="Q81" s="611">
        <v>88</v>
      </c>
      <c r="R81" s="637">
        <f t="shared" si="22"/>
        <v>2.3624161073825502E-2</v>
      </c>
      <c r="S81" s="633">
        <v>3747</v>
      </c>
      <c r="T81" s="634">
        <v>127</v>
      </c>
      <c r="U81" s="638">
        <f t="shared" si="34"/>
        <v>3.3893781692020286E-2</v>
      </c>
      <c r="V81" s="633">
        <v>3997</v>
      </c>
      <c r="W81" s="634">
        <v>121</v>
      </c>
      <c r="X81" s="638">
        <f t="shared" si="35"/>
        <v>3.0272704528396296E-2</v>
      </c>
      <c r="Y81" s="633">
        <v>4118</v>
      </c>
      <c r="Z81" s="634">
        <v>106</v>
      </c>
      <c r="AA81" s="635">
        <f t="shared" si="36"/>
        <v>2.5740650801359885E-2</v>
      </c>
      <c r="AB81" s="633">
        <v>4153</v>
      </c>
      <c r="AC81" s="634">
        <v>107</v>
      </c>
      <c r="AD81" s="635">
        <f t="shared" si="37"/>
        <v>2.5764507584878402E-2</v>
      </c>
      <c r="AE81" s="633">
        <v>4300</v>
      </c>
      <c r="AF81" s="634">
        <v>99</v>
      </c>
      <c r="AG81" s="635">
        <f t="shared" si="38"/>
        <v>2.3023255813953487E-2</v>
      </c>
      <c r="AH81" s="610">
        <v>4346</v>
      </c>
      <c r="AI81" s="611">
        <v>108</v>
      </c>
      <c r="AJ81" s="622">
        <f t="shared" si="39"/>
        <v>2.4850437183617118E-2</v>
      </c>
      <c r="AK81" s="633">
        <v>4279</v>
      </c>
      <c r="AL81" s="634">
        <v>149</v>
      </c>
      <c r="AM81" s="635">
        <f t="shared" si="40"/>
        <v>3.4821219911194204E-2</v>
      </c>
      <c r="AN81" s="630">
        <v>4190</v>
      </c>
      <c r="AO81" s="611">
        <v>247</v>
      </c>
      <c r="AP81" s="619">
        <f t="shared" si="41"/>
        <v>5.8949880668257758E-2</v>
      </c>
      <c r="AQ81" s="610">
        <v>4269</v>
      </c>
      <c r="AR81" s="611">
        <v>241</v>
      </c>
      <c r="AS81" s="622">
        <f t="shared" si="42"/>
        <v>5.6453501991098616E-2</v>
      </c>
      <c r="AT81" s="620">
        <v>4247</v>
      </c>
      <c r="AU81" s="612">
        <v>219</v>
      </c>
      <c r="AV81" s="613">
        <f t="shared" si="31"/>
        <v>5.1565811160819403E-2</v>
      </c>
    </row>
    <row r="82" spans="1:48" ht="15" customHeight="1">
      <c r="A82" s="529" t="s">
        <v>199</v>
      </c>
      <c r="B82" s="532" t="s">
        <v>200</v>
      </c>
      <c r="C82" s="531" t="s">
        <v>275</v>
      </c>
      <c r="D82" s="646">
        <f t="shared" si="43"/>
        <v>4.1143857601400644E-2</v>
      </c>
      <c r="E82" s="647">
        <f t="shared" si="32"/>
        <v>5.6469920544835413E-2</v>
      </c>
      <c r="F82" s="647">
        <f t="shared" si="33"/>
        <v>6.2309609526446964E-2</v>
      </c>
      <c r="G82" s="647">
        <f t="shared" si="23"/>
        <v>5.1719238420005684E-2</v>
      </c>
      <c r="H82" s="647">
        <f t="shared" si="24"/>
        <v>4.6372688477951639E-2</v>
      </c>
      <c r="I82" s="647">
        <f t="shared" si="25"/>
        <v>4.7132311186825669E-2</v>
      </c>
      <c r="J82" s="647">
        <f t="shared" si="26"/>
        <v>4.2577348850411582E-2</v>
      </c>
      <c r="K82" s="647">
        <f t="shared" si="27"/>
        <v>5.002578648788035E-2</v>
      </c>
      <c r="L82" s="647">
        <f t="shared" si="28"/>
        <v>7.8566167444144366E-2</v>
      </c>
      <c r="M82" s="647">
        <f t="shared" si="29"/>
        <v>8.0325125508008605E-2</v>
      </c>
      <c r="N82" s="648">
        <f t="shared" si="30"/>
        <v>8.0817916260954234E-2</v>
      </c>
      <c r="O82" s="639"/>
      <c r="P82" s="610">
        <v>3427</v>
      </c>
      <c r="Q82" s="611">
        <v>141</v>
      </c>
      <c r="R82" s="637">
        <f t="shared" si="22"/>
        <v>4.1143857601400644E-2</v>
      </c>
      <c r="S82" s="633">
        <v>3524</v>
      </c>
      <c r="T82" s="634">
        <v>199</v>
      </c>
      <c r="U82" s="638">
        <f t="shared" si="34"/>
        <v>5.6469920544835413E-2</v>
      </c>
      <c r="V82" s="633">
        <v>3611</v>
      </c>
      <c r="W82" s="634">
        <v>225</v>
      </c>
      <c r="X82" s="638">
        <f t="shared" si="35"/>
        <v>6.2309609526446964E-2</v>
      </c>
      <c r="Y82" s="633">
        <v>3519</v>
      </c>
      <c r="Z82" s="634">
        <v>182</v>
      </c>
      <c r="AA82" s="635">
        <f t="shared" si="36"/>
        <v>5.1719238420005684E-2</v>
      </c>
      <c r="AB82" s="633">
        <v>3515</v>
      </c>
      <c r="AC82" s="634">
        <v>163</v>
      </c>
      <c r="AD82" s="635">
        <f t="shared" si="37"/>
        <v>4.6372688477951639E-2</v>
      </c>
      <c r="AE82" s="633">
        <v>3522</v>
      </c>
      <c r="AF82" s="634">
        <v>166</v>
      </c>
      <c r="AG82" s="635">
        <f t="shared" si="38"/>
        <v>4.7132311186825669E-2</v>
      </c>
      <c r="AH82" s="610">
        <v>3523</v>
      </c>
      <c r="AI82" s="611">
        <v>150</v>
      </c>
      <c r="AJ82" s="622">
        <f t="shared" si="39"/>
        <v>4.2577348850411582E-2</v>
      </c>
      <c r="AK82" s="633">
        <v>3878</v>
      </c>
      <c r="AL82" s="634">
        <v>194</v>
      </c>
      <c r="AM82" s="635">
        <f t="shared" si="40"/>
        <v>5.002578648788035E-2</v>
      </c>
      <c r="AN82" s="630">
        <v>4073</v>
      </c>
      <c r="AO82" s="611">
        <v>320</v>
      </c>
      <c r="AP82" s="619">
        <f t="shared" si="41"/>
        <v>7.8566167444144366E-2</v>
      </c>
      <c r="AQ82" s="610">
        <v>4183</v>
      </c>
      <c r="AR82" s="611">
        <v>336</v>
      </c>
      <c r="AS82" s="622">
        <f t="shared" si="42"/>
        <v>8.0325125508008605E-2</v>
      </c>
      <c r="AT82" s="620">
        <v>4108</v>
      </c>
      <c r="AU82" s="612">
        <v>332</v>
      </c>
      <c r="AV82" s="613">
        <f t="shared" si="31"/>
        <v>8.0817916260954234E-2</v>
      </c>
    </row>
    <row r="83" spans="1:48" ht="15" customHeight="1">
      <c r="A83" s="529" t="s">
        <v>203</v>
      </c>
      <c r="B83" s="532" t="s">
        <v>204</v>
      </c>
      <c r="C83" s="531" t="s">
        <v>273</v>
      </c>
      <c r="D83" s="646">
        <f t="shared" si="43"/>
        <v>2.5326921454484098E-2</v>
      </c>
      <c r="E83" s="647">
        <f t="shared" si="32"/>
        <v>3.3697677102395435E-2</v>
      </c>
      <c r="F83" s="647">
        <f t="shared" si="33"/>
        <v>3.466009984253024E-2</v>
      </c>
      <c r="G83" s="647">
        <f t="shared" si="23"/>
        <v>3.2426583712319733E-2</v>
      </c>
      <c r="H83" s="647">
        <f t="shared" si="24"/>
        <v>2.9843525839922596E-2</v>
      </c>
      <c r="I83" s="647">
        <f t="shared" si="25"/>
        <v>2.6151550642558037E-2</v>
      </c>
      <c r="J83" s="647">
        <f t="shared" si="26"/>
        <v>2.5768844861361065E-2</v>
      </c>
      <c r="K83" s="647">
        <f t="shared" si="27"/>
        <v>3.2711901832749753E-2</v>
      </c>
      <c r="L83" s="647">
        <f t="shared" si="28"/>
        <v>5.9402805484310185E-2</v>
      </c>
      <c r="M83" s="647">
        <f t="shared" si="29"/>
        <v>6.37334868694623E-2</v>
      </c>
      <c r="N83" s="648">
        <f t="shared" si="30"/>
        <v>5.6886180023173499E-2</v>
      </c>
      <c r="O83" s="639"/>
      <c r="P83" s="614">
        <v>59265</v>
      </c>
      <c r="Q83" s="615">
        <v>1501</v>
      </c>
      <c r="R83" s="637">
        <f t="shared" si="22"/>
        <v>2.5326921454484098E-2</v>
      </c>
      <c r="S83" s="614">
        <v>60657</v>
      </c>
      <c r="T83" s="615">
        <v>2044</v>
      </c>
      <c r="U83" s="638">
        <f t="shared" si="34"/>
        <v>3.3697677102395435E-2</v>
      </c>
      <c r="V83" s="614">
        <v>59694</v>
      </c>
      <c r="W83" s="615">
        <v>2069</v>
      </c>
      <c r="X83" s="638">
        <f t="shared" si="35"/>
        <v>3.466009984253024E-2</v>
      </c>
      <c r="Y83" s="614">
        <v>59149</v>
      </c>
      <c r="Z83" s="615">
        <v>1918</v>
      </c>
      <c r="AA83" s="635">
        <f t="shared" si="36"/>
        <v>3.2426583712319733E-2</v>
      </c>
      <c r="AB83" s="614">
        <v>59946</v>
      </c>
      <c r="AC83" s="615">
        <v>1789</v>
      </c>
      <c r="AD83" s="635">
        <f t="shared" si="37"/>
        <v>2.9843525839922596E-2</v>
      </c>
      <c r="AE83" s="614">
        <v>62329</v>
      </c>
      <c r="AF83" s="615">
        <v>1630</v>
      </c>
      <c r="AG83" s="635">
        <f t="shared" si="38"/>
        <v>2.6151550642558037E-2</v>
      </c>
      <c r="AH83" s="614">
        <v>62789</v>
      </c>
      <c r="AI83" s="615">
        <v>1618</v>
      </c>
      <c r="AJ83" s="622">
        <f t="shared" si="39"/>
        <v>2.5768844861361065E-2</v>
      </c>
      <c r="AK83" s="614">
        <v>63402</v>
      </c>
      <c r="AL83" s="615">
        <v>2074</v>
      </c>
      <c r="AM83" s="635">
        <f t="shared" si="40"/>
        <v>3.2711901832749753E-2</v>
      </c>
      <c r="AN83" s="624">
        <v>63162</v>
      </c>
      <c r="AO83" s="615">
        <v>3752</v>
      </c>
      <c r="AP83" s="619">
        <f t="shared" si="41"/>
        <v>5.9402805484310185E-2</v>
      </c>
      <c r="AQ83" s="614">
        <v>62526</v>
      </c>
      <c r="AR83" s="615">
        <v>3985</v>
      </c>
      <c r="AS83" s="622">
        <f t="shared" si="42"/>
        <v>6.37334868694623E-2</v>
      </c>
      <c r="AT83" s="620">
        <v>63003</v>
      </c>
      <c r="AU83" s="612">
        <v>3584</v>
      </c>
      <c r="AV83" s="613">
        <f t="shared" si="31"/>
        <v>5.6886180023173499E-2</v>
      </c>
    </row>
    <row r="84" spans="1:48" ht="15.75">
      <c r="A84" s="529" t="s">
        <v>205</v>
      </c>
      <c r="B84" s="537" t="s">
        <v>206</v>
      </c>
      <c r="C84" s="531" t="s">
        <v>273</v>
      </c>
      <c r="D84" s="646">
        <f t="shared" si="43"/>
        <v>3.1662911770078551E-2</v>
      </c>
      <c r="E84" s="647">
        <f t="shared" si="32"/>
        <v>3.9747709151493511E-2</v>
      </c>
      <c r="F84" s="647">
        <f t="shared" si="33"/>
        <v>4.1165479388064932E-2</v>
      </c>
      <c r="G84" s="647">
        <f t="shared" si="23"/>
        <v>3.6937742031575814E-2</v>
      </c>
      <c r="H84" s="647">
        <f t="shared" si="24"/>
        <v>3.4666198994504849E-2</v>
      </c>
      <c r="I84" s="647">
        <f t="shared" si="25"/>
        <v>3.0724127821753152E-2</v>
      </c>
      <c r="J84" s="647">
        <f t="shared" si="26"/>
        <v>3.2393872061747167E-2</v>
      </c>
      <c r="K84" s="647">
        <f t="shared" si="27"/>
        <v>4.6184854592571267E-2</v>
      </c>
      <c r="L84" s="647">
        <f t="shared" si="28"/>
        <v>7.5912324994262106E-2</v>
      </c>
      <c r="M84" s="647">
        <f t="shared" si="29"/>
        <v>8.0828361633776963E-2</v>
      </c>
      <c r="N84" s="648">
        <f t="shared" si="30"/>
        <v>7.4582408597126504E-2</v>
      </c>
      <c r="O84" s="639"/>
      <c r="P84" s="614">
        <v>16423</v>
      </c>
      <c r="Q84" s="615">
        <v>520</v>
      </c>
      <c r="R84" s="637">
        <f t="shared" si="22"/>
        <v>3.1662911770078551E-2</v>
      </c>
      <c r="S84" s="614">
        <v>16806</v>
      </c>
      <c r="T84" s="615">
        <v>668</v>
      </c>
      <c r="U84" s="638">
        <f t="shared" si="34"/>
        <v>3.9747709151493511E-2</v>
      </c>
      <c r="V84" s="614">
        <v>17126</v>
      </c>
      <c r="W84" s="615">
        <v>705</v>
      </c>
      <c r="X84" s="638">
        <f t="shared" si="35"/>
        <v>4.1165479388064932E-2</v>
      </c>
      <c r="Y84" s="614">
        <v>16785</v>
      </c>
      <c r="Z84" s="615">
        <v>620</v>
      </c>
      <c r="AA84" s="635">
        <f t="shared" si="36"/>
        <v>3.6937742031575814E-2</v>
      </c>
      <c r="AB84" s="614">
        <v>17106</v>
      </c>
      <c r="AC84" s="615">
        <v>593</v>
      </c>
      <c r="AD84" s="635">
        <f t="shared" si="37"/>
        <v>3.4666198994504849E-2</v>
      </c>
      <c r="AE84" s="614">
        <v>17055</v>
      </c>
      <c r="AF84" s="615">
        <v>524</v>
      </c>
      <c r="AG84" s="635">
        <f t="shared" si="38"/>
        <v>3.0724127821753152E-2</v>
      </c>
      <c r="AH84" s="614">
        <v>17102</v>
      </c>
      <c r="AI84" s="615">
        <v>554</v>
      </c>
      <c r="AJ84" s="622">
        <f t="shared" si="39"/>
        <v>3.2393872061747167E-2</v>
      </c>
      <c r="AK84" s="614">
        <v>17365</v>
      </c>
      <c r="AL84" s="615">
        <v>802</v>
      </c>
      <c r="AM84" s="635">
        <f t="shared" si="40"/>
        <v>4.6184854592571267E-2</v>
      </c>
      <c r="AN84" s="624">
        <v>17428</v>
      </c>
      <c r="AO84" s="615">
        <v>1323</v>
      </c>
      <c r="AP84" s="619">
        <f t="shared" si="41"/>
        <v>7.5912324994262106E-2</v>
      </c>
      <c r="AQ84" s="614">
        <v>17432</v>
      </c>
      <c r="AR84" s="615">
        <v>1409</v>
      </c>
      <c r="AS84" s="622">
        <f t="shared" si="42"/>
        <v>8.0828361633776963E-2</v>
      </c>
      <c r="AT84" s="620">
        <v>17122</v>
      </c>
      <c r="AU84" s="612">
        <v>1277</v>
      </c>
      <c r="AV84" s="613">
        <f t="shared" si="31"/>
        <v>7.4582408597126504E-2</v>
      </c>
    </row>
    <row r="85" spans="1:48" ht="15.75">
      <c r="A85" s="529" t="s">
        <v>207</v>
      </c>
      <c r="B85" s="532" t="s">
        <v>208</v>
      </c>
      <c r="C85" s="531" t="s">
        <v>276</v>
      </c>
      <c r="D85" s="646">
        <f t="shared" si="43"/>
        <v>2.5413409102941955E-2</v>
      </c>
      <c r="E85" s="647">
        <f t="shared" si="32"/>
        <v>3.5456493784826404E-2</v>
      </c>
      <c r="F85" s="647">
        <f t="shared" si="33"/>
        <v>3.4176214934808373E-2</v>
      </c>
      <c r="G85" s="647">
        <f t="shared" si="23"/>
        <v>3.2957066740084535E-2</v>
      </c>
      <c r="H85" s="647">
        <f t="shared" si="24"/>
        <v>3.2279464112355188E-2</v>
      </c>
      <c r="I85" s="647">
        <f t="shared" si="25"/>
        <v>2.5438610122608816E-2</v>
      </c>
      <c r="J85" s="647">
        <f t="shared" si="26"/>
        <v>2.5994285272994053E-2</v>
      </c>
      <c r="K85" s="647">
        <f t="shared" si="27"/>
        <v>3.6176542755490121E-2</v>
      </c>
      <c r="L85" s="647">
        <f t="shared" si="28"/>
        <v>6.0736504266613936E-2</v>
      </c>
      <c r="M85" s="647">
        <f t="shared" si="29"/>
        <v>6.6070810574940936E-2</v>
      </c>
      <c r="N85" s="648">
        <f t="shared" si="30"/>
        <v>6.1482349876253742E-2</v>
      </c>
      <c r="O85" s="639"/>
      <c r="P85" s="614">
        <v>56663</v>
      </c>
      <c r="Q85" s="615">
        <v>1440</v>
      </c>
      <c r="R85" s="637">
        <f t="shared" si="22"/>
        <v>2.5413409102941955E-2</v>
      </c>
      <c r="S85" s="614">
        <v>58325</v>
      </c>
      <c r="T85" s="615">
        <v>2068</v>
      </c>
      <c r="U85" s="638">
        <f t="shared" si="34"/>
        <v>3.5456493784826404E-2</v>
      </c>
      <c r="V85" s="614">
        <v>60744</v>
      </c>
      <c r="W85" s="615">
        <v>2076</v>
      </c>
      <c r="X85" s="638">
        <f t="shared" si="35"/>
        <v>3.4176214934808373E-2</v>
      </c>
      <c r="Y85" s="614">
        <v>61747</v>
      </c>
      <c r="Z85" s="615">
        <v>2035</v>
      </c>
      <c r="AA85" s="635">
        <f t="shared" si="36"/>
        <v>3.2957066740084535E-2</v>
      </c>
      <c r="AB85" s="614">
        <v>61804</v>
      </c>
      <c r="AC85" s="615">
        <v>1995</v>
      </c>
      <c r="AD85" s="635">
        <f t="shared" si="37"/>
        <v>3.2279464112355188E-2</v>
      </c>
      <c r="AE85" s="614">
        <v>64351</v>
      </c>
      <c r="AF85" s="615">
        <v>1637</v>
      </c>
      <c r="AG85" s="635">
        <f t="shared" si="38"/>
        <v>2.5438610122608816E-2</v>
      </c>
      <c r="AH85" s="614">
        <v>64745</v>
      </c>
      <c r="AI85" s="615">
        <v>1683</v>
      </c>
      <c r="AJ85" s="622">
        <f t="shared" si="39"/>
        <v>2.5994285272994053E-2</v>
      </c>
      <c r="AK85" s="614">
        <v>65208</v>
      </c>
      <c r="AL85" s="615">
        <v>2359</v>
      </c>
      <c r="AM85" s="635">
        <f t="shared" si="40"/>
        <v>3.6176542755490121E-2</v>
      </c>
      <c r="AN85" s="624">
        <v>65743</v>
      </c>
      <c r="AO85" s="615">
        <v>3993</v>
      </c>
      <c r="AP85" s="619">
        <f t="shared" si="41"/>
        <v>6.0736504266613936E-2</v>
      </c>
      <c r="AQ85" s="614">
        <v>66459</v>
      </c>
      <c r="AR85" s="615">
        <v>4391</v>
      </c>
      <c r="AS85" s="622">
        <f t="shared" si="42"/>
        <v>6.6070810574940936E-2</v>
      </c>
      <c r="AT85" s="620">
        <v>69093</v>
      </c>
      <c r="AU85" s="612">
        <v>4248</v>
      </c>
      <c r="AV85" s="613">
        <f t="shared" si="31"/>
        <v>6.1482349876253742E-2</v>
      </c>
    </row>
    <row r="86" spans="1:48" ht="15" customHeight="1">
      <c r="A86" s="529" t="s">
        <v>209</v>
      </c>
      <c r="B86" s="532" t="s">
        <v>210</v>
      </c>
      <c r="C86" s="531" t="s">
        <v>278</v>
      </c>
      <c r="D86" s="646">
        <f t="shared" si="43"/>
        <v>6.3865688011473895E-2</v>
      </c>
      <c r="E86" s="647">
        <f t="shared" si="32"/>
        <v>6.3125102475815709E-2</v>
      </c>
      <c r="F86" s="647">
        <f t="shared" si="33"/>
        <v>6.1736334405144692E-2</v>
      </c>
      <c r="G86" s="647">
        <f t="shared" si="23"/>
        <v>5.7250277706570964E-2</v>
      </c>
      <c r="H86" s="647">
        <f t="shared" si="24"/>
        <v>5.6517775752051046E-2</v>
      </c>
      <c r="I86" s="647">
        <f t="shared" si="25"/>
        <v>5.8675184936112977E-2</v>
      </c>
      <c r="J86" s="647">
        <f t="shared" si="26"/>
        <v>5.0801687763713077E-2</v>
      </c>
      <c r="K86" s="647">
        <f t="shared" si="27"/>
        <v>5.7138041463003539E-2</v>
      </c>
      <c r="L86" s="647">
        <f t="shared" si="28"/>
        <v>0.10764201062525541</v>
      </c>
      <c r="M86" s="647">
        <f t="shared" si="29"/>
        <v>0.1009878357416932</v>
      </c>
      <c r="N86" s="648">
        <f t="shared" si="30"/>
        <v>9.304635761589404E-2</v>
      </c>
      <c r="O86" s="639"/>
      <c r="P86" s="610">
        <v>11853</v>
      </c>
      <c r="Q86" s="611">
        <v>757</v>
      </c>
      <c r="R86" s="637">
        <f t="shared" si="22"/>
        <v>6.3865688011473895E-2</v>
      </c>
      <c r="S86" s="633">
        <v>12198</v>
      </c>
      <c r="T86" s="634">
        <v>770</v>
      </c>
      <c r="U86" s="638">
        <f t="shared" si="34"/>
        <v>6.3125102475815709E-2</v>
      </c>
      <c r="V86" s="633">
        <v>12440</v>
      </c>
      <c r="W86" s="634">
        <v>768</v>
      </c>
      <c r="X86" s="638">
        <f t="shared" si="35"/>
        <v>6.1736334405144692E-2</v>
      </c>
      <c r="Y86" s="633">
        <v>11703</v>
      </c>
      <c r="Z86" s="634">
        <v>670</v>
      </c>
      <c r="AA86" s="635">
        <f t="shared" si="36"/>
        <v>5.7250277706570964E-2</v>
      </c>
      <c r="AB86" s="633">
        <v>12067</v>
      </c>
      <c r="AC86" s="634">
        <v>682</v>
      </c>
      <c r="AD86" s="635">
        <f t="shared" si="37"/>
        <v>5.6517775752051046E-2</v>
      </c>
      <c r="AE86" s="633">
        <v>11896</v>
      </c>
      <c r="AF86" s="634">
        <v>698</v>
      </c>
      <c r="AG86" s="635">
        <f t="shared" si="38"/>
        <v>5.8675184936112977E-2</v>
      </c>
      <c r="AH86" s="610">
        <v>11850</v>
      </c>
      <c r="AI86" s="611">
        <v>602</v>
      </c>
      <c r="AJ86" s="622">
        <f t="shared" si="39"/>
        <v>5.0801687763713077E-2</v>
      </c>
      <c r="AK86" s="633">
        <v>11866</v>
      </c>
      <c r="AL86" s="634">
        <v>678</v>
      </c>
      <c r="AM86" s="635">
        <f t="shared" si="40"/>
        <v>5.7138041463003539E-2</v>
      </c>
      <c r="AN86" s="630">
        <v>12235</v>
      </c>
      <c r="AO86" s="611">
        <v>1317</v>
      </c>
      <c r="AP86" s="619">
        <f t="shared" si="41"/>
        <v>0.10764201062525541</v>
      </c>
      <c r="AQ86" s="610">
        <v>12249</v>
      </c>
      <c r="AR86" s="611">
        <v>1237</v>
      </c>
      <c r="AS86" s="622">
        <f t="shared" si="42"/>
        <v>0.1009878357416932</v>
      </c>
      <c r="AT86" s="620">
        <v>12080</v>
      </c>
      <c r="AU86" s="612">
        <v>1124</v>
      </c>
      <c r="AV86" s="613">
        <f t="shared" si="31"/>
        <v>9.304635761589404E-2</v>
      </c>
    </row>
    <row r="87" spans="1:48" ht="15" customHeight="1">
      <c r="A87" s="529" t="s">
        <v>211</v>
      </c>
      <c r="B87" s="532" t="s">
        <v>212</v>
      </c>
      <c r="C87" s="531" t="s">
        <v>278</v>
      </c>
      <c r="D87" s="646">
        <f t="shared" si="43"/>
        <v>4.6062101583384744E-2</v>
      </c>
      <c r="E87" s="647">
        <f t="shared" si="32"/>
        <v>5.2930440073007505E-2</v>
      </c>
      <c r="F87" s="647">
        <f t="shared" si="33"/>
        <v>5.4459905896486131E-2</v>
      </c>
      <c r="G87" s="647">
        <f t="shared" si="23"/>
        <v>5.5223426892288985E-2</v>
      </c>
      <c r="H87" s="647">
        <f t="shared" si="24"/>
        <v>5.1419878296146047E-2</v>
      </c>
      <c r="I87" s="647">
        <f t="shared" si="25"/>
        <v>4.8009601920384073E-2</v>
      </c>
      <c r="J87" s="647">
        <f t="shared" si="26"/>
        <v>4.5592705167173252E-2</v>
      </c>
      <c r="K87" s="647">
        <f t="shared" si="27"/>
        <v>5.3987122337790988E-2</v>
      </c>
      <c r="L87" s="647">
        <f t="shared" si="28"/>
        <v>9.4586614173228348E-2</v>
      </c>
      <c r="M87" s="647">
        <f t="shared" si="29"/>
        <v>9.5204584296772893E-2</v>
      </c>
      <c r="N87" s="648">
        <f t="shared" si="30"/>
        <v>8.0928237129485173E-2</v>
      </c>
      <c r="O87" s="639"/>
      <c r="P87" s="610">
        <v>9726</v>
      </c>
      <c r="Q87" s="611">
        <v>448</v>
      </c>
      <c r="R87" s="637">
        <f t="shared" si="22"/>
        <v>4.6062101583384744E-2</v>
      </c>
      <c r="S87" s="633">
        <v>9862</v>
      </c>
      <c r="T87" s="634">
        <v>522</v>
      </c>
      <c r="U87" s="638">
        <f t="shared" si="34"/>
        <v>5.2930440073007505E-2</v>
      </c>
      <c r="V87" s="633">
        <v>9989</v>
      </c>
      <c r="W87" s="634">
        <v>544</v>
      </c>
      <c r="X87" s="638">
        <f t="shared" si="35"/>
        <v>5.4459905896486131E-2</v>
      </c>
      <c r="Y87" s="633">
        <v>9869</v>
      </c>
      <c r="Z87" s="634">
        <v>545</v>
      </c>
      <c r="AA87" s="635">
        <f t="shared" si="36"/>
        <v>5.5223426892288985E-2</v>
      </c>
      <c r="AB87" s="633">
        <v>9860</v>
      </c>
      <c r="AC87" s="634">
        <v>507</v>
      </c>
      <c r="AD87" s="635">
        <f t="shared" si="37"/>
        <v>5.1419878296146047E-2</v>
      </c>
      <c r="AE87" s="633">
        <v>9998</v>
      </c>
      <c r="AF87" s="634">
        <v>480</v>
      </c>
      <c r="AG87" s="635">
        <f t="shared" si="38"/>
        <v>4.8009601920384073E-2</v>
      </c>
      <c r="AH87" s="610">
        <v>9870</v>
      </c>
      <c r="AI87" s="611">
        <v>450</v>
      </c>
      <c r="AJ87" s="622">
        <f t="shared" si="39"/>
        <v>4.5592705167173252E-2</v>
      </c>
      <c r="AK87" s="633">
        <v>10095</v>
      </c>
      <c r="AL87" s="634">
        <v>545</v>
      </c>
      <c r="AM87" s="635">
        <f t="shared" si="40"/>
        <v>5.3987122337790988E-2</v>
      </c>
      <c r="AN87" s="630">
        <v>10160</v>
      </c>
      <c r="AO87" s="611">
        <v>961</v>
      </c>
      <c r="AP87" s="619">
        <f t="shared" si="41"/>
        <v>9.4586614173228348E-2</v>
      </c>
      <c r="AQ87" s="610">
        <v>9947</v>
      </c>
      <c r="AR87" s="611">
        <v>947</v>
      </c>
      <c r="AS87" s="622">
        <f t="shared" si="42"/>
        <v>9.5204584296772893E-2</v>
      </c>
      <c r="AT87" s="620">
        <v>10256</v>
      </c>
      <c r="AU87" s="612">
        <v>830</v>
      </c>
      <c r="AV87" s="613">
        <f t="shared" si="31"/>
        <v>8.0928237129485173E-2</v>
      </c>
    </row>
    <row r="88" spans="1:48" ht="15" customHeight="1">
      <c r="A88" s="529" t="s">
        <v>213</v>
      </c>
      <c r="B88" s="532" t="s">
        <v>214</v>
      </c>
      <c r="C88" s="531" t="s">
        <v>276</v>
      </c>
      <c r="D88" s="646">
        <f t="shared" si="43"/>
        <v>2.4315946985891408E-2</v>
      </c>
      <c r="E88" s="647">
        <f t="shared" si="32"/>
        <v>3.1119465329991644E-2</v>
      </c>
      <c r="F88" s="647">
        <f t="shared" si="33"/>
        <v>3.8794882377218322E-2</v>
      </c>
      <c r="G88" s="647">
        <f t="shared" si="23"/>
        <v>3.2581712867190735E-2</v>
      </c>
      <c r="H88" s="647">
        <f t="shared" si="24"/>
        <v>3.0080146089073754E-2</v>
      </c>
      <c r="I88" s="647">
        <f t="shared" si="25"/>
        <v>2.9429459540760053E-2</v>
      </c>
      <c r="J88" s="647">
        <f t="shared" si="26"/>
        <v>3.1366320909226267E-2</v>
      </c>
      <c r="K88" s="647">
        <f t="shared" si="27"/>
        <v>4.631090944959558E-2</v>
      </c>
      <c r="L88" s="647">
        <f t="shared" si="28"/>
        <v>8.3108983946554985E-2</v>
      </c>
      <c r="M88" s="647">
        <f t="shared" si="29"/>
        <v>8.1317600786627336E-2</v>
      </c>
      <c r="N88" s="648">
        <f t="shared" si="30"/>
        <v>6.9730201863354033E-2</v>
      </c>
      <c r="O88" s="639"/>
      <c r="P88" s="610">
        <v>18712</v>
      </c>
      <c r="Q88" s="611">
        <v>455</v>
      </c>
      <c r="R88" s="637">
        <f t="shared" si="22"/>
        <v>2.4315946985891408E-2</v>
      </c>
      <c r="S88" s="633">
        <v>19152</v>
      </c>
      <c r="T88" s="634">
        <v>596</v>
      </c>
      <c r="U88" s="638">
        <f t="shared" si="34"/>
        <v>3.1119465329991644E-2</v>
      </c>
      <c r="V88" s="633">
        <v>19384</v>
      </c>
      <c r="W88" s="634">
        <v>752</v>
      </c>
      <c r="X88" s="638">
        <f t="shared" si="35"/>
        <v>3.8794882377218322E-2</v>
      </c>
      <c r="Y88" s="633">
        <v>19336</v>
      </c>
      <c r="Z88" s="634">
        <v>630</v>
      </c>
      <c r="AA88" s="635">
        <f t="shared" si="36"/>
        <v>3.2581712867190735E-2</v>
      </c>
      <c r="AB88" s="633">
        <v>19714</v>
      </c>
      <c r="AC88" s="634">
        <v>593</v>
      </c>
      <c r="AD88" s="635">
        <f t="shared" si="37"/>
        <v>3.0080146089073754E-2</v>
      </c>
      <c r="AE88" s="633">
        <v>19946</v>
      </c>
      <c r="AF88" s="634">
        <v>587</v>
      </c>
      <c r="AG88" s="635">
        <f t="shared" si="38"/>
        <v>2.9429459540760053E-2</v>
      </c>
      <c r="AH88" s="610">
        <v>20149</v>
      </c>
      <c r="AI88" s="611">
        <v>632</v>
      </c>
      <c r="AJ88" s="622">
        <f t="shared" si="39"/>
        <v>3.1366320909226267E-2</v>
      </c>
      <c r="AK88" s="633">
        <v>20276</v>
      </c>
      <c r="AL88" s="634">
        <v>939</v>
      </c>
      <c r="AM88" s="635">
        <f t="shared" si="40"/>
        <v>4.631090944959558E-2</v>
      </c>
      <c r="AN88" s="630">
        <v>20058</v>
      </c>
      <c r="AO88" s="611">
        <v>1667</v>
      </c>
      <c r="AP88" s="619">
        <f t="shared" si="41"/>
        <v>8.3108983946554985E-2</v>
      </c>
      <c r="AQ88" s="610">
        <v>20340</v>
      </c>
      <c r="AR88" s="611">
        <v>1654</v>
      </c>
      <c r="AS88" s="622">
        <f t="shared" si="42"/>
        <v>8.1317600786627336E-2</v>
      </c>
      <c r="AT88" s="620">
        <v>20608</v>
      </c>
      <c r="AU88" s="612">
        <v>1437</v>
      </c>
      <c r="AV88" s="613">
        <f t="shared" si="31"/>
        <v>6.9730201863354033E-2</v>
      </c>
    </row>
    <row r="89" spans="1:48" ht="15" customHeight="1">
      <c r="A89" s="529" t="s">
        <v>215</v>
      </c>
      <c r="B89" s="532" t="s">
        <v>216</v>
      </c>
      <c r="C89" s="531" t="s">
        <v>278</v>
      </c>
      <c r="D89" s="646">
        <f t="shared" si="43"/>
        <v>6.3496160547202682E-2</v>
      </c>
      <c r="E89" s="647">
        <f t="shared" si="32"/>
        <v>8.028304921196526E-2</v>
      </c>
      <c r="F89" s="647">
        <f t="shared" si="33"/>
        <v>7.5430359937402186E-2</v>
      </c>
      <c r="G89" s="647">
        <f t="shared" si="23"/>
        <v>5.1024327784891167E-2</v>
      </c>
      <c r="H89" s="647">
        <f t="shared" si="24"/>
        <v>4.5622061253018174E-2</v>
      </c>
      <c r="I89" s="647">
        <f t="shared" si="25"/>
        <v>4.5616305402782269E-2</v>
      </c>
      <c r="J89" s="647">
        <f t="shared" si="26"/>
        <v>5.3742169469172436E-2</v>
      </c>
      <c r="K89" s="647">
        <f t="shared" si="27"/>
        <v>6.0535891498511414E-2</v>
      </c>
      <c r="L89" s="647">
        <f t="shared" si="28"/>
        <v>0.11446910938753678</v>
      </c>
      <c r="M89" s="647">
        <f t="shared" si="29"/>
        <v>0.10482070143176146</v>
      </c>
      <c r="N89" s="648">
        <f t="shared" si="30"/>
        <v>9.7306977978243572E-2</v>
      </c>
      <c r="O89" s="639"/>
      <c r="P89" s="610">
        <v>15497</v>
      </c>
      <c r="Q89" s="611">
        <v>984</v>
      </c>
      <c r="R89" s="637">
        <f t="shared" si="22"/>
        <v>6.3496160547202682E-2</v>
      </c>
      <c r="S89" s="633">
        <v>15545</v>
      </c>
      <c r="T89" s="634">
        <v>1248</v>
      </c>
      <c r="U89" s="638">
        <f t="shared" si="34"/>
        <v>8.028304921196526E-2</v>
      </c>
      <c r="V89" s="633">
        <v>15975</v>
      </c>
      <c r="W89" s="634">
        <v>1205</v>
      </c>
      <c r="X89" s="638">
        <f t="shared" si="35"/>
        <v>7.5430359937402186E-2</v>
      </c>
      <c r="Y89" s="633">
        <v>15620</v>
      </c>
      <c r="Z89" s="634">
        <v>797</v>
      </c>
      <c r="AA89" s="635">
        <f t="shared" si="36"/>
        <v>5.1024327784891167E-2</v>
      </c>
      <c r="AB89" s="633">
        <v>15738</v>
      </c>
      <c r="AC89" s="634">
        <v>718</v>
      </c>
      <c r="AD89" s="635">
        <f t="shared" si="37"/>
        <v>4.5622061253018174E-2</v>
      </c>
      <c r="AE89" s="633">
        <v>15455</v>
      </c>
      <c r="AF89" s="634">
        <v>705</v>
      </c>
      <c r="AG89" s="635">
        <f t="shared" si="38"/>
        <v>4.5616305402782269E-2</v>
      </c>
      <c r="AH89" s="610">
        <v>15165</v>
      </c>
      <c r="AI89" s="611">
        <v>815</v>
      </c>
      <c r="AJ89" s="622">
        <f t="shared" si="39"/>
        <v>5.3742169469172436E-2</v>
      </c>
      <c r="AK89" s="633">
        <v>15115</v>
      </c>
      <c r="AL89" s="634">
        <v>915</v>
      </c>
      <c r="AM89" s="635">
        <f t="shared" si="40"/>
        <v>6.0535891498511414E-2</v>
      </c>
      <c r="AN89" s="630">
        <v>14956</v>
      </c>
      <c r="AO89" s="611">
        <v>1712</v>
      </c>
      <c r="AP89" s="619">
        <f t="shared" si="41"/>
        <v>0.11446910938753678</v>
      </c>
      <c r="AQ89" s="610">
        <v>15226</v>
      </c>
      <c r="AR89" s="611">
        <v>1596</v>
      </c>
      <c r="AS89" s="622">
        <f t="shared" si="42"/>
        <v>0.10482070143176146</v>
      </c>
      <c r="AT89" s="620">
        <v>15076</v>
      </c>
      <c r="AU89" s="612">
        <v>1467</v>
      </c>
      <c r="AV89" s="613">
        <f t="shared" si="31"/>
        <v>9.7306977978243572E-2</v>
      </c>
    </row>
    <row r="90" spans="1:48" ht="15" customHeight="1">
      <c r="A90" s="529" t="s">
        <v>217</v>
      </c>
      <c r="B90" s="532" t="s">
        <v>218</v>
      </c>
      <c r="C90" s="531" t="s">
        <v>272</v>
      </c>
      <c r="D90" s="646">
        <f t="shared" si="43"/>
        <v>3.2240585207260905E-2</v>
      </c>
      <c r="E90" s="647">
        <f t="shared" si="32"/>
        <v>4.1750301083902049E-2</v>
      </c>
      <c r="F90" s="647">
        <f t="shared" si="33"/>
        <v>4.3705153294194388E-2</v>
      </c>
      <c r="G90" s="647">
        <f t="shared" si="23"/>
        <v>4.1904256729876674E-2</v>
      </c>
      <c r="H90" s="647">
        <f t="shared" si="24"/>
        <v>4.1074249605055291E-2</v>
      </c>
      <c r="I90" s="647">
        <f t="shared" si="25"/>
        <v>3.5826359832635983E-2</v>
      </c>
      <c r="J90" s="647">
        <f t="shared" si="26"/>
        <v>3.5339805825242716E-2</v>
      </c>
      <c r="K90" s="647">
        <f t="shared" si="27"/>
        <v>4.7865778435726619E-2</v>
      </c>
      <c r="L90" s="647">
        <f t="shared" si="28"/>
        <v>8.1326049168115228E-2</v>
      </c>
      <c r="M90" s="647">
        <f t="shared" si="29"/>
        <v>9.6464585105090511E-2</v>
      </c>
      <c r="N90" s="648">
        <f t="shared" si="30"/>
        <v>8.5509534798979714E-2</v>
      </c>
      <c r="O90" s="639"/>
      <c r="P90" s="610">
        <v>7382</v>
      </c>
      <c r="Q90" s="611">
        <v>238</v>
      </c>
      <c r="R90" s="637">
        <f t="shared" si="22"/>
        <v>3.2240585207260905E-2</v>
      </c>
      <c r="S90" s="633">
        <v>7473</v>
      </c>
      <c r="T90" s="634">
        <v>312</v>
      </c>
      <c r="U90" s="638">
        <f t="shared" si="34"/>
        <v>4.1750301083902049E-2</v>
      </c>
      <c r="V90" s="633">
        <v>7665</v>
      </c>
      <c r="W90" s="634">
        <v>335</v>
      </c>
      <c r="X90" s="638">
        <f t="shared" si="35"/>
        <v>4.3705153294194388E-2</v>
      </c>
      <c r="Y90" s="633">
        <v>7541</v>
      </c>
      <c r="Z90" s="634">
        <v>316</v>
      </c>
      <c r="AA90" s="635">
        <f t="shared" si="36"/>
        <v>4.1904256729876674E-2</v>
      </c>
      <c r="AB90" s="633">
        <v>7596</v>
      </c>
      <c r="AC90" s="634">
        <v>312</v>
      </c>
      <c r="AD90" s="635">
        <f t="shared" si="37"/>
        <v>4.1074249605055291E-2</v>
      </c>
      <c r="AE90" s="633">
        <v>7648</v>
      </c>
      <c r="AF90" s="634">
        <v>274</v>
      </c>
      <c r="AG90" s="635">
        <f t="shared" si="38"/>
        <v>3.5826359832635983E-2</v>
      </c>
      <c r="AH90" s="610">
        <v>7725</v>
      </c>
      <c r="AI90" s="611">
        <v>273</v>
      </c>
      <c r="AJ90" s="622">
        <f t="shared" si="39"/>
        <v>3.5339805825242716E-2</v>
      </c>
      <c r="AK90" s="633">
        <v>8106</v>
      </c>
      <c r="AL90" s="634">
        <v>388</v>
      </c>
      <c r="AM90" s="635">
        <f t="shared" si="40"/>
        <v>4.7865778435726619E-2</v>
      </c>
      <c r="AN90" s="630">
        <v>8054</v>
      </c>
      <c r="AO90" s="611">
        <v>655</v>
      </c>
      <c r="AP90" s="619">
        <f t="shared" si="41"/>
        <v>8.1326049168115228E-2</v>
      </c>
      <c r="AQ90" s="610">
        <v>8231</v>
      </c>
      <c r="AR90" s="611">
        <v>794</v>
      </c>
      <c r="AS90" s="622">
        <f t="shared" si="42"/>
        <v>9.6464585105090511E-2</v>
      </c>
      <c r="AT90" s="620">
        <v>8233</v>
      </c>
      <c r="AU90" s="612">
        <v>704</v>
      </c>
      <c r="AV90" s="613">
        <f t="shared" si="31"/>
        <v>8.5509534798979714E-2</v>
      </c>
    </row>
    <row r="91" spans="1:48" ht="15" customHeight="1">
      <c r="A91" s="529" t="s">
        <v>219</v>
      </c>
      <c r="B91" s="532" t="s">
        <v>220</v>
      </c>
      <c r="C91" s="531" t="s">
        <v>276</v>
      </c>
      <c r="D91" s="646">
        <f t="shared" si="43"/>
        <v>2.0994322662040689E-2</v>
      </c>
      <c r="E91" s="647">
        <f t="shared" si="32"/>
        <v>2.8757511290262383E-2</v>
      </c>
      <c r="F91" s="647">
        <f t="shared" si="33"/>
        <v>3.0428129114915121E-2</v>
      </c>
      <c r="G91" s="647">
        <f t="shared" si="23"/>
        <v>2.8156144774023249E-2</v>
      </c>
      <c r="H91" s="647">
        <f t="shared" si="24"/>
        <v>2.6592850971231079E-2</v>
      </c>
      <c r="I91" s="647">
        <f t="shared" si="25"/>
        <v>2.3842938881263397E-2</v>
      </c>
      <c r="J91" s="647">
        <f t="shared" si="26"/>
        <v>2.4967370441458733E-2</v>
      </c>
      <c r="K91" s="647">
        <f t="shared" si="27"/>
        <v>3.4010213640346898E-2</v>
      </c>
      <c r="L91" s="647">
        <f t="shared" si="28"/>
        <v>5.4141546137625847E-2</v>
      </c>
      <c r="M91" s="647">
        <f t="shared" si="29"/>
        <v>5.8452670449428083E-2</v>
      </c>
      <c r="N91" s="648">
        <f t="shared" si="30"/>
        <v>5.3697927294988776E-2</v>
      </c>
      <c r="O91" s="639"/>
      <c r="P91" s="610">
        <v>50728</v>
      </c>
      <c r="Q91" s="611">
        <v>1065</v>
      </c>
      <c r="R91" s="637">
        <f t="shared" si="22"/>
        <v>2.0994322662040689E-2</v>
      </c>
      <c r="S91" s="633">
        <v>53586</v>
      </c>
      <c r="T91" s="634">
        <v>1541</v>
      </c>
      <c r="U91" s="638">
        <f t="shared" si="34"/>
        <v>2.8757511290262383E-2</v>
      </c>
      <c r="V91" s="633">
        <v>56198</v>
      </c>
      <c r="W91" s="634">
        <v>1710</v>
      </c>
      <c r="X91" s="638">
        <f t="shared" si="35"/>
        <v>3.0428129114915121E-2</v>
      </c>
      <c r="Y91" s="633">
        <v>59099</v>
      </c>
      <c r="Z91" s="634">
        <v>1664</v>
      </c>
      <c r="AA91" s="635">
        <f t="shared" si="36"/>
        <v>2.8156144774023249E-2</v>
      </c>
      <c r="AB91" s="633">
        <v>62498</v>
      </c>
      <c r="AC91" s="634">
        <v>1662</v>
      </c>
      <c r="AD91" s="635">
        <f t="shared" si="37"/>
        <v>2.6592850971231079E-2</v>
      </c>
      <c r="AE91" s="633">
        <v>64841</v>
      </c>
      <c r="AF91" s="634">
        <v>1546</v>
      </c>
      <c r="AG91" s="635">
        <f t="shared" si="38"/>
        <v>2.3842938881263397E-2</v>
      </c>
      <c r="AH91" s="610">
        <v>65125</v>
      </c>
      <c r="AI91" s="611">
        <v>1626</v>
      </c>
      <c r="AJ91" s="622">
        <f t="shared" si="39"/>
        <v>2.4967370441458733E-2</v>
      </c>
      <c r="AK91" s="633">
        <v>66186</v>
      </c>
      <c r="AL91" s="634">
        <v>2251</v>
      </c>
      <c r="AM91" s="635">
        <f t="shared" si="40"/>
        <v>3.4010213640346898E-2</v>
      </c>
      <c r="AN91" s="630">
        <v>67342</v>
      </c>
      <c r="AO91" s="611">
        <v>3646</v>
      </c>
      <c r="AP91" s="619">
        <f t="shared" si="41"/>
        <v>5.4141546137625847E-2</v>
      </c>
      <c r="AQ91" s="610">
        <v>66618</v>
      </c>
      <c r="AR91" s="611">
        <v>3894</v>
      </c>
      <c r="AS91" s="622">
        <f t="shared" si="42"/>
        <v>5.8452670449428083E-2</v>
      </c>
      <c r="AT91" s="620">
        <v>68606</v>
      </c>
      <c r="AU91" s="612">
        <v>3684</v>
      </c>
      <c r="AV91" s="613">
        <f t="shared" si="31"/>
        <v>5.3697927294988776E-2</v>
      </c>
    </row>
    <row r="92" spans="1:48" ht="15" customHeight="1">
      <c r="A92" s="529" t="s">
        <v>221</v>
      </c>
      <c r="B92" s="532" t="s">
        <v>222</v>
      </c>
      <c r="C92" s="531" t="s">
        <v>276</v>
      </c>
      <c r="D92" s="646">
        <f t="shared" si="43"/>
        <v>2.2063042919049411E-2</v>
      </c>
      <c r="E92" s="647">
        <f t="shared" si="32"/>
        <v>3.0037781019713463E-2</v>
      </c>
      <c r="F92" s="647">
        <f t="shared" si="33"/>
        <v>3.0942911665566869E-2</v>
      </c>
      <c r="G92" s="647">
        <f t="shared" si="23"/>
        <v>2.7699759498141577E-2</v>
      </c>
      <c r="H92" s="647">
        <f t="shared" si="24"/>
        <v>2.6828366010969391E-2</v>
      </c>
      <c r="I92" s="647">
        <f t="shared" si="25"/>
        <v>2.4190657293826082E-2</v>
      </c>
      <c r="J92" s="647">
        <f t="shared" si="26"/>
        <v>2.577010114071953E-2</v>
      </c>
      <c r="K92" s="647">
        <f t="shared" si="27"/>
        <v>3.4289173034728004E-2</v>
      </c>
      <c r="L92" s="647">
        <f t="shared" si="28"/>
        <v>5.310736146067583E-2</v>
      </c>
      <c r="M92" s="647">
        <f t="shared" si="29"/>
        <v>5.8146271893987786E-2</v>
      </c>
      <c r="N92" s="648">
        <f t="shared" si="30"/>
        <v>5.162351816174713E-2</v>
      </c>
      <c r="O92" s="639"/>
      <c r="P92" s="610">
        <v>50537</v>
      </c>
      <c r="Q92" s="611">
        <v>1115</v>
      </c>
      <c r="R92" s="637">
        <f t="shared" si="22"/>
        <v>2.2063042919049411E-2</v>
      </c>
      <c r="S92" s="633">
        <v>53466</v>
      </c>
      <c r="T92" s="634">
        <v>1606</v>
      </c>
      <c r="U92" s="638">
        <f t="shared" si="34"/>
        <v>3.0037781019713463E-2</v>
      </c>
      <c r="V92" s="633">
        <v>56071</v>
      </c>
      <c r="W92" s="634">
        <v>1735</v>
      </c>
      <c r="X92" s="638">
        <f t="shared" si="35"/>
        <v>3.0942911665566869E-2</v>
      </c>
      <c r="Y92" s="633">
        <v>59459</v>
      </c>
      <c r="Z92" s="634">
        <v>1647</v>
      </c>
      <c r="AA92" s="635">
        <f t="shared" si="36"/>
        <v>2.7699759498141577E-2</v>
      </c>
      <c r="AB92" s="633">
        <v>62173</v>
      </c>
      <c r="AC92" s="634">
        <v>1668</v>
      </c>
      <c r="AD92" s="635">
        <f t="shared" si="37"/>
        <v>2.6828366010969391E-2</v>
      </c>
      <c r="AE92" s="633">
        <v>64157</v>
      </c>
      <c r="AF92" s="634">
        <v>1552</v>
      </c>
      <c r="AG92" s="635">
        <f t="shared" si="38"/>
        <v>2.4190657293826082E-2</v>
      </c>
      <c r="AH92" s="610">
        <v>64959</v>
      </c>
      <c r="AI92" s="611">
        <v>1674</v>
      </c>
      <c r="AJ92" s="622">
        <f t="shared" si="39"/>
        <v>2.577010114071953E-2</v>
      </c>
      <c r="AK92" s="633">
        <v>66085</v>
      </c>
      <c r="AL92" s="634">
        <v>2266</v>
      </c>
      <c r="AM92" s="635">
        <f t="shared" si="40"/>
        <v>3.4289173034728004E-2</v>
      </c>
      <c r="AN92" s="630">
        <v>67147</v>
      </c>
      <c r="AO92" s="611">
        <v>3566</v>
      </c>
      <c r="AP92" s="619">
        <f t="shared" si="41"/>
        <v>5.310736146067583E-2</v>
      </c>
      <c r="AQ92" s="610">
        <v>67313</v>
      </c>
      <c r="AR92" s="611">
        <v>3914</v>
      </c>
      <c r="AS92" s="622">
        <f t="shared" si="42"/>
        <v>5.8146271893987786E-2</v>
      </c>
      <c r="AT92" s="620">
        <v>71111</v>
      </c>
      <c r="AU92" s="612">
        <v>3671</v>
      </c>
      <c r="AV92" s="613">
        <f t="shared" si="31"/>
        <v>5.162351816174713E-2</v>
      </c>
    </row>
    <row r="93" spans="1:48" ht="15" customHeight="1">
      <c r="A93" s="529" t="s">
        <v>225</v>
      </c>
      <c r="B93" s="532" t="s">
        <v>226</v>
      </c>
      <c r="C93" s="531" t="s">
        <v>272</v>
      </c>
      <c r="D93" s="646">
        <f t="shared" si="43"/>
        <v>3.3101045296167246E-2</v>
      </c>
      <c r="E93" s="647">
        <f t="shared" si="32"/>
        <v>4.5022371364653244E-2</v>
      </c>
      <c r="F93" s="647">
        <f t="shared" si="33"/>
        <v>4.5618915159944366E-2</v>
      </c>
      <c r="G93" s="647">
        <f t="shared" si="23"/>
        <v>4.1179744017807454E-2</v>
      </c>
      <c r="H93" s="647">
        <f t="shared" si="24"/>
        <v>4.7372719847536077E-2</v>
      </c>
      <c r="I93" s="647">
        <f t="shared" si="25"/>
        <v>3.3190578158458245E-2</v>
      </c>
      <c r="J93" s="647">
        <f t="shared" si="26"/>
        <v>3.3546325878594248E-2</v>
      </c>
      <c r="K93" s="647">
        <f t="shared" si="27"/>
        <v>4.4333683105981112E-2</v>
      </c>
      <c r="L93" s="647">
        <f t="shared" si="28"/>
        <v>7.3640385115794946E-2</v>
      </c>
      <c r="M93" s="647">
        <f t="shared" si="29"/>
        <v>8.0169896469339003E-2</v>
      </c>
      <c r="N93" s="648">
        <f t="shared" si="30"/>
        <v>7.789855072463768E-2</v>
      </c>
      <c r="O93" s="639"/>
      <c r="P93" s="610">
        <v>3444</v>
      </c>
      <c r="Q93" s="611">
        <v>114</v>
      </c>
      <c r="R93" s="637">
        <f t="shared" si="22"/>
        <v>3.3101045296167246E-2</v>
      </c>
      <c r="S93" s="633">
        <v>3576</v>
      </c>
      <c r="T93" s="634">
        <v>161</v>
      </c>
      <c r="U93" s="638">
        <f t="shared" si="34"/>
        <v>4.5022371364653244E-2</v>
      </c>
      <c r="V93" s="633">
        <v>3595</v>
      </c>
      <c r="W93" s="634">
        <v>164</v>
      </c>
      <c r="X93" s="638">
        <f t="shared" si="35"/>
        <v>4.5618915159944366E-2</v>
      </c>
      <c r="Y93" s="633">
        <v>3594</v>
      </c>
      <c r="Z93" s="634">
        <v>148</v>
      </c>
      <c r="AA93" s="635">
        <f t="shared" si="36"/>
        <v>4.1179744017807454E-2</v>
      </c>
      <c r="AB93" s="633">
        <v>3673</v>
      </c>
      <c r="AC93" s="634">
        <v>174</v>
      </c>
      <c r="AD93" s="635">
        <f t="shared" si="37"/>
        <v>4.7372719847536077E-2</v>
      </c>
      <c r="AE93" s="633">
        <v>3736</v>
      </c>
      <c r="AF93" s="634">
        <v>124</v>
      </c>
      <c r="AG93" s="635">
        <f t="shared" si="38"/>
        <v>3.3190578158458245E-2</v>
      </c>
      <c r="AH93" s="610">
        <v>3756</v>
      </c>
      <c r="AI93" s="611">
        <v>126</v>
      </c>
      <c r="AJ93" s="622">
        <f t="shared" si="39"/>
        <v>3.3546325878594248E-2</v>
      </c>
      <c r="AK93" s="633">
        <v>3812</v>
      </c>
      <c r="AL93" s="634">
        <v>169</v>
      </c>
      <c r="AM93" s="635">
        <f t="shared" si="40"/>
        <v>4.4333683105981112E-2</v>
      </c>
      <c r="AN93" s="630">
        <v>3843</v>
      </c>
      <c r="AO93" s="611">
        <v>283</v>
      </c>
      <c r="AP93" s="619">
        <f t="shared" si="41"/>
        <v>7.3640385115794946E-2</v>
      </c>
      <c r="AQ93" s="610">
        <v>3767</v>
      </c>
      <c r="AR93" s="611">
        <v>302</v>
      </c>
      <c r="AS93" s="622">
        <f t="shared" si="42"/>
        <v>8.0169896469339003E-2</v>
      </c>
      <c r="AT93" s="620">
        <v>3864</v>
      </c>
      <c r="AU93" s="612">
        <v>301</v>
      </c>
      <c r="AV93" s="613">
        <f t="shared" si="31"/>
        <v>7.789855072463768E-2</v>
      </c>
    </row>
    <row r="94" spans="1:48" ht="15" customHeight="1">
      <c r="A94" s="529" t="s">
        <v>227</v>
      </c>
      <c r="B94" s="532" t="s">
        <v>228</v>
      </c>
      <c r="C94" s="531" t="s">
        <v>272</v>
      </c>
      <c r="D94" s="646">
        <f t="shared" si="43"/>
        <v>4.7159218504379069E-2</v>
      </c>
      <c r="E94" s="647">
        <f t="shared" si="32"/>
        <v>5.7648660916931459E-2</v>
      </c>
      <c r="F94" s="647">
        <f t="shared" si="33"/>
        <v>6.9079673361288896E-2</v>
      </c>
      <c r="G94" s="647">
        <f t="shared" si="23"/>
        <v>5.8521331248603974E-2</v>
      </c>
      <c r="H94" s="647">
        <f t="shared" si="24"/>
        <v>5.7553956834532377E-2</v>
      </c>
      <c r="I94" s="647">
        <f t="shared" si="25"/>
        <v>4.4124168514412414E-2</v>
      </c>
      <c r="J94" s="647">
        <f t="shared" si="26"/>
        <v>4.4058744993324434E-2</v>
      </c>
      <c r="K94" s="647">
        <f t="shared" si="27"/>
        <v>5.8000000000000003E-2</v>
      </c>
      <c r="L94" s="647">
        <f t="shared" si="28"/>
        <v>9.9759352439291182E-2</v>
      </c>
      <c r="M94" s="647">
        <f t="shared" si="29"/>
        <v>0.1050177619893428</v>
      </c>
      <c r="N94" s="648">
        <f t="shared" si="30"/>
        <v>9.0586932447397558E-2</v>
      </c>
      <c r="O94" s="639"/>
      <c r="P94" s="610">
        <v>4453</v>
      </c>
      <c r="Q94" s="611">
        <v>210</v>
      </c>
      <c r="R94" s="637">
        <f t="shared" si="22"/>
        <v>4.7159218504379069E-2</v>
      </c>
      <c r="S94" s="633">
        <v>4406</v>
      </c>
      <c r="T94" s="634">
        <v>254</v>
      </c>
      <c r="U94" s="638">
        <f t="shared" si="34"/>
        <v>5.7648660916931459E-2</v>
      </c>
      <c r="V94" s="633">
        <v>4531</v>
      </c>
      <c r="W94" s="634">
        <v>313</v>
      </c>
      <c r="X94" s="638">
        <f t="shared" si="35"/>
        <v>6.9079673361288896E-2</v>
      </c>
      <c r="Y94" s="633">
        <v>4477</v>
      </c>
      <c r="Z94" s="634">
        <v>262</v>
      </c>
      <c r="AA94" s="635">
        <f t="shared" si="36"/>
        <v>5.8521331248603974E-2</v>
      </c>
      <c r="AB94" s="633">
        <v>4448</v>
      </c>
      <c r="AC94" s="634">
        <v>256</v>
      </c>
      <c r="AD94" s="635">
        <f t="shared" si="37"/>
        <v>5.7553956834532377E-2</v>
      </c>
      <c r="AE94" s="633">
        <v>4510</v>
      </c>
      <c r="AF94" s="634">
        <v>199</v>
      </c>
      <c r="AG94" s="635">
        <f t="shared" si="38"/>
        <v>4.4124168514412414E-2</v>
      </c>
      <c r="AH94" s="610">
        <v>4494</v>
      </c>
      <c r="AI94" s="611">
        <v>198</v>
      </c>
      <c r="AJ94" s="622">
        <f t="shared" si="39"/>
        <v>4.4058744993324434E-2</v>
      </c>
      <c r="AK94" s="633">
        <v>4500</v>
      </c>
      <c r="AL94" s="634">
        <v>261</v>
      </c>
      <c r="AM94" s="635">
        <f t="shared" si="40"/>
        <v>5.8000000000000003E-2</v>
      </c>
      <c r="AN94" s="630">
        <v>4571</v>
      </c>
      <c r="AO94" s="611">
        <v>456</v>
      </c>
      <c r="AP94" s="619">
        <f t="shared" si="41"/>
        <v>9.9759352439291182E-2</v>
      </c>
      <c r="AQ94" s="610">
        <v>4504</v>
      </c>
      <c r="AR94" s="611">
        <v>473</v>
      </c>
      <c r="AS94" s="622">
        <f t="shared" si="42"/>
        <v>0.1050177619893428</v>
      </c>
      <c r="AT94" s="620">
        <v>4515</v>
      </c>
      <c r="AU94" s="612">
        <v>409</v>
      </c>
      <c r="AV94" s="613">
        <f t="shared" si="31"/>
        <v>9.0586932447397558E-2</v>
      </c>
    </row>
    <row r="95" spans="1:48" ht="15" customHeight="1">
      <c r="A95" s="529" t="s">
        <v>229</v>
      </c>
      <c r="B95" s="532" t="s">
        <v>230</v>
      </c>
      <c r="C95" s="531" t="s">
        <v>278</v>
      </c>
      <c r="D95" s="646">
        <f t="shared" si="43"/>
        <v>4.9108992954828012E-2</v>
      </c>
      <c r="E95" s="647">
        <f t="shared" si="32"/>
        <v>5.7536145771439888E-2</v>
      </c>
      <c r="F95" s="647">
        <f t="shared" si="33"/>
        <v>5.3863703997619285E-2</v>
      </c>
      <c r="G95" s="647">
        <f t="shared" si="23"/>
        <v>4.6371482559624123E-2</v>
      </c>
      <c r="H95" s="647">
        <f t="shared" si="24"/>
        <v>4.47245375076235E-2</v>
      </c>
      <c r="I95" s="647">
        <f t="shared" si="25"/>
        <v>3.8830130592382939E-2</v>
      </c>
      <c r="J95" s="647">
        <f t="shared" si="26"/>
        <v>4.4431395576433746E-2</v>
      </c>
      <c r="K95" s="647">
        <f t="shared" si="27"/>
        <v>4.3740354938271608E-2</v>
      </c>
      <c r="L95" s="647">
        <f t="shared" si="28"/>
        <v>7.5846247483496415E-2</v>
      </c>
      <c r="M95" s="647">
        <f t="shared" si="29"/>
        <v>6.7981124141475488E-2</v>
      </c>
      <c r="N95" s="648">
        <f t="shared" si="30"/>
        <v>6.5248822349703833E-2</v>
      </c>
      <c r="O95" s="639"/>
      <c r="P95" s="610">
        <v>19304</v>
      </c>
      <c r="Q95" s="611">
        <v>948</v>
      </c>
      <c r="R95" s="637">
        <f t="shared" si="22"/>
        <v>4.9108992954828012E-2</v>
      </c>
      <c r="S95" s="633">
        <v>20196</v>
      </c>
      <c r="T95" s="634">
        <v>1162</v>
      </c>
      <c r="U95" s="638">
        <f t="shared" si="34"/>
        <v>5.7536145771439888E-2</v>
      </c>
      <c r="V95" s="633">
        <v>20162</v>
      </c>
      <c r="W95" s="634">
        <v>1086</v>
      </c>
      <c r="X95" s="638">
        <f t="shared" si="35"/>
        <v>5.3863703997619285E-2</v>
      </c>
      <c r="Y95" s="633">
        <v>19581</v>
      </c>
      <c r="Z95" s="634">
        <v>908</v>
      </c>
      <c r="AA95" s="635">
        <f t="shared" si="36"/>
        <v>4.6371482559624123E-2</v>
      </c>
      <c r="AB95" s="633">
        <v>19676</v>
      </c>
      <c r="AC95" s="634">
        <v>880</v>
      </c>
      <c r="AD95" s="635">
        <f t="shared" si="37"/>
        <v>4.47245375076235E-2</v>
      </c>
      <c r="AE95" s="633">
        <v>20139</v>
      </c>
      <c r="AF95" s="634">
        <v>782</v>
      </c>
      <c r="AG95" s="635">
        <f t="shared" si="38"/>
        <v>3.8830130592382939E-2</v>
      </c>
      <c r="AH95" s="610">
        <v>20436</v>
      </c>
      <c r="AI95" s="611">
        <v>908</v>
      </c>
      <c r="AJ95" s="622">
        <f t="shared" si="39"/>
        <v>4.4431395576433746E-2</v>
      </c>
      <c r="AK95" s="633">
        <v>20736</v>
      </c>
      <c r="AL95" s="634">
        <v>907</v>
      </c>
      <c r="AM95" s="635">
        <f t="shared" si="40"/>
        <v>4.3740354938271608E-2</v>
      </c>
      <c r="AN95" s="630">
        <v>21359</v>
      </c>
      <c r="AO95" s="611">
        <v>1620</v>
      </c>
      <c r="AP95" s="619">
        <f t="shared" si="41"/>
        <v>7.5846247483496415E-2</v>
      </c>
      <c r="AQ95" s="610">
        <v>21403</v>
      </c>
      <c r="AR95" s="611">
        <v>1455</v>
      </c>
      <c r="AS95" s="622">
        <f t="shared" si="42"/>
        <v>6.7981124141475488E-2</v>
      </c>
      <c r="AT95" s="620">
        <v>21441</v>
      </c>
      <c r="AU95" s="612">
        <v>1399</v>
      </c>
      <c r="AV95" s="613">
        <f t="shared" si="31"/>
        <v>6.5248822349703833E-2</v>
      </c>
    </row>
    <row r="96" spans="1:48" ht="15" customHeight="1">
      <c r="A96" s="529" t="s">
        <v>233</v>
      </c>
      <c r="B96" s="532" t="s">
        <v>234</v>
      </c>
      <c r="C96" s="531" t="s">
        <v>276</v>
      </c>
      <c r="D96" s="646">
        <f t="shared" si="43"/>
        <v>2.7968684635152095E-2</v>
      </c>
      <c r="E96" s="647">
        <f t="shared" si="32"/>
        <v>3.9671443551205873E-2</v>
      </c>
      <c r="F96" s="647">
        <f t="shared" si="33"/>
        <v>3.9977188480182495E-2</v>
      </c>
      <c r="G96" s="647">
        <f t="shared" si="23"/>
        <v>3.3168509361631203E-2</v>
      </c>
      <c r="H96" s="647">
        <f t="shared" si="24"/>
        <v>2.9965935703640621E-2</v>
      </c>
      <c r="I96" s="647">
        <f t="shared" si="25"/>
        <v>2.7510102580043518E-2</v>
      </c>
      <c r="J96" s="647">
        <f t="shared" si="26"/>
        <v>2.9988760600796974E-2</v>
      </c>
      <c r="K96" s="647">
        <f t="shared" si="27"/>
        <v>4.3874956374333147E-2</v>
      </c>
      <c r="L96" s="647">
        <f t="shared" si="28"/>
        <v>7.2842861302533243E-2</v>
      </c>
      <c r="M96" s="647">
        <f t="shared" si="29"/>
        <v>7.1116191233475803E-2</v>
      </c>
      <c r="N96" s="648">
        <f t="shared" si="30"/>
        <v>6.3719862227324911E-2</v>
      </c>
      <c r="O96" s="639"/>
      <c r="P96" s="610">
        <v>16733</v>
      </c>
      <c r="Q96" s="611">
        <v>468</v>
      </c>
      <c r="R96" s="637">
        <f t="shared" si="22"/>
        <v>2.7968684635152095E-2</v>
      </c>
      <c r="S96" s="633">
        <v>17166</v>
      </c>
      <c r="T96" s="634">
        <v>681</v>
      </c>
      <c r="U96" s="638">
        <f t="shared" si="34"/>
        <v>3.9671443551205873E-2</v>
      </c>
      <c r="V96" s="633">
        <v>17535</v>
      </c>
      <c r="W96" s="634">
        <v>701</v>
      </c>
      <c r="X96" s="638">
        <f t="shared" si="35"/>
        <v>3.9977188480182495E-2</v>
      </c>
      <c r="Y96" s="633">
        <v>17999</v>
      </c>
      <c r="Z96" s="634">
        <v>597</v>
      </c>
      <c r="AA96" s="635">
        <f t="shared" si="36"/>
        <v>3.3168509361631203E-2</v>
      </c>
      <c r="AB96" s="633">
        <v>18788</v>
      </c>
      <c r="AC96" s="634">
        <v>563</v>
      </c>
      <c r="AD96" s="635">
        <f t="shared" si="37"/>
        <v>2.9965935703640621E-2</v>
      </c>
      <c r="AE96" s="633">
        <v>19302</v>
      </c>
      <c r="AF96" s="634">
        <v>531</v>
      </c>
      <c r="AG96" s="635">
        <f t="shared" si="38"/>
        <v>2.7510102580043518E-2</v>
      </c>
      <c r="AH96" s="610">
        <v>19574</v>
      </c>
      <c r="AI96" s="611">
        <v>587</v>
      </c>
      <c r="AJ96" s="622">
        <f t="shared" si="39"/>
        <v>2.9988760600796974E-2</v>
      </c>
      <c r="AK96" s="633">
        <v>20057</v>
      </c>
      <c r="AL96" s="634">
        <v>880</v>
      </c>
      <c r="AM96" s="635">
        <f t="shared" si="40"/>
        <v>4.3874956374333147E-2</v>
      </c>
      <c r="AN96" s="630">
        <v>20606</v>
      </c>
      <c r="AO96" s="611">
        <v>1501</v>
      </c>
      <c r="AP96" s="619">
        <f t="shared" si="41"/>
        <v>7.2842861302533243E-2</v>
      </c>
      <c r="AQ96" s="610">
        <v>20122</v>
      </c>
      <c r="AR96" s="611">
        <v>1431</v>
      </c>
      <c r="AS96" s="622">
        <f t="shared" si="42"/>
        <v>7.1116191233475803E-2</v>
      </c>
      <c r="AT96" s="620">
        <v>20904</v>
      </c>
      <c r="AU96" s="612">
        <v>1332</v>
      </c>
      <c r="AV96" s="613">
        <f t="shared" si="31"/>
        <v>6.3719862227324911E-2</v>
      </c>
    </row>
    <row r="97" spans="1:48" ht="15" customHeight="1">
      <c r="A97" s="529" t="s">
        <v>235</v>
      </c>
      <c r="B97" s="532" t="s">
        <v>236</v>
      </c>
      <c r="C97" s="531" t="s">
        <v>278</v>
      </c>
      <c r="D97" s="646">
        <f t="shared" si="43"/>
        <v>5.0377536573855596E-2</v>
      </c>
      <c r="E97" s="647">
        <f t="shared" si="32"/>
        <v>6.0489752053427499E-2</v>
      </c>
      <c r="F97" s="647">
        <f t="shared" si="33"/>
        <v>5.3925666945352287E-2</v>
      </c>
      <c r="G97" s="647">
        <f t="shared" si="23"/>
        <v>4.7437673130193904E-2</v>
      </c>
      <c r="H97" s="647">
        <f t="shared" si="24"/>
        <v>4.4305247880223053E-2</v>
      </c>
      <c r="I97" s="647">
        <f t="shared" si="25"/>
        <v>4.0519187358916478E-2</v>
      </c>
      <c r="J97" s="647">
        <f t="shared" si="26"/>
        <v>4.4762258543833582E-2</v>
      </c>
      <c r="K97" s="647">
        <f t="shared" si="27"/>
        <v>4.8994289455497761E-2</v>
      </c>
      <c r="L97" s="647">
        <f t="shared" si="28"/>
        <v>8.4581273626054082E-2</v>
      </c>
      <c r="M97" s="647">
        <f t="shared" si="29"/>
        <v>8.7901632145209685E-2</v>
      </c>
      <c r="N97" s="648">
        <f t="shared" si="30"/>
        <v>7.8699653567554331E-2</v>
      </c>
      <c r="O97" s="639"/>
      <c r="P97" s="610">
        <v>25428</v>
      </c>
      <c r="Q97" s="611">
        <v>1281</v>
      </c>
      <c r="R97" s="637">
        <f t="shared" si="22"/>
        <v>5.0377536573855596E-2</v>
      </c>
      <c r="S97" s="633">
        <v>26054</v>
      </c>
      <c r="T97" s="634">
        <v>1576</v>
      </c>
      <c r="U97" s="638">
        <f t="shared" si="34"/>
        <v>6.0489752053427499E-2</v>
      </c>
      <c r="V97" s="633">
        <v>26314</v>
      </c>
      <c r="W97" s="634">
        <v>1419</v>
      </c>
      <c r="X97" s="638">
        <f t="shared" si="35"/>
        <v>5.3925666945352287E-2</v>
      </c>
      <c r="Y97" s="633">
        <v>25992</v>
      </c>
      <c r="Z97" s="634">
        <v>1233</v>
      </c>
      <c r="AA97" s="635">
        <f t="shared" si="36"/>
        <v>4.7437673130193904E-2</v>
      </c>
      <c r="AB97" s="633">
        <v>26182</v>
      </c>
      <c r="AC97" s="634">
        <v>1160</v>
      </c>
      <c r="AD97" s="635">
        <f t="shared" si="37"/>
        <v>4.4305247880223053E-2</v>
      </c>
      <c r="AE97" s="633">
        <v>26580</v>
      </c>
      <c r="AF97" s="634">
        <v>1077</v>
      </c>
      <c r="AG97" s="635">
        <f t="shared" si="38"/>
        <v>4.0519187358916478E-2</v>
      </c>
      <c r="AH97" s="610">
        <v>26920</v>
      </c>
      <c r="AI97" s="611">
        <v>1205</v>
      </c>
      <c r="AJ97" s="622">
        <f t="shared" si="39"/>
        <v>4.4762258543833582E-2</v>
      </c>
      <c r="AK97" s="633">
        <v>27493</v>
      </c>
      <c r="AL97" s="634">
        <v>1347</v>
      </c>
      <c r="AM97" s="635">
        <f t="shared" si="40"/>
        <v>4.8994289455497761E-2</v>
      </c>
      <c r="AN97" s="630">
        <v>27512</v>
      </c>
      <c r="AO97" s="611">
        <v>2327</v>
      </c>
      <c r="AP97" s="619">
        <f t="shared" si="41"/>
        <v>8.4581273626054082E-2</v>
      </c>
      <c r="AQ97" s="610">
        <v>27326</v>
      </c>
      <c r="AR97" s="611">
        <v>2402</v>
      </c>
      <c r="AS97" s="622">
        <f t="shared" si="42"/>
        <v>8.7901632145209685E-2</v>
      </c>
      <c r="AT97" s="620">
        <v>28577</v>
      </c>
      <c r="AU97" s="612">
        <v>2249</v>
      </c>
      <c r="AV97" s="613">
        <f t="shared" si="31"/>
        <v>7.8699653567554331E-2</v>
      </c>
    </row>
    <row r="98" spans="1:48" ht="15" customHeight="1">
      <c r="A98" s="529" t="s">
        <v>237</v>
      </c>
      <c r="B98" s="532" t="s">
        <v>238</v>
      </c>
      <c r="C98" s="531" t="s">
        <v>275</v>
      </c>
      <c r="D98" s="646">
        <f t="shared" si="43"/>
        <v>4.0816326530612242E-2</v>
      </c>
      <c r="E98" s="647">
        <f t="shared" si="32"/>
        <v>4.7263995956021737E-2</v>
      </c>
      <c r="F98" s="647">
        <f t="shared" si="33"/>
        <v>4.8003918687239772E-2</v>
      </c>
      <c r="G98" s="647">
        <f t="shared" si="23"/>
        <v>4.5836996106994848E-2</v>
      </c>
      <c r="H98" s="647">
        <f t="shared" si="24"/>
        <v>4.4921875E-2</v>
      </c>
      <c r="I98" s="647">
        <f t="shared" si="25"/>
        <v>3.8327526132404179E-2</v>
      </c>
      <c r="J98" s="647">
        <f t="shared" si="26"/>
        <v>4.134305173855897E-2</v>
      </c>
      <c r="K98" s="647">
        <f t="shared" si="27"/>
        <v>5.0174766039012289E-2</v>
      </c>
      <c r="L98" s="647">
        <f t="shared" si="28"/>
        <v>7.723666813574262E-2</v>
      </c>
      <c r="M98" s="647">
        <f t="shared" si="29"/>
        <v>7.9083837510803806E-2</v>
      </c>
      <c r="N98" s="648">
        <f t="shared" si="30"/>
        <v>7.5075075075075076E-2</v>
      </c>
      <c r="O98" s="639"/>
      <c r="P98" s="610">
        <v>7644</v>
      </c>
      <c r="Q98" s="611">
        <v>312</v>
      </c>
      <c r="R98" s="637">
        <f t="shared" si="22"/>
        <v>4.0816326530612242E-2</v>
      </c>
      <c r="S98" s="633">
        <v>7913</v>
      </c>
      <c r="T98" s="634">
        <v>374</v>
      </c>
      <c r="U98" s="638">
        <f t="shared" si="34"/>
        <v>4.7263995956021737E-2</v>
      </c>
      <c r="V98" s="633">
        <v>8166</v>
      </c>
      <c r="W98" s="634">
        <v>392</v>
      </c>
      <c r="X98" s="638">
        <f t="shared" si="35"/>
        <v>4.8003918687239772E-2</v>
      </c>
      <c r="Y98" s="633">
        <v>7963</v>
      </c>
      <c r="Z98" s="634">
        <v>365</v>
      </c>
      <c r="AA98" s="635">
        <f t="shared" si="36"/>
        <v>4.5836996106994848E-2</v>
      </c>
      <c r="AB98" s="633">
        <v>8192</v>
      </c>
      <c r="AC98" s="634">
        <v>368</v>
      </c>
      <c r="AD98" s="635">
        <f t="shared" si="37"/>
        <v>4.4921875E-2</v>
      </c>
      <c r="AE98" s="633">
        <v>8323</v>
      </c>
      <c r="AF98" s="634">
        <v>319</v>
      </c>
      <c r="AG98" s="635">
        <f t="shared" si="38"/>
        <v>3.8327526132404179E-2</v>
      </c>
      <c r="AH98" s="610">
        <v>8369</v>
      </c>
      <c r="AI98" s="611">
        <v>346</v>
      </c>
      <c r="AJ98" s="622">
        <f t="shared" si="39"/>
        <v>4.134305173855897E-2</v>
      </c>
      <c r="AK98" s="633">
        <v>8869</v>
      </c>
      <c r="AL98" s="634">
        <v>445</v>
      </c>
      <c r="AM98" s="635">
        <f t="shared" si="40"/>
        <v>5.0174766039012289E-2</v>
      </c>
      <c r="AN98" s="630">
        <v>9076</v>
      </c>
      <c r="AO98" s="611">
        <v>701</v>
      </c>
      <c r="AP98" s="619">
        <f t="shared" si="41"/>
        <v>7.723666813574262E-2</v>
      </c>
      <c r="AQ98" s="610">
        <v>9256</v>
      </c>
      <c r="AR98" s="611">
        <v>732</v>
      </c>
      <c r="AS98" s="622">
        <f t="shared" si="42"/>
        <v>7.9083837510803806E-2</v>
      </c>
      <c r="AT98" s="620">
        <v>9324</v>
      </c>
      <c r="AU98" s="612">
        <v>700</v>
      </c>
      <c r="AV98" s="613">
        <f t="shared" si="31"/>
        <v>7.5075075075075076E-2</v>
      </c>
    </row>
    <row r="99" spans="1:48" ht="15" customHeight="1">
      <c r="A99" s="529" t="s">
        <v>243</v>
      </c>
      <c r="B99" s="532" t="s">
        <v>244</v>
      </c>
      <c r="C99" s="531" t="s">
        <v>278</v>
      </c>
      <c r="D99" s="646">
        <f t="shared" si="43"/>
        <v>4.6936274509803921E-2</v>
      </c>
      <c r="E99" s="647">
        <f t="shared" si="32"/>
        <v>5.8830450641251912E-2</v>
      </c>
      <c r="F99" s="647">
        <f t="shared" si="33"/>
        <v>5.7373298249628189E-2</v>
      </c>
      <c r="G99" s="647">
        <f t="shared" si="23"/>
        <v>5.1327019759148836E-2</v>
      </c>
      <c r="H99" s="647">
        <f t="shared" si="24"/>
        <v>4.6833697276175153E-2</v>
      </c>
      <c r="I99" s="647">
        <f t="shared" si="25"/>
        <v>4.399770246984492E-2</v>
      </c>
      <c r="J99" s="647">
        <f t="shared" si="26"/>
        <v>3.8802913063268094E-2</v>
      </c>
      <c r="K99" s="647">
        <f t="shared" si="27"/>
        <v>4.5871559633027525E-2</v>
      </c>
      <c r="L99" s="647">
        <f t="shared" si="28"/>
        <v>7.0034990987169976E-2</v>
      </c>
      <c r="M99" s="647">
        <f t="shared" si="29"/>
        <v>7.1435609419647259E-2</v>
      </c>
      <c r="N99" s="648">
        <f t="shared" si="30"/>
        <v>6.6506331599096885E-2</v>
      </c>
      <c r="O99" s="639"/>
      <c r="P99" s="610">
        <v>16320</v>
      </c>
      <c r="Q99" s="611">
        <v>766</v>
      </c>
      <c r="R99" s="637">
        <f t="shared" si="22"/>
        <v>4.6936274509803921E-2</v>
      </c>
      <c r="S99" s="633">
        <v>16998</v>
      </c>
      <c r="T99" s="634">
        <v>1000</v>
      </c>
      <c r="U99" s="638">
        <f t="shared" si="34"/>
        <v>5.8830450641251912E-2</v>
      </c>
      <c r="V99" s="633">
        <v>17482</v>
      </c>
      <c r="W99" s="634">
        <v>1003</v>
      </c>
      <c r="X99" s="638">
        <f t="shared" si="35"/>
        <v>5.7373298249628189E-2</v>
      </c>
      <c r="Y99" s="633">
        <v>17106</v>
      </c>
      <c r="Z99" s="634">
        <v>878</v>
      </c>
      <c r="AA99" s="635">
        <f t="shared" si="36"/>
        <v>5.1327019759148836E-2</v>
      </c>
      <c r="AB99" s="633">
        <v>17402</v>
      </c>
      <c r="AC99" s="634">
        <v>815</v>
      </c>
      <c r="AD99" s="635">
        <f t="shared" si="37"/>
        <v>4.6833697276175153E-2</v>
      </c>
      <c r="AE99" s="633">
        <v>17410</v>
      </c>
      <c r="AF99" s="634">
        <v>766</v>
      </c>
      <c r="AG99" s="635">
        <f t="shared" si="38"/>
        <v>4.399770246984492E-2</v>
      </c>
      <c r="AH99" s="610">
        <v>17576</v>
      </c>
      <c r="AI99" s="611">
        <v>682</v>
      </c>
      <c r="AJ99" s="622">
        <f t="shared" si="39"/>
        <v>3.8802913063268094E-2</v>
      </c>
      <c r="AK99" s="633">
        <v>18094</v>
      </c>
      <c r="AL99" s="634">
        <v>830</v>
      </c>
      <c r="AM99" s="635">
        <f t="shared" si="40"/>
        <v>4.5871559633027525E-2</v>
      </c>
      <c r="AN99" s="630">
        <v>18862</v>
      </c>
      <c r="AO99" s="611">
        <v>1321</v>
      </c>
      <c r="AP99" s="619">
        <f t="shared" si="41"/>
        <v>7.0034990987169976E-2</v>
      </c>
      <c r="AQ99" s="610">
        <v>20298</v>
      </c>
      <c r="AR99" s="611">
        <v>1450</v>
      </c>
      <c r="AS99" s="622">
        <f t="shared" si="42"/>
        <v>7.1435609419647259E-2</v>
      </c>
      <c r="AT99" s="620">
        <v>20374</v>
      </c>
      <c r="AU99" s="612">
        <v>1355</v>
      </c>
      <c r="AV99" s="613">
        <f t="shared" si="31"/>
        <v>6.6506331599096885E-2</v>
      </c>
    </row>
    <row r="100" spans="1:48" ht="15" customHeight="1">
      <c r="A100" s="529" t="s">
        <v>245</v>
      </c>
      <c r="B100" s="532" t="s">
        <v>246</v>
      </c>
      <c r="C100" s="531" t="s">
        <v>278</v>
      </c>
      <c r="D100" s="646">
        <f t="shared" si="43"/>
        <v>6.7896471908536163E-2</v>
      </c>
      <c r="E100" s="647">
        <f t="shared" si="32"/>
        <v>6.2426220401361018E-2</v>
      </c>
      <c r="F100" s="647">
        <f t="shared" si="33"/>
        <v>5.2613941018766756E-2</v>
      </c>
      <c r="G100" s="647">
        <f t="shared" si="23"/>
        <v>4.7149942251511652E-2</v>
      </c>
      <c r="H100" s="647">
        <f t="shared" si="24"/>
        <v>4.2689787543848036E-2</v>
      </c>
      <c r="I100" s="647">
        <f t="shared" si="25"/>
        <v>4.0132450331125828E-2</v>
      </c>
      <c r="J100" s="647">
        <f t="shared" si="26"/>
        <v>4.403080872913992E-2</v>
      </c>
      <c r="K100" s="647">
        <f t="shared" si="27"/>
        <v>5.3263223012681722E-2</v>
      </c>
      <c r="L100" s="647">
        <f t="shared" si="28"/>
        <v>0.10647977376121973</v>
      </c>
      <c r="M100" s="647">
        <f t="shared" si="29"/>
        <v>9.5559371933267911E-2</v>
      </c>
      <c r="N100" s="648">
        <f t="shared" si="30"/>
        <v>7.8049378178030995E-2</v>
      </c>
      <c r="O100" s="639"/>
      <c r="P100" s="610">
        <v>14257</v>
      </c>
      <c r="Q100" s="611">
        <v>968</v>
      </c>
      <c r="R100" s="637">
        <f t="shared" si="22"/>
        <v>6.7896471908536163E-2</v>
      </c>
      <c r="S100" s="633">
        <v>14401</v>
      </c>
      <c r="T100" s="634">
        <v>899</v>
      </c>
      <c r="U100" s="638">
        <f t="shared" si="34"/>
        <v>6.2426220401361018E-2</v>
      </c>
      <c r="V100" s="633">
        <v>14920</v>
      </c>
      <c r="W100" s="634">
        <v>785</v>
      </c>
      <c r="X100" s="638">
        <f t="shared" si="35"/>
        <v>5.2613941018766756E-2</v>
      </c>
      <c r="Y100" s="633">
        <v>14719</v>
      </c>
      <c r="Z100" s="634">
        <v>694</v>
      </c>
      <c r="AA100" s="635">
        <f t="shared" si="36"/>
        <v>4.7149942251511652E-2</v>
      </c>
      <c r="AB100" s="633">
        <v>15109</v>
      </c>
      <c r="AC100" s="634">
        <v>645</v>
      </c>
      <c r="AD100" s="635">
        <f t="shared" si="37"/>
        <v>4.2689787543848036E-2</v>
      </c>
      <c r="AE100" s="633">
        <v>15100</v>
      </c>
      <c r="AF100" s="634">
        <v>606</v>
      </c>
      <c r="AG100" s="635">
        <f t="shared" si="38"/>
        <v>4.0132450331125828E-2</v>
      </c>
      <c r="AH100" s="610">
        <v>15580</v>
      </c>
      <c r="AI100" s="611">
        <v>686</v>
      </c>
      <c r="AJ100" s="622">
        <f t="shared" si="39"/>
        <v>4.403080872913992E-2</v>
      </c>
      <c r="AK100" s="633">
        <v>16165</v>
      </c>
      <c r="AL100" s="634">
        <v>861</v>
      </c>
      <c r="AM100" s="635">
        <f t="shared" si="40"/>
        <v>5.3263223012681722E-2</v>
      </c>
      <c r="AN100" s="630">
        <v>16266</v>
      </c>
      <c r="AO100" s="611">
        <v>1732</v>
      </c>
      <c r="AP100" s="619">
        <f t="shared" si="41"/>
        <v>0.10647977376121973</v>
      </c>
      <c r="AQ100" s="610">
        <v>16304</v>
      </c>
      <c r="AR100" s="611">
        <v>1558</v>
      </c>
      <c r="AS100" s="622">
        <f t="shared" si="42"/>
        <v>9.5559371933267911E-2</v>
      </c>
      <c r="AT100" s="620">
        <v>16323</v>
      </c>
      <c r="AU100" s="612">
        <v>1274</v>
      </c>
      <c r="AV100" s="613">
        <f t="shared" si="31"/>
        <v>7.8049378178030995E-2</v>
      </c>
    </row>
    <row r="101" spans="1:48" ht="15" customHeight="1">
      <c r="A101" s="529" t="s">
        <v>247</v>
      </c>
      <c r="B101" s="532" t="s">
        <v>248</v>
      </c>
      <c r="C101" s="531" t="s">
        <v>272</v>
      </c>
      <c r="D101" s="646">
        <f t="shared" si="43"/>
        <v>2.455807331830585E-2</v>
      </c>
      <c r="E101" s="647">
        <f t="shared" si="32"/>
        <v>3.0109489051094892E-2</v>
      </c>
      <c r="F101" s="647">
        <f t="shared" si="33"/>
        <v>3.1530520646319567E-2</v>
      </c>
      <c r="G101" s="647">
        <f t="shared" si="23"/>
        <v>2.9931821961088633E-2</v>
      </c>
      <c r="H101" s="647">
        <f t="shared" si="24"/>
        <v>2.9639418538795544E-2</v>
      </c>
      <c r="I101" s="647">
        <f t="shared" si="25"/>
        <v>2.5693430656934305E-2</v>
      </c>
      <c r="J101" s="647">
        <f t="shared" si="26"/>
        <v>2.4125548610187526E-2</v>
      </c>
      <c r="K101" s="647">
        <f t="shared" si="27"/>
        <v>3.2385549838204873E-2</v>
      </c>
      <c r="L101" s="647">
        <f t="shared" si="28"/>
        <v>5.256723716381418E-2</v>
      </c>
      <c r="M101" s="647">
        <f t="shared" si="29"/>
        <v>5.7614500728273184E-2</v>
      </c>
      <c r="N101" s="648">
        <f t="shared" si="30"/>
        <v>5.3799100891738519E-2</v>
      </c>
      <c r="O101" s="639"/>
      <c r="P101" s="614">
        <v>33716</v>
      </c>
      <c r="Q101" s="615">
        <v>828</v>
      </c>
      <c r="R101" s="637">
        <f t="shared" si="22"/>
        <v>2.455807331830585E-2</v>
      </c>
      <c r="S101" s="614">
        <v>35072</v>
      </c>
      <c r="T101" s="615">
        <v>1056</v>
      </c>
      <c r="U101" s="638">
        <f t="shared" si="34"/>
        <v>3.0109489051094892E-2</v>
      </c>
      <c r="V101" s="614">
        <v>35648</v>
      </c>
      <c r="W101" s="615">
        <v>1124</v>
      </c>
      <c r="X101" s="638">
        <f t="shared" si="35"/>
        <v>3.1530520646319567E-2</v>
      </c>
      <c r="Y101" s="614">
        <v>36082</v>
      </c>
      <c r="Z101" s="615">
        <v>1080</v>
      </c>
      <c r="AA101" s="635">
        <f t="shared" si="36"/>
        <v>2.9931821961088633E-2</v>
      </c>
      <c r="AB101" s="614">
        <v>37079</v>
      </c>
      <c r="AC101" s="615">
        <v>1099</v>
      </c>
      <c r="AD101" s="635">
        <f t="shared" si="37"/>
        <v>2.9639418538795544E-2</v>
      </c>
      <c r="AE101" s="614">
        <v>37675</v>
      </c>
      <c r="AF101" s="615">
        <v>968</v>
      </c>
      <c r="AG101" s="635">
        <f t="shared" si="38"/>
        <v>2.5693430656934305E-2</v>
      </c>
      <c r="AH101" s="614">
        <v>37595</v>
      </c>
      <c r="AI101" s="615">
        <v>907</v>
      </c>
      <c r="AJ101" s="622">
        <f t="shared" si="39"/>
        <v>2.4125548610187526E-2</v>
      </c>
      <c r="AK101" s="614">
        <v>37702</v>
      </c>
      <c r="AL101" s="615">
        <v>1221</v>
      </c>
      <c r="AM101" s="635">
        <f t="shared" si="40"/>
        <v>3.2385549838204873E-2</v>
      </c>
      <c r="AN101" s="624">
        <v>37628</v>
      </c>
      <c r="AO101" s="615">
        <v>1978</v>
      </c>
      <c r="AP101" s="619">
        <f t="shared" si="41"/>
        <v>5.256723716381418E-2</v>
      </c>
      <c r="AQ101" s="614">
        <v>37074</v>
      </c>
      <c r="AR101" s="615">
        <v>2136</v>
      </c>
      <c r="AS101" s="622">
        <f t="shared" si="42"/>
        <v>5.7614500728273184E-2</v>
      </c>
      <c r="AT101" s="620">
        <v>40707</v>
      </c>
      <c r="AU101" s="612">
        <v>2190</v>
      </c>
      <c r="AV101" s="613">
        <f t="shared" si="31"/>
        <v>5.3799100891738519E-2</v>
      </c>
    </row>
    <row r="102" spans="1:48" ht="15" customHeight="1">
      <c r="A102" s="529" t="s">
        <v>14</v>
      </c>
      <c r="B102" s="532" t="s">
        <v>15</v>
      </c>
      <c r="C102" s="531" t="s">
        <v>276</v>
      </c>
      <c r="D102" s="646">
        <f t="shared" si="43"/>
        <v>2.697317442160806E-2</v>
      </c>
      <c r="E102" s="647">
        <f t="shared" si="32"/>
        <v>3.420419593810213E-2</v>
      </c>
      <c r="F102" s="647">
        <f t="shared" si="33"/>
        <v>2.986396104284569E-2</v>
      </c>
      <c r="G102" s="647">
        <f t="shared" si="23"/>
        <v>2.6632393159383545E-2</v>
      </c>
      <c r="H102" s="647">
        <f t="shared" si="24"/>
        <v>2.55155090834745E-2</v>
      </c>
      <c r="I102" s="647">
        <f t="shared" si="25"/>
        <v>2.1713306681896059E-2</v>
      </c>
      <c r="J102" s="647">
        <f t="shared" si="26"/>
        <v>2.1949974476773864E-2</v>
      </c>
      <c r="K102" s="647">
        <f t="shared" si="27"/>
        <v>2.7467986217704455E-2</v>
      </c>
      <c r="L102" s="647">
        <f t="shared" si="28"/>
        <v>4.7314982902013761E-2</v>
      </c>
      <c r="M102" s="647">
        <f t="shared" si="29"/>
        <v>4.8334557036638713E-2</v>
      </c>
      <c r="N102" s="648">
        <f t="shared" si="30"/>
        <v>4.8427174774031835E-2</v>
      </c>
      <c r="O102" s="639"/>
      <c r="P102" s="610">
        <v>81303</v>
      </c>
      <c r="Q102" s="611">
        <v>2193</v>
      </c>
      <c r="R102" s="637">
        <f t="shared" si="22"/>
        <v>2.697317442160806E-2</v>
      </c>
      <c r="S102" s="633">
        <v>83557</v>
      </c>
      <c r="T102" s="634">
        <v>2858</v>
      </c>
      <c r="U102" s="638">
        <f t="shared" si="34"/>
        <v>3.420419593810213E-2</v>
      </c>
      <c r="V102" s="633">
        <v>83579</v>
      </c>
      <c r="W102" s="634">
        <v>2496</v>
      </c>
      <c r="X102" s="638">
        <f t="shared" si="35"/>
        <v>2.986396104284569E-2</v>
      </c>
      <c r="Y102" s="633">
        <v>85197</v>
      </c>
      <c r="Z102" s="634">
        <v>2269</v>
      </c>
      <c r="AA102" s="635">
        <f t="shared" si="36"/>
        <v>2.6632393159383545E-2</v>
      </c>
      <c r="AB102" s="633">
        <v>85595</v>
      </c>
      <c r="AC102" s="634">
        <v>2184</v>
      </c>
      <c r="AD102" s="635">
        <f t="shared" si="37"/>
        <v>2.55155090834745E-2</v>
      </c>
      <c r="AE102" s="633">
        <v>87550</v>
      </c>
      <c r="AF102" s="634">
        <v>1901</v>
      </c>
      <c r="AG102" s="635">
        <f t="shared" si="38"/>
        <v>2.1713306681896059E-2</v>
      </c>
      <c r="AH102" s="610">
        <v>90114</v>
      </c>
      <c r="AI102" s="611">
        <v>1978</v>
      </c>
      <c r="AJ102" s="622">
        <f t="shared" si="39"/>
        <v>2.1949974476773864E-2</v>
      </c>
      <c r="AK102" s="633">
        <v>93163</v>
      </c>
      <c r="AL102" s="634">
        <v>2559</v>
      </c>
      <c r="AM102" s="635">
        <f t="shared" si="40"/>
        <v>2.7467986217704455E-2</v>
      </c>
      <c r="AN102" s="630">
        <v>94748</v>
      </c>
      <c r="AO102" s="611">
        <v>4483</v>
      </c>
      <c r="AP102" s="619">
        <f t="shared" si="41"/>
        <v>4.7314982902013761E-2</v>
      </c>
      <c r="AQ102" s="610">
        <v>96701</v>
      </c>
      <c r="AR102" s="611">
        <v>4674</v>
      </c>
      <c r="AS102" s="622">
        <f t="shared" si="42"/>
        <v>4.8334557036638713E-2</v>
      </c>
      <c r="AT102" s="620">
        <v>92159</v>
      </c>
      <c r="AU102" s="612">
        <v>4463</v>
      </c>
      <c r="AV102" s="613">
        <f t="shared" si="31"/>
        <v>4.8427174774031835E-2</v>
      </c>
    </row>
    <row r="103" spans="1:48" ht="15" customHeight="1">
      <c r="A103" s="529" t="s">
        <v>35</v>
      </c>
      <c r="B103" s="532" t="s">
        <v>36</v>
      </c>
      <c r="C103" s="531" t="s">
        <v>278</v>
      </c>
      <c r="D103" s="646">
        <f t="shared" si="43"/>
        <v>4.1694242223692918E-2</v>
      </c>
      <c r="E103" s="647">
        <f t="shared" si="32"/>
        <v>4.9546589564988829E-2</v>
      </c>
      <c r="F103" s="647">
        <f t="shared" si="33"/>
        <v>6.1846580173825418E-2</v>
      </c>
      <c r="G103" s="647">
        <f t="shared" si="23"/>
        <v>6.0633137605310188E-2</v>
      </c>
      <c r="H103" s="647">
        <f t="shared" si="24"/>
        <v>5.3777208706786171E-2</v>
      </c>
      <c r="I103" s="647">
        <f t="shared" si="25"/>
        <v>4.739869934967484E-2</v>
      </c>
      <c r="J103" s="647">
        <f t="shared" si="26"/>
        <v>5.0629754333458038E-2</v>
      </c>
      <c r="K103" s="647">
        <f t="shared" si="27"/>
        <v>5.7390228818800244E-2</v>
      </c>
      <c r="L103" s="647">
        <f t="shared" si="28"/>
        <v>0.10014709487619515</v>
      </c>
      <c r="M103" s="647">
        <f t="shared" si="29"/>
        <v>9.5022069641981358E-2</v>
      </c>
      <c r="N103" s="648">
        <f t="shared" si="30"/>
        <v>9.1963645060990196E-2</v>
      </c>
      <c r="O103" s="639"/>
      <c r="P103" s="610">
        <v>7555</v>
      </c>
      <c r="Q103" s="611">
        <v>315</v>
      </c>
      <c r="R103" s="637">
        <f t="shared" si="22"/>
        <v>4.1694242223692918E-2</v>
      </c>
      <c r="S103" s="633">
        <v>7609</v>
      </c>
      <c r="T103" s="634">
        <v>377</v>
      </c>
      <c r="U103" s="638">
        <f t="shared" si="34"/>
        <v>4.9546589564988829E-2</v>
      </c>
      <c r="V103" s="633">
        <v>7939</v>
      </c>
      <c r="W103" s="634">
        <v>491</v>
      </c>
      <c r="X103" s="638">
        <f t="shared" si="35"/>
        <v>6.1846580173825418E-2</v>
      </c>
      <c r="Y103" s="633">
        <v>7834</v>
      </c>
      <c r="Z103" s="634">
        <v>475</v>
      </c>
      <c r="AA103" s="635">
        <f t="shared" si="36"/>
        <v>6.0633137605310188E-2</v>
      </c>
      <c r="AB103" s="633">
        <v>7810</v>
      </c>
      <c r="AC103" s="634">
        <v>420</v>
      </c>
      <c r="AD103" s="635">
        <f t="shared" si="37"/>
        <v>5.3777208706786171E-2</v>
      </c>
      <c r="AE103" s="633">
        <v>7996</v>
      </c>
      <c r="AF103" s="634">
        <v>379</v>
      </c>
      <c r="AG103" s="635">
        <f t="shared" si="38"/>
        <v>4.739869934967484E-2</v>
      </c>
      <c r="AH103" s="610">
        <v>8019</v>
      </c>
      <c r="AI103" s="611">
        <v>406</v>
      </c>
      <c r="AJ103" s="622">
        <f t="shared" si="39"/>
        <v>5.0629754333458038E-2</v>
      </c>
      <c r="AK103" s="633">
        <v>8085</v>
      </c>
      <c r="AL103" s="634">
        <v>464</v>
      </c>
      <c r="AM103" s="635">
        <f t="shared" si="40"/>
        <v>5.7390228818800244E-2</v>
      </c>
      <c r="AN103" s="630">
        <v>8158</v>
      </c>
      <c r="AO103" s="611">
        <v>817</v>
      </c>
      <c r="AP103" s="619">
        <f t="shared" si="41"/>
        <v>0.10014709487619515</v>
      </c>
      <c r="AQ103" s="610">
        <v>8156</v>
      </c>
      <c r="AR103" s="611">
        <v>775</v>
      </c>
      <c r="AS103" s="622">
        <f t="shared" si="42"/>
        <v>9.5022069641981358E-2</v>
      </c>
      <c r="AT103" s="620">
        <v>8362</v>
      </c>
      <c r="AU103" s="612">
        <v>769</v>
      </c>
      <c r="AV103" s="613">
        <f t="shared" si="31"/>
        <v>9.1963645060990196E-2</v>
      </c>
    </row>
    <row r="104" spans="1:48" ht="15" customHeight="1">
      <c r="A104" s="529" t="s">
        <v>53</v>
      </c>
      <c r="B104" s="532" t="s">
        <v>54</v>
      </c>
      <c r="C104" s="531" t="s">
        <v>273</v>
      </c>
      <c r="D104" s="646">
        <f t="shared" si="43"/>
        <v>3.5909568874868562E-2</v>
      </c>
      <c r="E104" s="647">
        <f t="shared" si="32"/>
        <v>3.8652482269503546E-2</v>
      </c>
      <c r="F104" s="647">
        <f t="shared" si="33"/>
        <v>4.1420720537349888E-2</v>
      </c>
      <c r="G104" s="647">
        <f t="shared" si="23"/>
        <v>4.0241145440844006E-2</v>
      </c>
      <c r="H104" s="647">
        <f t="shared" si="24"/>
        <v>3.7468734367183593E-2</v>
      </c>
      <c r="I104" s="647">
        <f t="shared" si="25"/>
        <v>3.1599416626154592E-2</v>
      </c>
      <c r="J104" s="647">
        <f t="shared" si="26"/>
        <v>3.0147230661369481E-2</v>
      </c>
      <c r="K104" s="647">
        <f t="shared" si="27"/>
        <v>3.8730772773325962E-2</v>
      </c>
      <c r="L104" s="647">
        <f t="shared" si="28"/>
        <v>6.3505812628219735E-2</v>
      </c>
      <c r="M104" s="647">
        <f t="shared" si="29"/>
        <v>6.9007702763932935E-2</v>
      </c>
      <c r="N104" s="648">
        <f t="shared" si="30"/>
        <v>6.1589950884513411E-2</v>
      </c>
      <c r="O104" s="639"/>
      <c r="P104" s="610">
        <v>19020</v>
      </c>
      <c r="Q104" s="611">
        <v>683</v>
      </c>
      <c r="R104" s="637">
        <f t="shared" si="22"/>
        <v>3.5909568874868562E-2</v>
      </c>
      <c r="S104" s="633">
        <v>19740</v>
      </c>
      <c r="T104" s="634">
        <v>763</v>
      </c>
      <c r="U104" s="638">
        <f t="shared" si="34"/>
        <v>3.8652482269503546E-2</v>
      </c>
      <c r="V104" s="633">
        <v>19652</v>
      </c>
      <c r="W104" s="634">
        <v>814</v>
      </c>
      <c r="X104" s="638">
        <f t="shared" si="35"/>
        <v>4.1420720537349888E-2</v>
      </c>
      <c r="Y104" s="633">
        <v>19905</v>
      </c>
      <c r="Z104" s="634">
        <v>801</v>
      </c>
      <c r="AA104" s="635">
        <f t="shared" si="36"/>
        <v>4.0241145440844006E-2</v>
      </c>
      <c r="AB104" s="633">
        <v>19990</v>
      </c>
      <c r="AC104" s="634">
        <v>749</v>
      </c>
      <c r="AD104" s="635">
        <f t="shared" si="37"/>
        <v>3.7468734367183593E-2</v>
      </c>
      <c r="AE104" s="633">
        <v>20570</v>
      </c>
      <c r="AF104" s="634">
        <v>650</v>
      </c>
      <c r="AG104" s="635">
        <f t="shared" si="38"/>
        <v>3.1599416626154592E-2</v>
      </c>
      <c r="AH104" s="610">
        <v>21395</v>
      </c>
      <c r="AI104" s="611">
        <v>645</v>
      </c>
      <c r="AJ104" s="622">
        <f t="shared" si="39"/>
        <v>3.0147230661369481E-2</v>
      </c>
      <c r="AK104" s="633">
        <v>21714</v>
      </c>
      <c r="AL104" s="634">
        <v>841</v>
      </c>
      <c r="AM104" s="635">
        <f t="shared" si="40"/>
        <v>3.8730772773325962E-2</v>
      </c>
      <c r="AN104" s="630">
        <v>21935</v>
      </c>
      <c r="AO104" s="611">
        <v>1393</v>
      </c>
      <c r="AP104" s="619">
        <f t="shared" si="41"/>
        <v>6.3505812628219735E-2</v>
      </c>
      <c r="AQ104" s="610">
        <v>22070</v>
      </c>
      <c r="AR104" s="611">
        <v>1523</v>
      </c>
      <c r="AS104" s="622">
        <f t="shared" si="42"/>
        <v>6.9007702763932935E-2</v>
      </c>
      <c r="AT104" s="620">
        <v>23007</v>
      </c>
      <c r="AU104" s="612">
        <v>1417</v>
      </c>
      <c r="AV104" s="613">
        <f t="shared" si="31"/>
        <v>6.1589950884513411E-2</v>
      </c>
    </row>
    <row r="105" spans="1:48" ht="15" customHeight="1">
      <c r="A105" s="529" t="s">
        <v>55</v>
      </c>
      <c r="B105" s="532" t="s">
        <v>56</v>
      </c>
      <c r="C105" s="531" t="s">
        <v>272</v>
      </c>
      <c r="D105" s="646">
        <f t="shared" si="43"/>
        <v>2.9324465180920235E-2</v>
      </c>
      <c r="E105" s="647">
        <f t="shared" si="32"/>
        <v>3.6751749968707573E-2</v>
      </c>
      <c r="F105" s="647">
        <f t="shared" si="33"/>
        <v>3.8424699983097638E-2</v>
      </c>
      <c r="G105" s="647">
        <f t="shared" si="23"/>
        <v>3.6383087670531437E-2</v>
      </c>
      <c r="H105" s="647">
        <f t="shared" si="24"/>
        <v>3.5398857872521547E-2</v>
      </c>
      <c r="I105" s="647">
        <f t="shared" si="25"/>
        <v>3.179429266385788E-2</v>
      </c>
      <c r="J105" s="647">
        <f t="shared" si="26"/>
        <v>2.969402732302134E-2</v>
      </c>
      <c r="K105" s="647">
        <f t="shared" si="27"/>
        <v>3.8343347639484979E-2</v>
      </c>
      <c r="L105" s="647">
        <f t="shared" si="28"/>
        <v>6.314924785651943E-2</v>
      </c>
      <c r="M105" s="647">
        <f t="shared" si="29"/>
        <v>6.8866262834557712E-2</v>
      </c>
      <c r="N105" s="648">
        <f t="shared" si="30"/>
        <v>6.4740435786725573E-2</v>
      </c>
      <c r="O105" s="639"/>
      <c r="P105" s="610">
        <v>100735</v>
      </c>
      <c r="Q105" s="611">
        <v>2954</v>
      </c>
      <c r="R105" s="637">
        <f t="shared" si="22"/>
        <v>2.9324465180920235E-2</v>
      </c>
      <c r="S105" s="633">
        <v>103859</v>
      </c>
      <c r="T105" s="634">
        <v>3817</v>
      </c>
      <c r="U105" s="638">
        <f t="shared" si="34"/>
        <v>3.6751749968707573E-2</v>
      </c>
      <c r="V105" s="633">
        <v>106494</v>
      </c>
      <c r="W105" s="634">
        <v>4092</v>
      </c>
      <c r="X105" s="638">
        <f t="shared" si="35"/>
        <v>3.8424699983097638E-2</v>
      </c>
      <c r="Y105" s="633">
        <v>109364</v>
      </c>
      <c r="Z105" s="634">
        <v>3979</v>
      </c>
      <c r="AA105" s="635">
        <f t="shared" si="36"/>
        <v>3.6383087670531437E-2</v>
      </c>
      <c r="AB105" s="633">
        <v>112772</v>
      </c>
      <c r="AC105" s="634">
        <v>3992</v>
      </c>
      <c r="AD105" s="635">
        <f t="shared" si="37"/>
        <v>3.5398857872521547E-2</v>
      </c>
      <c r="AE105" s="633">
        <v>115115</v>
      </c>
      <c r="AF105" s="634">
        <v>3660</v>
      </c>
      <c r="AG105" s="635">
        <f t="shared" si="38"/>
        <v>3.179429266385788E-2</v>
      </c>
      <c r="AH105" s="610">
        <v>115141</v>
      </c>
      <c r="AI105" s="611">
        <v>3419</v>
      </c>
      <c r="AJ105" s="622">
        <f t="shared" si="39"/>
        <v>2.969402732302134E-2</v>
      </c>
      <c r="AK105" s="633">
        <v>116500</v>
      </c>
      <c r="AL105" s="634">
        <v>4467</v>
      </c>
      <c r="AM105" s="635">
        <f t="shared" si="40"/>
        <v>3.8343347639484979E-2</v>
      </c>
      <c r="AN105" s="630">
        <v>116866</v>
      </c>
      <c r="AO105" s="611">
        <v>7380</v>
      </c>
      <c r="AP105" s="619">
        <f t="shared" si="41"/>
        <v>6.314924785651943E-2</v>
      </c>
      <c r="AQ105" s="610">
        <v>116385</v>
      </c>
      <c r="AR105" s="611">
        <v>8015</v>
      </c>
      <c r="AS105" s="622">
        <f t="shared" si="42"/>
        <v>6.8866262834557712E-2</v>
      </c>
      <c r="AT105" s="620">
        <v>119508</v>
      </c>
      <c r="AU105" s="612">
        <v>7737</v>
      </c>
      <c r="AV105" s="613">
        <f t="shared" si="31"/>
        <v>6.4740435786725573E-2</v>
      </c>
    </row>
    <row r="106" spans="1:48" ht="15" customHeight="1">
      <c r="A106" s="529" t="s">
        <v>67</v>
      </c>
      <c r="B106" s="532" t="s">
        <v>68</v>
      </c>
      <c r="C106" s="531" t="s">
        <v>273</v>
      </c>
      <c r="D106" s="646">
        <f t="shared" si="43"/>
        <v>6.9532237673830599E-2</v>
      </c>
      <c r="E106" s="647">
        <f t="shared" si="32"/>
        <v>8.5968696929361543E-2</v>
      </c>
      <c r="F106" s="647">
        <f t="shared" si="33"/>
        <v>9.4343049123762832E-2</v>
      </c>
      <c r="G106" s="647">
        <f t="shared" si="23"/>
        <v>9.1992621671475192E-2</v>
      </c>
      <c r="H106" s="647">
        <f t="shared" si="24"/>
        <v>9.9601782497392627E-2</v>
      </c>
      <c r="I106" s="647">
        <f t="shared" si="25"/>
        <v>8.5270935960591127E-2</v>
      </c>
      <c r="J106" s="647">
        <f t="shared" si="26"/>
        <v>7.2962888261395728E-2</v>
      </c>
      <c r="K106" s="647">
        <f t="shared" si="27"/>
        <v>9.1938046068308188E-2</v>
      </c>
      <c r="L106" s="647">
        <f t="shared" si="28"/>
        <v>0.13402713611827069</v>
      </c>
      <c r="M106" s="647">
        <f t="shared" si="29"/>
        <v>0.13360606665336261</v>
      </c>
      <c r="N106" s="648">
        <f t="shared" si="30"/>
        <v>0.11949653743112773</v>
      </c>
      <c r="O106" s="639"/>
      <c r="P106" s="610">
        <v>21357</v>
      </c>
      <c r="Q106" s="611">
        <v>1485</v>
      </c>
      <c r="R106" s="637">
        <f t="shared" si="22"/>
        <v>6.9532237673830599E-2</v>
      </c>
      <c r="S106" s="633">
        <v>21787</v>
      </c>
      <c r="T106" s="634">
        <v>1873</v>
      </c>
      <c r="U106" s="638">
        <f t="shared" si="34"/>
        <v>8.5968696929361543E-2</v>
      </c>
      <c r="V106" s="633">
        <v>22026</v>
      </c>
      <c r="W106" s="634">
        <v>2078</v>
      </c>
      <c r="X106" s="638">
        <f t="shared" si="35"/>
        <v>9.4343049123762832E-2</v>
      </c>
      <c r="Y106" s="633">
        <v>21143</v>
      </c>
      <c r="Z106" s="634">
        <v>1945</v>
      </c>
      <c r="AA106" s="635">
        <f t="shared" si="36"/>
        <v>9.1992621671475192E-2</v>
      </c>
      <c r="AB106" s="633">
        <v>21094</v>
      </c>
      <c r="AC106" s="634">
        <v>2101</v>
      </c>
      <c r="AD106" s="635">
        <f t="shared" si="37"/>
        <v>9.9601782497392627E-2</v>
      </c>
      <c r="AE106" s="633">
        <v>20300</v>
      </c>
      <c r="AF106" s="634">
        <v>1731</v>
      </c>
      <c r="AG106" s="635">
        <f t="shared" si="38"/>
        <v>8.5270935960591127E-2</v>
      </c>
      <c r="AH106" s="610">
        <v>19832</v>
      </c>
      <c r="AI106" s="611">
        <v>1447</v>
      </c>
      <c r="AJ106" s="622">
        <f t="shared" si="39"/>
        <v>7.2962888261395728E-2</v>
      </c>
      <c r="AK106" s="633">
        <v>20144</v>
      </c>
      <c r="AL106" s="634">
        <v>1852</v>
      </c>
      <c r="AM106" s="635">
        <f t="shared" si="40"/>
        <v>9.1938046068308188E-2</v>
      </c>
      <c r="AN106" s="630">
        <v>20563</v>
      </c>
      <c r="AO106" s="611">
        <v>2756</v>
      </c>
      <c r="AP106" s="619">
        <f t="shared" si="41"/>
        <v>0.13402713611827069</v>
      </c>
      <c r="AQ106" s="610">
        <v>20044</v>
      </c>
      <c r="AR106" s="611">
        <v>2678</v>
      </c>
      <c r="AS106" s="622">
        <f t="shared" si="42"/>
        <v>0.13360606665336261</v>
      </c>
      <c r="AT106" s="620">
        <v>19783</v>
      </c>
      <c r="AU106" s="612">
        <v>2364</v>
      </c>
      <c r="AV106" s="613">
        <f t="shared" si="31"/>
        <v>0.11949653743112773</v>
      </c>
    </row>
    <row r="107" spans="1:48" ht="15" customHeight="1">
      <c r="A107" s="529" t="s">
        <v>83</v>
      </c>
      <c r="B107" s="532" t="s">
        <v>390</v>
      </c>
      <c r="C107" s="531" t="s">
        <v>272</v>
      </c>
      <c r="D107" s="646">
        <f t="shared" si="43"/>
        <v>4.3576683644595361E-2</v>
      </c>
      <c r="E107" s="647">
        <f t="shared" si="32"/>
        <v>4.7873838355392849E-2</v>
      </c>
      <c r="F107" s="647">
        <f t="shared" si="33"/>
        <v>4.8734518039849219E-2</v>
      </c>
      <c r="G107" s="647">
        <f t="shared" si="23"/>
        <v>4.9175898405836263E-2</v>
      </c>
      <c r="H107" s="647">
        <f t="shared" si="24"/>
        <v>5.106382978723404E-2</v>
      </c>
      <c r="I107" s="647">
        <f t="shared" si="25"/>
        <v>4.626241505488761E-2</v>
      </c>
      <c r="J107" s="647">
        <f t="shared" si="26"/>
        <v>4.5316455696202532E-2</v>
      </c>
      <c r="K107" s="647">
        <f t="shared" si="27"/>
        <v>6.231003039513678E-2</v>
      </c>
      <c r="L107" s="647">
        <f t="shared" si="28"/>
        <v>0.10242792109256449</v>
      </c>
      <c r="M107" s="647">
        <f t="shared" si="29"/>
        <v>0.11852589641434264</v>
      </c>
      <c r="N107" s="648">
        <f t="shared" si="30"/>
        <v>0.11346792742141579</v>
      </c>
      <c r="O107" s="639"/>
      <c r="P107" s="610">
        <v>3534</v>
      </c>
      <c r="Q107" s="611">
        <v>154</v>
      </c>
      <c r="R107" s="637">
        <f t="shared" si="22"/>
        <v>4.3576683644595361E-2</v>
      </c>
      <c r="S107" s="633">
        <v>3551</v>
      </c>
      <c r="T107" s="634">
        <v>170</v>
      </c>
      <c r="U107" s="638">
        <f t="shared" si="34"/>
        <v>4.7873838355392849E-2</v>
      </c>
      <c r="V107" s="633">
        <v>3714</v>
      </c>
      <c r="W107" s="634">
        <v>181</v>
      </c>
      <c r="X107" s="638">
        <f t="shared" si="35"/>
        <v>4.8734518039849219E-2</v>
      </c>
      <c r="Y107" s="633">
        <v>3701</v>
      </c>
      <c r="Z107" s="634">
        <v>182</v>
      </c>
      <c r="AA107" s="635">
        <f t="shared" si="36"/>
        <v>4.9175898405836263E-2</v>
      </c>
      <c r="AB107" s="633">
        <v>3760</v>
      </c>
      <c r="AC107" s="634">
        <v>192</v>
      </c>
      <c r="AD107" s="635">
        <f t="shared" si="37"/>
        <v>5.106382978723404E-2</v>
      </c>
      <c r="AE107" s="633">
        <v>3826</v>
      </c>
      <c r="AF107" s="634">
        <v>177</v>
      </c>
      <c r="AG107" s="635">
        <f t="shared" si="38"/>
        <v>4.626241505488761E-2</v>
      </c>
      <c r="AH107" s="610">
        <v>3950</v>
      </c>
      <c r="AI107" s="611">
        <v>179</v>
      </c>
      <c r="AJ107" s="622">
        <f t="shared" si="39"/>
        <v>4.5316455696202532E-2</v>
      </c>
      <c r="AK107" s="633">
        <v>3948</v>
      </c>
      <c r="AL107" s="634">
        <v>246</v>
      </c>
      <c r="AM107" s="635">
        <f t="shared" si="40"/>
        <v>6.231003039513678E-2</v>
      </c>
      <c r="AN107" s="630">
        <v>3954</v>
      </c>
      <c r="AO107" s="611">
        <v>405</v>
      </c>
      <c r="AP107" s="619">
        <f t="shared" si="41"/>
        <v>0.10242792109256449</v>
      </c>
      <c r="AQ107" s="610">
        <v>4016</v>
      </c>
      <c r="AR107" s="611">
        <v>476</v>
      </c>
      <c r="AS107" s="622">
        <f t="shared" si="42"/>
        <v>0.11852589641434264</v>
      </c>
      <c r="AT107" s="620">
        <v>3913</v>
      </c>
      <c r="AU107" s="612">
        <v>444</v>
      </c>
      <c r="AV107" s="613">
        <f t="shared" si="31"/>
        <v>0.11346792742141579</v>
      </c>
    </row>
    <row r="108" spans="1:48" ht="15" customHeight="1">
      <c r="A108" s="529" t="s">
        <v>89</v>
      </c>
      <c r="B108" s="532" t="s">
        <v>90</v>
      </c>
      <c r="C108" s="531" t="s">
        <v>276</v>
      </c>
      <c r="D108" s="646">
        <f t="shared" si="43"/>
        <v>3.5592255125284737E-2</v>
      </c>
      <c r="E108" s="647">
        <f t="shared" si="32"/>
        <v>5.4172086972681659E-2</v>
      </c>
      <c r="F108" s="647">
        <f t="shared" si="33"/>
        <v>5.225409836065574E-2</v>
      </c>
      <c r="G108" s="647">
        <f t="shared" si="23"/>
        <v>4.7491757996970509E-2</v>
      </c>
      <c r="H108" s="647">
        <f t="shared" si="24"/>
        <v>4.38581009530533E-2</v>
      </c>
      <c r="I108" s="647">
        <f t="shared" si="25"/>
        <v>3.8772901576480612E-2</v>
      </c>
      <c r="J108" s="647">
        <f t="shared" si="26"/>
        <v>4.4194038200271721E-2</v>
      </c>
      <c r="K108" s="647">
        <f t="shared" si="27"/>
        <v>6.0126582278481014E-2</v>
      </c>
      <c r="L108" s="647">
        <f t="shared" si="28"/>
        <v>9.1242789722076556E-2</v>
      </c>
      <c r="M108" s="647">
        <f t="shared" si="29"/>
        <v>9.4815927873779113E-2</v>
      </c>
      <c r="N108" s="648">
        <f t="shared" si="30"/>
        <v>9.4790717240412256E-2</v>
      </c>
      <c r="O108" s="639"/>
      <c r="P108" s="610">
        <v>10536</v>
      </c>
      <c r="Q108" s="611">
        <v>375</v>
      </c>
      <c r="R108" s="637">
        <f t="shared" si="22"/>
        <v>3.5592255125284737E-2</v>
      </c>
      <c r="S108" s="633">
        <v>10762</v>
      </c>
      <c r="T108" s="634">
        <v>583</v>
      </c>
      <c r="U108" s="638">
        <f t="shared" si="34"/>
        <v>5.4172086972681659E-2</v>
      </c>
      <c r="V108" s="633">
        <v>10736</v>
      </c>
      <c r="W108" s="634">
        <v>561</v>
      </c>
      <c r="X108" s="638">
        <f t="shared" si="35"/>
        <v>5.225409836065574E-2</v>
      </c>
      <c r="Y108" s="633">
        <v>11223</v>
      </c>
      <c r="Z108" s="634">
        <v>533</v>
      </c>
      <c r="AA108" s="635">
        <f t="shared" si="36"/>
        <v>4.7491757996970509E-2</v>
      </c>
      <c r="AB108" s="633">
        <v>11332</v>
      </c>
      <c r="AC108" s="634">
        <v>497</v>
      </c>
      <c r="AD108" s="635">
        <f t="shared" si="37"/>
        <v>4.38581009530533E-2</v>
      </c>
      <c r="AE108" s="633">
        <v>11735</v>
      </c>
      <c r="AF108" s="634">
        <v>455</v>
      </c>
      <c r="AG108" s="635">
        <f t="shared" si="38"/>
        <v>3.8772901576480612E-2</v>
      </c>
      <c r="AH108" s="610">
        <v>12513</v>
      </c>
      <c r="AI108" s="611">
        <v>553</v>
      </c>
      <c r="AJ108" s="622">
        <f t="shared" si="39"/>
        <v>4.4194038200271721E-2</v>
      </c>
      <c r="AK108" s="633">
        <v>12956</v>
      </c>
      <c r="AL108" s="634">
        <v>779</v>
      </c>
      <c r="AM108" s="635">
        <f t="shared" si="40"/>
        <v>6.0126582278481014E-2</v>
      </c>
      <c r="AN108" s="630">
        <v>13349</v>
      </c>
      <c r="AO108" s="611">
        <v>1218</v>
      </c>
      <c r="AP108" s="619">
        <f t="shared" si="41"/>
        <v>9.1242789722076556E-2</v>
      </c>
      <c r="AQ108" s="610">
        <v>13310</v>
      </c>
      <c r="AR108" s="611">
        <v>1262</v>
      </c>
      <c r="AS108" s="622">
        <f t="shared" si="42"/>
        <v>9.4815927873779113E-2</v>
      </c>
      <c r="AT108" s="620">
        <v>14263</v>
      </c>
      <c r="AU108" s="612">
        <v>1352</v>
      </c>
      <c r="AV108" s="613">
        <f t="shared" si="31"/>
        <v>9.4790717240412256E-2</v>
      </c>
    </row>
    <row r="109" spans="1:48" ht="15" customHeight="1">
      <c r="A109" s="529" t="s">
        <v>91</v>
      </c>
      <c r="B109" s="532" t="s">
        <v>92</v>
      </c>
      <c r="C109" s="531" t="s">
        <v>278</v>
      </c>
      <c r="D109" s="646">
        <f t="shared" si="43"/>
        <v>6.019539867633155E-2</v>
      </c>
      <c r="E109" s="647">
        <f t="shared" si="32"/>
        <v>8.008526187576126E-2</v>
      </c>
      <c r="F109" s="647">
        <f t="shared" si="33"/>
        <v>6.3804052010886E-2</v>
      </c>
      <c r="G109" s="647">
        <f t="shared" si="23"/>
        <v>5.520702634880803E-2</v>
      </c>
      <c r="H109" s="647">
        <f t="shared" si="24"/>
        <v>5.0636942675159238E-2</v>
      </c>
      <c r="I109" s="647">
        <f t="shared" si="25"/>
        <v>5.9554973821989529E-2</v>
      </c>
      <c r="J109" s="647">
        <f t="shared" si="26"/>
        <v>5.5643879173290937E-2</v>
      </c>
      <c r="K109" s="647">
        <f t="shared" si="27"/>
        <v>6.1061381074168801E-2</v>
      </c>
      <c r="L109" s="647">
        <f t="shared" si="28"/>
        <v>9.9118942731277526E-2</v>
      </c>
      <c r="M109" s="647">
        <f t="shared" si="29"/>
        <v>0.10219646125686394</v>
      </c>
      <c r="N109" s="648">
        <f t="shared" si="30"/>
        <v>0.10082745939319644</v>
      </c>
      <c r="O109" s="639"/>
      <c r="P109" s="610">
        <v>3173</v>
      </c>
      <c r="Q109" s="611">
        <v>191</v>
      </c>
      <c r="R109" s="637">
        <f t="shared" si="22"/>
        <v>6.019539867633155E-2</v>
      </c>
      <c r="S109" s="633">
        <v>3284</v>
      </c>
      <c r="T109" s="634">
        <v>263</v>
      </c>
      <c r="U109" s="638">
        <f t="shared" si="34"/>
        <v>8.008526187576126E-2</v>
      </c>
      <c r="V109" s="633">
        <v>3307</v>
      </c>
      <c r="W109" s="634">
        <v>211</v>
      </c>
      <c r="X109" s="638">
        <f t="shared" si="35"/>
        <v>6.3804052010886E-2</v>
      </c>
      <c r="Y109" s="633">
        <v>3188</v>
      </c>
      <c r="Z109" s="634">
        <v>176</v>
      </c>
      <c r="AA109" s="635">
        <f t="shared" si="36"/>
        <v>5.520702634880803E-2</v>
      </c>
      <c r="AB109" s="633">
        <v>3140</v>
      </c>
      <c r="AC109" s="634">
        <v>159</v>
      </c>
      <c r="AD109" s="635">
        <f t="shared" si="37"/>
        <v>5.0636942675159238E-2</v>
      </c>
      <c r="AE109" s="633">
        <v>3056</v>
      </c>
      <c r="AF109" s="634">
        <v>182</v>
      </c>
      <c r="AG109" s="635">
        <f t="shared" si="38"/>
        <v>5.9554973821989529E-2</v>
      </c>
      <c r="AH109" s="610">
        <v>3145</v>
      </c>
      <c r="AI109" s="611">
        <v>175</v>
      </c>
      <c r="AJ109" s="622">
        <f t="shared" si="39"/>
        <v>5.5643879173290937E-2</v>
      </c>
      <c r="AK109" s="633">
        <v>3128</v>
      </c>
      <c r="AL109" s="634">
        <v>191</v>
      </c>
      <c r="AM109" s="635">
        <f t="shared" si="40"/>
        <v>6.1061381074168801E-2</v>
      </c>
      <c r="AN109" s="630">
        <v>3178</v>
      </c>
      <c r="AO109" s="611">
        <v>315</v>
      </c>
      <c r="AP109" s="619">
        <f t="shared" si="41"/>
        <v>9.9118942731277526E-2</v>
      </c>
      <c r="AQ109" s="610">
        <v>3278</v>
      </c>
      <c r="AR109" s="611">
        <v>335</v>
      </c>
      <c r="AS109" s="622">
        <f t="shared" si="42"/>
        <v>0.10219646125686394</v>
      </c>
      <c r="AT109" s="620">
        <v>3263</v>
      </c>
      <c r="AU109" s="612">
        <v>329</v>
      </c>
      <c r="AV109" s="613">
        <f t="shared" si="31"/>
        <v>0.10082745939319644</v>
      </c>
    </row>
    <row r="110" spans="1:48" ht="15" customHeight="1">
      <c r="A110" s="529" t="s">
        <v>107</v>
      </c>
      <c r="B110" s="532" t="s">
        <v>108</v>
      </c>
      <c r="C110" s="531" t="s">
        <v>272</v>
      </c>
      <c r="D110" s="646">
        <f t="shared" si="43"/>
        <v>3.4860542378119447E-2</v>
      </c>
      <c r="E110" s="647">
        <f t="shared" si="32"/>
        <v>4.8358091668807522E-2</v>
      </c>
      <c r="F110" s="647">
        <f t="shared" si="33"/>
        <v>4.8798437969360169E-2</v>
      </c>
      <c r="G110" s="647">
        <f t="shared" si="23"/>
        <v>4.6526670477451189E-2</v>
      </c>
      <c r="H110" s="647">
        <f t="shared" si="24"/>
        <v>4.4226518107502631E-2</v>
      </c>
      <c r="I110" s="647">
        <f t="shared" si="25"/>
        <v>3.6216679472782079E-2</v>
      </c>
      <c r="J110" s="647">
        <f t="shared" si="26"/>
        <v>3.5118244957733406E-2</v>
      </c>
      <c r="K110" s="647">
        <f t="shared" si="27"/>
        <v>4.721656336237412E-2</v>
      </c>
      <c r="L110" s="647">
        <f t="shared" si="28"/>
        <v>7.6797455842537277E-2</v>
      </c>
      <c r="M110" s="647">
        <f t="shared" si="29"/>
        <v>8.4481242672919107E-2</v>
      </c>
      <c r="N110" s="648">
        <f t="shared" si="30"/>
        <v>8.4316400101929159E-2</v>
      </c>
      <c r="O110" s="639"/>
      <c r="P110" s="610">
        <v>64715</v>
      </c>
      <c r="Q110" s="611">
        <v>2256</v>
      </c>
      <c r="R110" s="637">
        <f t="shared" si="22"/>
        <v>3.4860542378119447E-2</v>
      </c>
      <c r="S110" s="633">
        <v>66173</v>
      </c>
      <c r="T110" s="634">
        <v>3200</v>
      </c>
      <c r="U110" s="638">
        <f t="shared" si="34"/>
        <v>4.8358091668807522E-2</v>
      </c>
      <c r="V110" s="633">
        <v>66580</v>
      </c>
      <c r="W110" s="634">
        <v>3249</v>
      </c>
      <c r="X110" s="638">
        <f t="shared" si="35"/>
        <v>4.8798437969360169E-2</v>
      </c>
      <c r="Y110" s="633">
        <v>66478</v>
      </c>
      <c r="Z110" s="634">
        <v>3093</v>
      </c>
      <c r="AA110" s="635">
        <f t="shared" si="36"/>
        <v>4.6526670477451189E-2</v>
      </c>
      <c r="AB110" s="633">
        <v>67403</v>
      </c>
      <c r="AC110" s="634">
        <v>2981</v>
      </c>
      <c r="AD110" s="635">
        <f t="shared" si="37"/>
        <v>4.4226518107502631E-2</v>
      </c>
      <c r="AE110" s="633">
        <v>67676</v>
      </c>
      <c r="AF110" s="634">
        <v>2451</v>
      </c>
      <c r="AG110" s="635">
        <f t="shared" si="38"/>
        <v>3.6216679472782079E-2</v>
      </c>
      <c r="AH110" s="610">
        <v>68967</v>
      </c>
      <c r="AI110" s="611">
        <v>2422</v>
      </c>
      <c r="AJ110" s="622">
        <f t="shared" si="39"/>
        <v>3.5118244957733406E-2</v>
      </c>
      <c r="AK110" s="633">
        <v>69213</v>
      </c>
      <c r="AL110" s="634">
        <v>3268</v>
      </c>
      <c r="AM110" s="635">
        <f t="shared" si="40"/>
        <v>4.721656336237412E-2</v>
      </c>
      <c r="AN110" s="630">
        <v>69807</v>
      </c>
      <c r="AO110" s="611">
        <v>5361</v>
      </c>
      <c r="AP110" s="619">
        <f t="shared" si="41"/>
        <v>7.6797455842537277E-2</v>
      </c>
      <c r="AQ110" s="610">
        <v>68240</v>
      </c>
      <c r="AR110" s="611">
        <v>5765</v>
      </c>
      <c r="AS110" s="622">
        <f t="shared" si="42"/>
        <v>8.4481242672919107E-2</v>
      </c>
      <c r="AT110" s="620">
        <v>66713</v>
      </c>
      <c r="AU110" s="612">
        <v>5625</v>
      </c>
      <c r="AV110" s="613">
        <f t="shared" si="31"/>
        <v>8.4316400101929159E-2</v>
      </c>
    </row>
    <row r="111" spans="1:48" ht="15" customHeight="1">
      <c r="A111" s="529" t="s">
        <v>117</v>
      </c>
      <c r="B111" s="532" t="s">
        <v>118</v>
      </c>
      <c r="C111" s="531" t="s">
        <v>275</v>
      </c>
      <c r="D111" s="646">
        <f t="shared" si="43"/>
        <v>4.6310278868418403E-2</v>
      </c>
      <c r="E111" s="647">
        <f t="shared" si="32"/>
        <v>6.1546036435253568E-2</v>
      </c>
      <c r="F111" s="647">
        <f t="shared" si="33"/>
        <v>6.3152709359605916E-2</v>
      </c>
      <c r="G111" s="647">
        <f t="shared" si="23"/>
        <v>5.4840294840294838E-2</v>
      </c>
      <c r="H111" s="647">
        <f t="shared" si="24"/>
        <v>5.6498264558426534E-2</v>
      </c>
      <c r="I111" s="647">
        <f t="shared" si="25"/>
        <v>4.5607945231896638E-2</v>
      </c>
      <c r="J111" s="647">
        <f t="shared" si="26"/>
        <v>4.596497906357061E-2</v>
      </c>
      <c r="K111" s="647">
        <f t="shared" si="27"/>
        <v>5.9436619718309859E-2</v>
      </c>
      <c r="L111" s="647">
        <f t="shared" si="28"/>
        <v>0.10320973990038738</v>
      </c>
      <c r="M111" s="647">
        <f t="shared" si="29"/>
        <v>0.10715287517531556</v>
      </c>
      <c r="N111" s="648">
        <f t="shared" si="30"/>
        <v>0.10603359294360515</v>
      </c>
      <c r="O111" s="639"/>
      <c r="P111" s="610">
        <v>9933</v>
      </c>
      <c r="Q111" s="611">
        <v>460</v>
      </c>
      <c r="R111" s="637">
        <f t="shared" si="22"/>
        <v>4.6310278868418403E-2</v>
      </c>
      <c r="S111" s="633">
        <v>10155</v>
      </c>
      <c r="T111" s="634">
        <v>625</v>
      </c>
      <c r="U111" s="638">
        <f t="shared" si="34"/>
        <v>6.1546036435253568E-2</v>
      </c>
      <c r="V111" s="633">
        <v>10150</v>
      </c>
      <c r="W111" s="634">
        <v>641</v>
      </c>
      <c r="X111" s="638">
        <f t="shared" si="35"/>
        <v>6.3152709359605916E-2</v>
      </c>
      <c r="Y111" s="633">
        <v>10175</v>
      </c>
      <c r="Z111" s="634">
        <v>558</v>
      </c>
      <c r="AA111" s="635">
        <f t="shared" si="36"/>
        <v>5.4840294840294838E-2</v>
      </c>
      <c r="AB111" s="633">
        <v>10372</v>
      </c>
      <c r="AC111" s="634">
        <v>586</v>
      </c>
      <c r="AD111" s="635">
        <f t="shared" si="37"/>
        <v>5.6498264558426534E-2</v>
      </c>
      <c r="AE111" s="633">
        <v>10371</v>
      </c>
      <c r="AF111" s="634">
        <v>473</v>
      </c>
      <c r="AG111" s="635">
        <f t="shared" si="38"/>
        <v>4.5607945231896638E-2</v>
      </c>
      <c r="AH111" s="610">
        <v>10508</v>
      </c>
      <c r="AI111" s="611">
        <v>483</v>
      </c>
      <c r="AJ111" s="622">
        <f t="shared" si="39"/>
        <v>4.596497906357061E-2</v>
      </c>
      <c r="AK111" s="633">
        <v>10650</v>
      </c>
      <c r="AL111" s="634">
        <v>633</v>
      </c>
      <c r="AM111" s="635">
        <f t="shared" si="40"/>
        <v>5.9436619718309859E-2</v>
      </c>
      <c r="AN111" s="630">
        <v>10842</v>
      </c>
      <c r="AO111" s="611">
        <v>1119</v>
      </c>
      <c r="AP111" s="619">
        <f t="shared" si="41"/>
        <v>0.10320973990038738</v>
      </c>
      <c r="AQ111" s="610">
        <v>10695</v>
      </c>
      <c r="AR111" s="611">
        <v>1146</v>
      </c>
      <c r="AS111" s="622">
        <f t="shared" si="42"/>
        <v>0.10715287517531556</v>
      </c>
      <c r="AT111" s="620">
        <v>10657</v>
      </c>
      <c r="AU111" s="612">
        <v>1130</v>
      </c>
      <c r="AV111" s="613">
        <f t="shared" si="31"/>
        <v>0.10603359294360515</v>
      </c>
    </row>
    <row r="112" spans="1:48" ht="15" customHeight="1">
      <c r="A112" s="529" t="s">
        <v>139</v>
      </c>
      <c r="B112" s="532" t="s">
        <v>140</v>
      </c>
      <c r="C112" s="531" t="s">
        <v>273</v>
      </c>
      <c r="D112" s="646">
        <f t="shared" si="43"/>
        <v>4.1346089516290895E-2</v>
      </c>
      <c r="E112" s="647">
        <f t="shared" si="32"/>
        <v>5.8576444721556785E-2</v>
      </c>
      <c r="F112" s="647">
        <f t="shared" si="33"/>
        <v>5.5768179332968834E-2</v>
      </c>
      <c r="G112" s="647">
        <f t="shared" si="23"/>
        <v>5.013676588897828E-2</v>
      </c>
      <c r="H112" s="647">
        <f t="shared" si="24"/>
        <v>4.4820590845695452E-2</v>
      </c>
      <c r="I112" s="647">
        <f t="shared" si="25"/>
        <v>3.5773115773115774E-2</v>
      </c>
      <c r="J112" s="647">
        <f t="shared" si="26"/>
        <v>3.6937442746963742E-2</v>
      </c>
      <c r="K112" s="647">
        <f t="shared" si="27"/>
        <v>4.7572926162260713E-2</v>
      </c>
      <c r="L112" s="647">
        <f t="shared" si="28"/>
        <v>8.0280926142689932E-2</v>
      </c>
      <c r="M112" s="647">
        <f t="shared" si="29"/>
        <v>8.5232594442709961E-2</v>
      </c>
      <c r="N112" s="648">
        <f t="shared" si="30"/>
        <v>8.1532033426183842E-2</v>
      </c>
      <c r="O112" s="639"/>
      <c r="P112" s="610">
        <v>29894</v>
      </c>
      <c r="Q112" s="611">
        <v>1236</v>
      </c>
      <c r="R112" s="637">
        <f t="shared" si="22"/>
        <v>4.1346089516290895E-2</v>
      </c>
      <c r="S112" s="633">
        <v>30473</v>
      </c>
      <c r="T112" s="634">
        <v>1785</v>
      </c>
      <c r="U112" s="638">
        <f t="shared" si="34"/>
        <v>5.8576444721556785E-2</v>
      </c>
      <c r="V112" s="633">
        <v>31093</v>
      </c>
      <c r="W112" s="634">
        <v>1734</v>
      </c>
      <c r="X112" s="638">
        <f t="shared" si="35"/>
        <v>5.5768179332968834E-2</v>
      </c>
      <c r="Y112" s="633">
        <v>31075</v>
      </c>
      <c r="Z112" s="634">
        <v>1558</v>
      </c>
      <c r="AA112" s="635">
        <f t="shared" si="36"/>
        <v>5.013676588897828E-2</v>
      </c>
      <c r="AB112" s="633">
        <v>31548</v>
      </c>
      <c r="AC112" s="634">
        <v>1414</v>
      </c>
      <c r="AD112" s="635">
        <f t="shared" si="37"/>
        <v>4.4820590845695452E-2</v>
      </c>
      <c r="AE112" s="633">
        <v>32175</v>
      </c>
      <c r="AF112" s="634">
        <v>1151</v>
      </c>
      <c r="AG112" s="635">
        <f t="shared" si="38"/>
        <v>3.5773115773115774E-2</v>
      </c>
      <c r="AH112" s="610">
        <v>33841</v>
      </c>
      <c r="AI112" s="611">
        <v>1250</v>
      </c>
      <c r="AJ112" s="622">
        <f t="shared" si="39"/>
        <v>3.6937442746963742E-2</v>
      </c>
      <c r="AK112" s="633">
        <v>35104</v>
      </c>
      <c r="AL112" s="634">
        <v>1670</v>
      </c>
      <c r="AM112" s="635">
        <f t="shared" si="40"/>
        <v>4.7572926162260713E-2</v>
      </c>
      <c r="AN112" s="630">
        <v>35027</v>
      </c>
      <c r="AO112" s="611">
        <v>2812</v>
      </c>
      <c r="AP112" s="619">
        <f t="shared" si="41"/>
        <v>8.0280926142689932E-2</v>
      </c>
      <c r="AQ112" s="610">
        <v>35233</v>
      </c>
      <c r="AR112" s="611">
        <v>3003</v>
      </c>
      <c r="AS112" s="622">
        <f t="shared" si="42"/>
        <v>8.5232594442709961E-2</v>
      </c>
      <c r="AT112" s="620">
        <v>35900</v>
      </c>
      <c r="AU112" s="612">
        <v>2927</v>
      </c>
      <c r="AV112" s="613">
        <f t="shared" si="31"/>
        <v>8.1532033426183842E-2</v>
      </c>
    </row>
    <row r="113" spans="1:48" ht="15" customHeight="1">
      <c r="A113" s="529" t="s">
        <v>143</v>
      </c>
      <c r="B113" s="532" t="s">
        <v>144</v>
      </c>
      <c r="C113" s="531" t="s">
        <v>276</v>
      </c>
      <c r="D113" s="646">
        <f t="shared" si="43"/>
        <v>3.1484794275491952E-2</v>
      </c>
      <c r="E113" s="647">
        <f t="shared" si="32"/>
        <v>4.3036072144288576E-2</v>
      </c>
      <c r="F113" s="647">
        <f t="shared" si="33"/>
        <v>3.4189743077076874E-2</v>
      </c>
      <c r="G113" s="647">
        <f t="shared" si="23"/>
        <v>3.0415466484401698E-2</v>
      </c>
      <c r="H113" s="647">
        <f t="shared" si="24"/>
        <v>2.8273665926855159E-2</v>
      </c>
      <c r="I113" s="647">
        <f t="shared" si="25"/>
        <v>2.5646045418950665E-2</v>
      </c>
      <c r="J113" s="647">
        <f t="shared" si="26"/>
        <v>2.8723511097720197E-2</v>
      </c>
      <c r="K113" s="647">
        <f t="shared" si="27"/>
        <v>4.1967801425509647E-2</v>
      </c>
      <c r="L113" s="647">
        <f t="shared" si="28"/>
        <v>7.2912127814088595E-2</v>
      </c>
      <c r="M113" s="647">
        <f t="shared" si="29"/>
        <v>7.5183315874678608E-2</v>
      </c>
      <c r="N113" s="648">
        <f t="shared" si="30"/>
        <v>6.5044709727202582E-2</v>
      </c>
      <c r="O113" s="639"/>
      <c r="P113" s="610">
        <v>19565</v>
      </c>
      <c r="Q113" s="611">
        <v>616</v>
      </c>
      <c r="R113" s="637">
        <f t="shared" si="22"/>
        <v>3.1484794275491952E-2</v>
      </c>
      <c r="S113" s="633">
        <v>19960</v>
      </c>
      <c r="T113" s="634">
        <v>859</v>
      </c>
      <c r="U113" s="638">
        <f t="shared" si="34"/>
        <v>4.3036072144288576E-2</v>
      </c>
      <c r="V113" s="633">
        <v>20006</v>
      </c>
      <c r="W113" s="634">
        <v>684</v>
      </c>
      <c r="X113" s="638">
        <f t="shared" si="35"/>
        <v>3.4189743077076874E-2</v>
      </c>
      <c r="Y113" s="633">
        <v>20483</v>
      </c>
      <c r="Z113" s="634">
        <v>623</v>
      </c>
      <c r="AA113" s="635">
        <f t="shared" si="36"/>
        <v>3.0415466484401698E-2</v>
      </c>
      <c r="AB113" s="633">
        <v>20726</v>
      </c>
      <c r="AC113" s="634">
        <v>586</v>
      </c>
      <c r="AD113" s="635">
        <f t="shared" si="37"/>
        <v>2.8273665926855159E-2</v>
      </c>
      <c r="AE113" s="633">
        <v>20432</v>
      </c>
      <c r="AF113" s="634">
        <v>524</v>
      </c>
      <c r="AG113" s="635">
        <f t="shared" si="38"/>
        <v>2.5646045418950665E-2</v>
      </c>
      <c r="AH113" s="610">
        <v>19914</v>
      </c>
      <c r="AI113" s="611">
        <v>572</v>
      </c>
      <c r="AJ113" s="622">
        <f t="shared" si="39"/>
        <v>2.8723511097720197E-2</v>
      </c>
      <c r="AK113" s="633">
        <v>20063</v>
      </c>
      <c r="AL113" s="634">
        <v>842</v>
      </c>
      <c r="AM113" s="635">
        <f t="shared" si="40"/>
        <v>4.1967801425509647E-2</v>
      </c>
      <c r="AN113" s="630">
        <v>20655</v>
      </c>
      <c r="AO113" s="611">
        <v>1506</v>
      </c>
      <c r="AP113" s="619">
        <f t="shared" si="41"/>
        <v>7.2912127814088595E-2</v>
      </c>
      <c r="AQ113" s="610">
        <v>21002</v>
      </c>
      <c r="AR113" s="611">
        <v>1579</v>
      </c>
      <c r="AS113" s="622">
        <f t="shared" si="42"/>
        <v>7.5183315874678608E-2</v>
      </c>
      <c r="AT113" s="620">
        <v>22031</v>
      </c>
      <c r="AU113" s="612">
        <v>1433</v>
      </c>
      <c r="AV113" s="613">
        <f t="shared" si="31"/>
        <v>6.5044709727202582E-2</v>
      </c>
    </row>
    <row r="114" spans="1:48" ht="15" customHeight="1">
      <c r="A114" s="529" t="s">
        <v>145</v>
      </c>
      <c r="B114" s="532" t="s">
        <v>146</v>
      </c>
      <c r="C114" s="531" t="s">
        <v>276</v>
      </c>
      <c r="D114" s="646">
        <f t="shared" si="43"/>
        <v>1.8087422542287724E-2</v>
      </c>
      <c r="E114" s="647">
        <f t="shared" si="32"/>
        <v>2.7621567978828979E-2</v>
      </c>
      <c r="F114" s="647">
        <f t="shared" si="33"/>
        <v>2.6459401356044319E-2</v>
      </c>
      <c r="G114" s="647">
        <f t="shared" si="23"/>
        <v>2.6980661260137241E-2</v>
      </c>
      <c r="H114" s="647">
        <f t="shared" si="24"/>
        <v>2.4753227031131361E-2</v>
      </c>
      <c r="I114" s="647">
        <f t="shared" si="25"/>
        <v>2.2618334331935292E-2</v>
      </c>
      <c r="J114" s="647">
        <f t="shared" si="26"/>
        <v>2.4969733656174335E-2</v>
      </c>
      <c r="K114" s="647">
        <f t="shared" si="27"/>
        <v>3.7271767013731701E-2</v>
      </c>
      <c r="L114" s="647">
        <f t="shared" si="28"/>
        <v>6.0458240946045821E-2</v>
      </c>
      <c r="M114" s="647">
        <f t="shared" si="29"/>
        <v>6.1230288393237672E-2</v>
      </c>
      <c r="N114" s="648">
        <f t="shared" si="30"/>
        <v>5.1703738760056794E-2</v>
      </c>
      <c r="O114" s="639"/>
      <c r="P114" s="610">
        <v>5971</v>
      </c>
      <c r="Q114" s="611">
        <v>108</v>
      </c>
      <c r="R114" s="637">
        <f t="shared" si="22"/>
        <v>1.8087422542287724E-2</v>
      </c>
      <c r="S114" s="633">
        <v>6046</v>
      </c>
      <c r="T114" s="634">
        <v>167</v>
      </c>
      <c r="U114" s="638">
        <f t="shared" si="34"/>
        <v>2.7621567978828979E-2</v>
      </c>
      <c r="V114" s="633">
        <v>6047</v>
      </c>
      <c r="W114" s="634">
        <v>160</v>
      </c>
      <c r="X114" s="638">
        <f t="shared" si="35"/>
        <v>2.6459401356044319E-2</v>
      </c>
      <c r="Y114" s="633">
        <v>6412</v>
      </c>
      <c r="Z114" s="634">
        <v>173</v>
      </c>
      <c r="AA114" s="635">
        <f t="shared" si="36"/>
        <v>2.6980661260137241E-2</v>
      </c>
      <c r="AB114" s="633">
        <v>6585</v>
      </c>
      <c r="AC114" s="634">
        <v>163</v>
      </c>
      <c r="AD114" s="635">
        <f t="shared" si="37"/>
        <v>2.4753227031131361E-2</v>
      </c>
      <c r="AE114" s="633">
        <v>6676</v>
      </c>
      <c r="AF114" s="634">
        <v>151</v>
      </c>
      <c r="AG114" s="635">
        <f t="shared" si="38"/>
        <v>2.2618334331935292E-2</v>
      </c>
      <c r="AH114" s="610">
        <v>6608</v>
      </c>
      <c r="AI114" s="611">
        <v>165</v>
      </c>
      <c r="AJ114" s="622">
        <f t="shared" si="39"/>
        <v>2.4969733656174335E-2</v>
      </c>
      <c r="AK114" s="633">
        <v>6627</v>
      </c>
      <c r="AL114" s="634">
        <v>247</v>
      </c>
      <c r="AM114" s="635">
        <f t="shared" si="40"/>
        <v>3.7271767013731701E-2</v>
      </c>
      <c r="AN114" s="630">
        <v>6765</v>
      </c>
      <c r="AO114" s="611">
        <v>409</v>
      </c>
      <c r="AP114" s="619">
        <f t="shared" si="41"/>
        <v>6.0458240946045821E-2</v>
      </c>
      <c r="AQ114" s="610">
        <v>7039</v>
      </c>
      <c r="AR114" s="611">
        <v>431</v>
      </c>
      <c r="AS114" s="622">
        <f t="shared" si="42"/>
        <v>6.1230288393237672E-2</v>
      </c>
      <c r="AT114" s="620">
        <v>8452</v>
      </c>
      <c r="AU114" s="612">
        <v>437</v>
      </c>
      <c r="AV114" s="613">
        <f t="shared" si="31"/>
        <v>5.1703738760056794E-2</v>
      </c>
    </row>
    <row r="115" spans="1:48" ht="15" customHeight="1">
      <c r="A115" s="529" t="s">
        <v>159</v>
      </c>
      <c r="B115" s="532" t="s">
        <v>160</v>
      </c>
      <c r="C115" s="531" t="s">
        <v>272</v>
      </c>
      <c r="D115" s="646">
        <f t="shared" si="43"/>
        <v>3.5431802727175117E-2</v>
      </c>
      <c r="E115" s="647">
        <f t="shared" si="32"/>
        <v>4.5563857109502684E-2</v>
      </c>
      <c r="F115" s="647">
        <f t="shared" si="33"/>
        <v>4.7292310530928548E-2</v>
      </c>
      <c r="G115" s="647">
        <f t="shared" si="23"/>
        <v>4.4352386307563434E-2</v>
      </c>
      <c r="H115" s="647">
        <f t="shared" si="24"/>
        <v>4.4228385141650214E-2</v>
      </c>
      <c r="I115" s="647">
        <f t="shared" si="25"/>
        <v>3.5030381145277116E-2</v>
      </c>
      <c r="J115" s="647">
        <f t="shared" si="26"/>
        <v>3.5163339382940112E-2</v>
      </c>
      <c r="K115" s="647">
        <f t="shared" si="27"/>
        <v>4.6133853151397008E-2</v>
      </c>
      <c r="L115" s="647">
        <f t="shared" si="28"/>
        <v>7.6359519131506209E-2</v>
      </c>
      <c r="M115" s="647">
        <f t="shared" si="29"/>
        <v>7.8407972698532336E-2</v>
      </c>
      <c r="N115" s="648">
        <f t="shared" si="30"/>
        <v>7.8409387790647045E-2</v>
      </c>
      <c r="O115" s="639"/>
      <c r="P115" s="610">
        <v>83823</v>
      </c>
      <c r="Q115" s="611">
        <v>2970</v>
      </c>
      <c r="R115" s="637">
        <f t="shared" si="22"/>
        <v>3.5431802727175117E-2</v>
      </c>
      <c r="S115" s="633">
        <v>85660</v>
      </c>
      <c r="T115" s="634">
        <v>3903</v>
      </c>
      <c r="U115" s="638">
        <f t="shared" si="34"/>
        <v>4.5563857109502684E-2</v>
      </c>
      <c r="V115" s="633">
        <v>86716</v>
      </c>
      <c r="W115" s="634">
        <v>4101</v>
      </c>
      <c r="X115" s="638">
        <f t="shared" si="35"/>
        <v>4.7292310530928548E-2</v>
      </c>
      <c r="Y115" s="633">
        <v>87143</v>
      </c>
      <c r="Z115" s="634">
        <v>3865</v>
      </c>
      <c r="AA115" s="635">
        <f t="shared" si="36"/>
        <v>4.4352386307563434E-2</v>
      </c>
      <c r="AB115" s="633">
        <v>87116</v>
      </c>
      <c r="AC115" s="634">
        <v>3853</v>
      </c>
      <c r="AD115" s="635">
        <f t="shared" si="37"/>
        <v>4.4228385141650214E-2</v>
      </c>
      <c r="AE115" s="633">
        <v>86896</v>
      </c>
      <c r="AF115" s="634">
        <v>3044</v>
      </c>
      <c r="AG115" s="635">
        <f t="shared" si="38"/>
        <v>3.5030381145277116E-2</v>
      </c>
      <c r="AH115" s="610">
        <v>88160</v>
      </c>
      <c r="AI115" s="611">
        <v>3100</v>
      </c>
      <c r="AJ115" s="622">
        <f t="shared" si="39"/>
        <v>3.5163339382940112E-2</v>
      </c>
      <c r="AK115" s="633">
        <v>89262</v>
      </c>
      <c r="AL115" s="634">
        <v>4118</v>
      </c>
      <c r="AM115" s="635">
        <f t="shared" si="40"/>
        <v>4.6133853151397008E-2</v>
      </c>
      <c r="AN115" s="630">
        <v>90087</v>
      </c>
      <c r="AO115" s="611">
        <v>6879</v>
      </c>
      <c r="AP115" s="619">
        <f t="shared" si="41"/>
        <v>7.6359519131506209E-2</v>
      </c>
      <c r="AQ115" s="610">
        <v>95526</v>
      </c>
      <c r="AR115" s="611">
        <v>7490</v>
      </c>
      <c r="AS115" s="622">
        <f t="shared" si="42"/>
        <v>7.8407972698532336E-2</v>
      </c>
      <c r="AT115" s="620">
        <v>91864</v>
      </c>
      <c r="AU115" s="612">
        <v>7203</v>
      </c>
      <c r="AV115" s="613">
        <f t="shared" si="31"/>
        <v>7.8409387790647045E-2</v>
      </c>
    </row>
    <row r="116" spans="1:48" ht="15" customHeight="1">
      <c r="A116" s="529" t="s">
        <v>161</v>
      </c>
      <c r="B116" s="532" t="s">
        <v>162</v>
      </c>
      <c r="C116" s="531" t="s">
        <v>272</v>
      </c>
      <c r="D116" s="646">
        <f t="shared" si="43"/>
        <v>4.2973053131090587E-2</v>
      </c>
      <c r="E116" s="647">
        <f t="shared" si="32"/>
        <v>5.1285173572001179E-2</v>
      </c>
      <c r="F116" s="647">
        <f t="shared" si="33"/>
        <v>5.2688226633497488E-2</v>
      </c>
      <c r="G116" s="647">
        <f t="shared" si="23"/>
        <v>5.0721549047068139E-2</v>
      </c>
      <c r="H116" s="647">
        <f t="shared" si="24"/>
        <v>4.9875800084517787E-2</v>
      </c>
      <c r="I116" s="647">
        <f t="shared" si="25"/>
        <v>4.1755233661333636E-2</v>
      </c>
      <c r="J116" s="647">
        <f t="shared" si="26"/>
        <v>4.0387947344313224E-2</v>
      </c>
      <c r="K116" s="647">
        <f t="shared" si="27"/>
        <v>5.2474373095968169E-2</v>
      </c>
      <c r="L116" s="647">
        <f t="shared" si="28"/>
        <v>8.3782536549922917E-2</v>
      </c>
      <c r="M116" s="647">
        <f t="shared" si="29"/>
        <v>9.2453074950355749E-2</v>
      </c>
      <c r="N116" s="648">
        <f t="shared" si="30"/>
        <v>8.3773000988087029E-2</v>
      </c>
      <c r="O116" s="639"/>
      <c r="P116" s="610">
        <v>94408</v>
      </c>
      <c r="Q116" s="611">
        <v>4057</v>
      </c>
      <c r="R116" s="637">
        <f t="shared" si="22"/>
        <v>4.2973053131090587E-2</v>
      </c>
      <c r="S116" s="633">
        <v>98547</v>
      </c>
      <c r="T116" s="634">
        <v>5054</v>
      </c>
      <c r="U116" s="638">
        <f t="shared" si="34"/>
        <v>5.1285173572001179E-2</v>
      </c>
      <c r="V116" s="633">
        <v>98485</v>
      </c>
      <c r="W116" s="634">
        <v>5189</v>
      </c>
      <c r="X116" s="638">
        <f t="shared" si="35"/>
        <v>5.2688226633497488E-2</v>
      </c>
      <c r="Y116" s="633">
        <v>98538</v>
      </c>
      <c r="Z116" s="634">
        <v>4998</v>
      </c>
      <c r="AA116" s="635">
        <f t="shared" si="36"/>
        <v>5.0721549047068139E-2</v>
      </c>
      <c r="AB116" s="633">
        <v>97021</v>
      </c>
      <c r="AC116" s="634">
        <v>4839</v>
      </c>
      <c r="AD116" s="635">
        <f t="shared" si="37"/>
        <v>4.9875800084517787E-2</v>
      </c>
      <c r="AE116" s="633">
        <v>96443</v>
      </c>
      <c r="AF116" s="634">
        <v>4027</v>
      </c>
      <c r="AG116" s="635">
        <f t="shared" si="38"/>
        <v>4.1755233661333636E-2</v>
      </c>
      <c r="AH116" s="610">
        <v>100426</v>
      </c>
      <c r="AI116" s="611">
        <v>4056</v>
      </c>
      <c r="AJ116" s="622">
        <f t="shared" si="39"/>
        <v>4.0387947344313224E-2</v>
      </c>
      <c r="AK116" s="633">
        <v>100773</v>
      </c>
      <c r="AL116" s="634">
        <v>5288</v>
      </c>
      <c r="AM116" s="635">
        <f t="shared" si="40"/>
        <v>5.2474373095968169E-2</v>
      </c>
      <c r="AN116" s="630">
        <v>101847</v>
      </c>
      <c r="AO116" s="611">
        <v>8533</v>
      </c>
      <c r="AP116" s="619">
        <f t="shared" si="41"/>
        <v>8.3782536549922917E-2</v>
      </c>
      <c r="AQ116" s="610">
        <v>100213</v>
      </c>
      <c r="AR116" s="611">
        <v>9265</v>
      </c>
      <c r="AS116" s="622">
        <f t="shared" si="42"/>
        <v>9.2453074950355749E-2</v>
      </c>
      <c r="AT116" s="620">
        <v>107278</v>
      </c>
      <c r="AU116" s="612">
        <v>8987</v>
      </c>
      <c r="AV116" s="613">
        <f t="shared" si="31"/>
        <v>8.3773000988087029E-2</v>
      </c>
    </row>
    <row r="117" spans="1:48" ht="15" customHeight="1">
      <c r="A117" s="529" t="s">
        <v>167</v>
      </c>
      <c r="B117" s="532" t="s">
        <v>168</v>
      </c>
      <c r="C117" s="531" t="s">
        <v>278</v>
      </c>
      <c r="D117" s="646">
        <f t="shared" si="43"/>
        <v>4.5454545454545456E-2</v>
      </c>
      <c r="E117" s="647">
        <f t="shared" si="32"/>
        <v>4.9087476400251732E-2</v>
      </c>
      <c r="F117" s="647">
        <f t="shared" si="33"/>
        <v>5.3954629061925198E-2</v>
      </c>
      <c r="G117" s="647">
        <f t="shared" si="23"/>
        <v>5.3846153846153849E-2</v>
      </c>
      <c r="H117" s="647">
        <f t="shared" si="24"/>
        <v>5.4616384915474644E-2</v>
      </c>
      <c r="I117" s="647">
        <f t="shared" si="25"/>
        <v>5.1114023591087812E-2</v>
      </c>
      <c r="J117" s="647">
        <f t="shared" si="26"/>
        <v>4.0583386176284084E-2</v>
      </c>
      <c r="K117" s="647">
        <f t="shared" si="27"/>
        <v>5.1883878937615813E-2</v>
      </c>
      <c r="L117" s="647">
        <f t="shared" si="28"/>
        <v>6.6427289048473961E-2</v>
      </c>
      <c r="M117" s="647">
        <f t="shared" si="29"/>
        <v>7.0874861572535988E-2</v>
      </c>
      <c r="N117" s="648">
        <f t="shared" si="30"/>
        <v>6.3304168811116834E-2</v>
      </c>
      <c r="O117" s="639"/>
      <c r="P117" s="610">
        <v>1518</v>
      </c>
      <c r="Q117" s="611">
        <v>69</v>
      </c>
      <c r="R117" s="637">
        <f t="shared" si="22"/>
        <v>4.5454545454545456E-2</v>
      </c>
      <c r="S117" s="633">
        <v>1589</v>
      </c>
      <c r="T117" s="634">
        <v>78</v>
      </c>
      <c r="U117" s="638">
        <f t="shared" si="34"/>
        <v>4.9087476400251732E-2</v>
      </c>
      <c r="V117" s="633">
        <v>1631</v>
      </c>
      <c r="W117" s="634">
        <v>88</v>
      </c>
      <c r="X117" s="638">
        <f t="shared" si="35"/>
        <v>5.3954629061925198E-2</v>
      </c>
      <c r="Y117" s="633">
        <v>1560</v>
      </c>
      <c r="Z117" s="634">
        <v>84</v>
      </c>
      <c r="AA117" s="635">
        <f t="shared" si="36"/>
        <v>5.3846153846153849E-2</v>
      </c>
      <c r="AB117" s="633">
        <v>1538</v>
      </c>
      <c r="AC117" s="634">
        <v>84</v>
      </c>
      <c r="AD117" s="635">
        <f t="shared" si="37"/>
        <v>5.4616384915474644E-2</v>
      </c>
      <c r="AE117" s="633">
        <v>1526</v>
      </c>
      <c r="AF117" s="634">
        <v>78</v>
      </c>
      <c r="AG117" s="635">
        <f t="shared" si="38"/>
        <v>5.1114023591087812E-2</v>
      </c>
      <c r="AH117" s="610">
        <v>1577</v>
      </c>
      <c r="AI117" s="611">
        <v>64</v>
      </c>
      <c r="AJ117" s="622">
        <f t="shared" si="39"/>
        <v>4.0583386176284084E-2</v>
      </c>
      <c r="AK117" s="633">
        <v>1619</v>
      </c>
      <c r="AL117" s="634">
        <v>84</v>
      </c>
      <c r="AM117" s="635">
        <f t="shared" si="40"/>
        <v>5.1883878937615813E-2</v>
      </c>
      <c r="AN117" s="630">
        <v>1671</v>
      </c>
      <c r="AO117" s="611">
        <v>111</v>
      </c>
      <c r="AP117" s="619">
        <f t="shared" si="41"/>
        <v>6.6427289048473961E-2</v>
      </c>
      <c r="AQ117" s="610">
        <v>1806</v>
      </c>
      <c r="AR117" s="611">
        <v>128</v>
      </c>
      <c r="AS117" s="622">
        <f t="shared" si="42"/>
        <v>7.0874861572535988E-2</v>
      </c>
      <c r="AT117" s="620">
        <v>1943</v>
      </c>
      <c r="AU117" s="612">
        <v>123</v>
      </c>
      <c r="AV117" s="613">
        <f t="shared" si="31"/>
        <v>6.3304168811116834E-2</v>
      </c>
    </row>
    <row r="118" spans="1:48" ht="15" customHeight="1">
      <c r="A118" s="529" t="s">
        <v>177</v>
      </c>
      <c r="B118" s="532" t="s">
        <v>178</v>
      </c>
      <c r="C118" s="531" t="s">
        <v>275</v>
      </c>
      <c r="D118" s="646">
        <f t="shared" si="43"/>
        <v>5.5018267784225229E-2</v>
      </c>
      <c r="E118" s="647">
        <f t="shared" si="32"/>
        <v>7.4393607241354923E-2</v>
      </c>
      <c r="F118" s="647">
        <f t="shared" si="33"/>
        <v>8.612975391498881E-2</v>
      </c>
      <c r="G118" s="647">
        <f t="shared" si="23"/>
        <v>7.6287349014621739E-2</v>
      </c>
      <c r="H118" s="647">
        <f t="shared" si="24"/>
        <v>7.2533711852377572E-2</v>
      </c>
      <c r="I118" s="647">
        <f t="shared" si="25"/>
        <v>6.1347061347061346E-2</v>
      </c>
      <c r="J118" s="647">
        <f t="shared" si="26"/>
        <v>6.1710981028281264E-2</v>
      </c>
      <c r="K118" s="647">
        <f t="shared" si="27"/>
        <v>7.2639394788456144E-2</v>
      </c>
      <c r="L118" s="647">
        <f t="shared" si="28"/>
        <v>0.13163051557537672</v>
      </c>
      <c r="M118" s="647">
        <f t="shared" si="29"/>
        <v>0.12822808346532608</v>
      </c>
      <c r="N118" s="648">
        <f t="shared" si="30"/>
        <v>0.12208940786291715</v>
      </c>
      <c r="O118" s="639"/>
      <c r="P118" s="610">
        <v>13959</v>
      </c>
      <c r="Q118" s="611">
        <v>768</v>
      </c>
      <c r="R118" s="637">
        <f t="shared" si="22"/>
        <v>5.5018267784225229E-2</v>
      </c>
      <c r="S118" s="633">
        <v>14141</v>
      </c>
      <c r="T118" s="634">
        <v>1052</v>
      </c>
      <c r="U118" s="638">
        <f t="shared" si="34"/>
        <v>7.4393607241354923E-2</v>
      </c>
      <c r="V118" s="633">
        <v>14304</v>
      </c>
      <c r="W118" s="634">
        <v>1232</v>
      </c>
      <c r="X118" s="638">
        <f t="shared" si="35"/>
        <v>8.612975391498881E-2</v>
      </c>
      <c r="Y118" s="633">
        <v>14157</v>
      </c>
      <c r="Z118" s="634">
        <v>1080</v>
      </c>
      <c r="AA118" s="635">
        <f t="shared" si="36"/>
        <v>7.6287349014621739E-2</v>
      </c>
      <c r="AB118" s="633">
        <v>14090</v>
      </c>
      <c r="AC118" s="634">
        <v>1022</v>
      </c>
      <c r="AD118" s="635">
        <f t="shared" si="37"/>
        <v>7.2533711852377572E-2</v>
      </c>
      <c r="AE118" s="633">
        <v>13986</v>
      </c>
      <c r="AF118" s="634">
        <v>858</v>
      </c>
      <c r="AG118" s="635">
        <f t="shared" si="38"/>
        <v>6.1347061347061346E-2</v>
      </c>
      <c r="AH118" s="610">
        <v>14179</v>
      </c>
      <c r="AI118" s="611">
        <v>875</v>
      </c>
      <c r="AJ118" s="622">
        <f t="shared" si="39"/>
        <v>6.1710981028281264E-2</v>
      </c>
      <c r="AK118" s="633">
        <v>14276</v>
      </c>
      <c r="AL118" s="634">
        <v>1037</v>
      </c>
      <c r="AM118" s="635">
        <f t="shared" si="40"/>
        <v>7.2639394788456144E-2</v>
      </c>
      <c r="AN118" s="630">
        <v>14799</v>
      </c>
      <c r="AO118" s="611">
        <v>1948</v>
      </c>
      <c r="AP118" s="619">
        <f t="shared" si="41"/>
        <v>0.13163051557537672</v>
      </c>
      <c r="AQ118" s="610">
        <v>14521</v>
      </c>
      <c r="AR118" s="611">
        <v>1862</v>
      </c>
      <c r="AS118" s="622">
        <f t="shared" si="42"/>
        <v>0.12822808346532608</v>
      </c>
      <c r="AT118" s="620">
        <v>14473</v>
      </c>
      <c r="AU118" s="612">
        <v>1767</v>
      </c>
      <c r="AV118" s="613">
        <f t="shared" si="31"/>
        <v>0.12208940786291715</v>
      </c>
    </row>
    <row r="119" spans="1:48" ht="15" customHeight="1">
      <c r="A119" s="529" t="s">
        <v>181</v>
      </c>
      <c r="B119" s="532" t="s">
        <v>182</v>
      </c>
      <c r="C119" s="531" t="s">
        <v>272</v>
      </c>
      <c r="D119" s="646">
        <f t="shared" si="43"/>
        <v>4.3849329919498074E-2</v>
      </c>
      <c r="E119" s="647">
        <f t="shared" si="32"/>
        <v>5.2750941171134394E-2</v>
      </c>
      <c r="F119" s="647">
        <f t="shared" si="33"/>
        <v>5.3983002832861192E-2</v>
      </c>
      <c r="G119" s="647">
        <f t="shared" si="23"/>
        <v>5.3727106845982295E-2</v>
      </c>
      <c r="H119" s="647">
        <f t="shared" si="24"/>
        <v>5.280491578621635E-2</v>
      </c>
      <c r="I119" s="647">
        <f t="shared" si="25"/>
        <v>4.3226603654967589E-2</v>
      </c>
      <c r="J119" s="647">
        <f t="shared" si="26"/>
        <v>4.1309230933789708E-2</v>
      </c>
      <c r="K119" s="647">
        <f t="shared" si="27"/>
        <v>5.1282603081690623E-2</v>
      </c>
      <c r="L119" s="647">
        <f t="shared" si="28"/>
        <v>8.3320921721738758E-2</v>
      </c>
      <c r="M119" s="647">
        <f t="shared" si="29"/>
        <v>9.1161246642059976E-2</v>
      </c>
      <c r="N119" s="648">
        <f t="shared" si="30"/>
        <v>8.6515235457063716E-2</v>
      </c>
      <c r="O119" s="639"/>
      <c r="P119" s="610">
        <v>43353</v>
      </c>
      <c r="Q119" s="611">
        <v>1901</v>
      </c>
      <c r="R119" s="637">
        <f t="shared" si="22"/>
        <v>4.3849329919498074E-2</v>
      </c>
      <c r="S119" s="633">
        <v>44094</v>
      </c>
      <c r="T119" s="634">
        <v>2326</v>
      </c>
      <c r="U119" s="638">
        <f t="shared" si="34"/>
        <v>5.2750941171134394E-2</v>
      </c>
      <c r="V119" s="633">
        <v>44125</v>
      </c>
      <c r="W119" s="634">
        <v>2382</v>
      </c>
      <c r="X119" s="638">
        <f t="shared" si="35"/>
        <v>5.3983002832861192E-2</v>
      </c>
      <c r="Y119" s="633">
        <v>44391</v>
      </c>
      <c r="Z119" s="634">
        <v>2385</v>
      </c>
      <c r="AA119" s="635">
        <f t="shared" si="36"/>
        <v>5.3727106845982295E-2</v>
      </c>
      <c r="AB119" s="633">
        <v>45242</v>
      </c>
      <c r="AC119" s="634">
        <v>2389</v>
      </c>
      <c r="AD119" s="635">
        <f t="shared" si="37"/>
        <v>5.280491578621635E-2</v>
      </c>
      <c r="AE119" s="633">
        <v>46129</v>
      </c>
      <c r="AF119" s="634">
        <v>1994</v>
      </c>
      <c r="AG119" s="635">
        <f t="shared" si="38"/>
        <v>4.3226603654967589E-2</v>
      </c>
      <c r="AH119" s="610">
        <v>46745</v>
      </c>
      <c r="AI119" s="611">
        <v>1931</v>
      </c>
      <c r="AJ119" s="622">
        <f t="shared" si="39"/>
        <v>4.1309230933789708E-2</v>
      </c>
      <c r="AK119" s="633">
        <v>46468</v>
      </c>
      <c r="AL119" s="634">
        <v>2383</v>
      </c>
      <c r="AM119" s="635">
        <f t="shared" si="40"/>
        <v>5.1282603081690623E-2</v>
      </c>
      <c r="AN119" s="630">
        <v>46999</v>
      </c>
      <c r="AO119" s="611">
        <v>3916</v>
      </c>
      <c r="AP119" s="619">
        <f t="shared" si="41"/>
        <v>8.3320921721738758E-2</v>
      </c>
      <c r="AQ119" s="610">
        <v>45787</v>
      </c>
      <c r="AR119" s="611">
        <v>4174</v>
      </c>
      <c r="AS119" s="622">
        <f t="shared" si="42"/>
        <v>9.1161246642059976E-2</v>
      </c>
      <c r="AT119" s="620">
        <v>45125</v>
      </c>
      <c r="AU119" s="612">
        <v>3904</v>
      </c>
      <c r="AV119" s="613">
        <f t="shared" si="31"/>
        <v>8.6515235457063716E-2</v>
      </c>
    </row>
    <row r="120" spans="1:48" ht="15" customHeight="1">
      <c r="A120" s="529" t="s">
        <v>193</v>
      </c>
      <c r="B120" s="532" t="s">
        <v>194</v>
      </c>
      <c r="C120" s="531" t="s">
        <v>278</v>
      </c>
      <c r="D120" s="646">
        <f t="shared" si="43"/>
        <v>4.1301120259144286E-2</v>
      </c>
      <c r="E120" s="647">
        <f t="shared" si="32"/>
        <v>5.2076288380900851E-2</v>
      </c>
      <c r="F120" s="647">
        <f t="shared" si="33"/>
        <v>5.2177430227854926E-2</v>
      </c>
      <c r="G120" s="647">
        <f t="shared" si="23"/>
        <v>5.1564625850340134E-2</v>
      </c>
      <c r="H120" s="647">
        <f t="shared" si="24"/>
        <v>4.4538851582842265E-2</v>
      </c>
      <c r="I120" s="647">
        <f t="shared" si="25"/>
        <v>3.7285812200137082E-2</v>
      </c>
      <c r="J120" s="647">
        <f t="shared" si="26"/>
        <v>3.9825841977205789E-2</v>
      </c>
      <c r="K120" s="647">
        <f t="shared" si="27"/>
        <v>5.2822631117786956E-2</v>
      </c>
      <c r="L120" s="647">
        <f t="shared" si="28"/>
        <v>8.7920206871074991E-2</v>
      </c>
      <c r="M120" s="647">
        <f t="shared" si="29"/>
        <v>9.4207431502564748E-2</v>
      </c>
      <c r="N120" s="648">
        <f t="shared" si="30"/>
        <v>8.1292026897214223E-2</v>
      </c>
      <c r="O120" s="639"/>
      <c r="P120" s="610">
        <v>7409</v>
      </c>
      <c r="Q120" s="611">
        <v>306</v>
      </c>
      <c r="R120" s="637">
        <f t="shared" si="22"/>
        <v>4.1301120259144286E-2</v>
      </c>
      <c r="S120" s="633">
        <v>7393</v>
      </c>
      <c r="T120" s="634">
        <v>385</v>
      </c>
      <c r="U120" s="638">
        <f t="shared" si="34"/>
        <v>5.2076288380900851E-2</v>
      </c>
      <c r="V120" s="633">
        <v>7417</v>
      </c>
      <c r="W120" s="634">
        <v>387</v>
      </c>
      <c r="X120" s="638">
        <f t="shared" si="35"/>
        <v>5.2177430227854926E-2</v>
      </c>
      <c r="Y120" s="633">
        <v>7350</v>
      </c>
      <c r="Z120" s="634">
        <v>379</v>
      </c>
      <c r="AA120" s="635">
        <f t="shared" si="36"/>
        <v>5.1564625850340134E-2</v>
      </c>
      <c r="AB120" s="633">
        <v>7297</v>
      </c>
      <c r="AC120" s="634">
        <v>325</v>
      </c>
      <c r="AD120" s="635">
        <f t="shared" si="37"/>
        <v>4.4538851582842265E-2</v>
      </c>
      <c r="AE120" s="633">
        <v>7295</v>
      </c>
      <c r="AF120" s="634">
        <v>272</v>
      </c>
      <c r="AG120" s="635">
        <f t="shared" si="38"/>
        <v>3.7285812200137082E-2</v>
      </c>
      <c r="AH120" s="610">
        <v>7809</v>
      </c>
      <c r="AI120" s="611">
        <v>311</v>
      </c>
      <c r="AJ120" s="622">
        <f t="shared" si="39"/>
        <v>3.9825841977205789E-2</v>
      </c>
      <c r="AK120" s="633">
        <v>7989</v>
      </c>
      <c r="AL120" s="634">
        <v>422</v>
      </c>
      <c r="AM120" s="635">
        <f t="shared" si="40"/>
        <v>5.2822631117786956E-2</v>
      </c>
      <c r="AN120" s="630">
        <v>8121</v>
      </c>
      <c r="AO120" s="611">
        <v>714</v>
      </c>
      <c r="AP120" s="619">
        <f t="shared" si="41"/>
        <v>8.7920206871074991E-2</v>
      </c>
      <c r="AQ120" s="610">
        <v>7993</v>
      </c>
      <c r="AR120" s="611">
        <v>753</v>
      </c>
      <c r="AS120" s="622">
        <f t="shared" si="42"/>
        <v>9.4207431502564748E-2</v>
      </c>
      <c r="AT120" s="620">
        <v>8328</v>
      </c>
      <c r="AU120" s="612">
        <v>677</v>
      </c>
      <c r="AV120" s="613">
        <f t="shared" si="31"/>
        <v>8.1292026897214223E-2</v>
      </c>
    </row>
    <row r="121" spans="1:48" ht="15" customHeight="1">
      <c r="A121" s="529" t="s">
        <v>197</v>
      </c>
      <c r="B121" s="532" t="s">
        <v>391</v>
      </c>
      <c r="C121" s="531" t="s">
        <v>275</v>
      </c>
      <c r="D121" s="646">
        <f t="shared" si="43"/>
        <v>4.1526679326391355E-2</v>
      </c>
      <c r="E121" s="647">
        <f t="shared" si="32"/>
        <v>5.7102992093431865E-2</v>
      </c>
      <c r="F121" s="647">
        <f t="shared" si="33"/>
        <v>5.7610005401587235E-2</v>
      </c>
      <c r="G121" s="647">
        <f t="shared" si="23"/>
        <v>5.5918015952867474E-2</v>
      </c>
      <c r="H121" s="647">
        <f t="shared" si="24"/>
        <v>5.2488537582207839E-2</v>
      </c>
      <c r="I121" s="647">
        <f t="shared" si="25"/>
        <v>4.5336854911665919E-2</v>
      </c>
      <c r="J121" s="647">
        <f t="shared" si="26"/>
        <v>4.3154627369436156E-2</v>
      </c>
      <c r="K121" s="647">
        <f t="shared" si="27"/>
        <v>5.748622243254168E-2</v>
      </c>
      <c r="L121" s="647">
        <f t="shared" si="28"/>
        <v>9.5360648865752254E-2</v>
      </c>
      <c r="M121" s="647">
        <f t="shared" si="29"/>
        <v>0.10108257559531922</v>
      </c>
      <c r="N121" s="648">
        <f t="shared" si="30"/>
        <v>9.3355526477832518E-2</v>
      </c>
      <c r="O121" s="639"/>
      <c r="P121" s="610">
        <v>95842</v>
      </c>
      <c r="Q121" s="611">
        <v>3980</v>
      </c>
      <c r="R121" s="637">
        <f t="shared" si="22"/>
        <v>4.1526679326391355E-2</v>
      </c>
      <c r="S121" s="633">
        <v>96755</v>
      </c>
      <c r="T121" s="634">
        <v>5525</v>
      </c>
      <c r="U121" s="638">
        <f t="shared" si="34"/>
        <v>5.7102992093431865E-2</v>
      </c>
      <c r="V121" s="633">
        <v>96268</v>
      </c>
      <c r="W121" s="634">
        <v>5546</v>
      </c>
      <c r="X121" s="638">
        <f t="shared" si="35"/>
        <v>5.7610005401587235E-2</v>
      </c>
      <c r="Y121" s="633">
        <v>96409</v>
      </c>
      <c r="Z121" s="634">
        <v>5391</v>
      </c>
      <c r="AA121" s="635">
        <f t="shared" si="36"/>
        <v>5.5918015952867474E-2</v>
      </c>
      <c r="AB121" s="633">
        <v>96402</v>
      </c>
      <c r="AC121" s="634">
        <v>5060</v>
      </c>
      <c r="AD121" s="635">
        <f t="shared" si="37"/>
        <v>5.2488537582207839E-2</v>
      </c>
      <c r="AE121" s="633">
        <v>96169</v>
      </c>
      <c r="AF121" s="634">
        <v>4360</v>
      </c>
      <c r="AG121" s="635">
        <f t="shared" si="38"/>
        <v>4.5336854911665919E-2</v>
      </c>
      <c r="AH121" s="610">
        <v>99549</v>
      </c>
      <c r="AI121" s="611">
        <v>4296</v>
      </c>
      <c r="AJ121" s="622">
        <f t="shared" si="39"/>
        <v>4.3154627369436156E-2</v>
      </c>
      <c r="AK121" s="633">
        <v>101433</v>
      </c>
      <c r="AL121" s="634">
        <v>5831</v>
      </c>
      <c r="AM121" s="635">
        <f t="shared" si="40"/>
        <v>5.748622243254168E-2</v>
      </c>
      <c r="AN121" s="630">
        <v>102579</v>
      </c>
      <c r="AO121" s="611">
        <v>9782</v>
      </c>
      <c r="AP121" s="619">
        <f t="shared" si="41"/>
        <v>9.5360648865752254E-2</v>
      </c>
      <c r="AQ121" s="610">
        <v>102718</v>
      </c>
      <c r="AR121" s="611">
        <v>10383</v>
      </c>
      <c r="AS121" s="622">
        <f t="shared" si="42"/>
        <v>0.10108257559531922</v>
      </c>
      <c r="AT121" s="620">
        <v>103936</v>
      </c>
      <c r="AU121" s="612">
        <v>9703</v>
      </c>
      <c r="AV121" s="613">
        <f t="shared" si="31"/>
        <v>9.3355526477832518E-2</v>
      </c>
    </row>
    <row r="122" spans="1:48" ht="15" customHeight="1">
      <c r="A122" s="529" t="s">
        <v>201</v>
      </c>
      <c r="B122" s="532" t="s">
        <v>392</v>
      </c>
      <c r="C122" s="531" t="s">
        <v>273</v>
      </c>
      <c r="D122" s="646">
        <f t="shared" si="43"/>
        <v>3.5177806660558669E-2</v>
      </c>
      <c r="E122" s="647">
        <f t="shared" si="32"/>
        <v>4.9447648015546124E-2</v>
      </c>
      <c r="F122" s="647">
        <f t="shared" si="33"/>
        <v>5.1631610837012031E-2</v>
      </c>
      <c r="G122" s="647">
        <f t="shared" si="23"/>
        <v>4.4974011100343582E-2</v>
      </c>
      <c r="H122" s="647">
        <f t="shared" si="24"/>
        <v>4.1391091060400335E-2</v>
      </c>
      <c r="I122" s="647">
        <f t="shared" si="25"/>
        <v>3.6760695507995725E-2</v>
      </c>
      <c r="J122" s="647">
        <f t="shared" si="26"/>
        <v>3.7075975711802947E-2</v>
      </c>
      <c r="K122" s="647">
        <f t="shared" si="27"/>
        <v>4.517528008673654E-2</v>
      </c>
      <c r="L122" s="647">
        <f t="shared" si="28"/>
        <v>8.6023990084658525E-2</v>
      </c>
      <c r="M122" s="647">
        <f t="shared" si="29"/>
        <v>8.8157040202794718E-2</v>
      </c>
      <c r="N122" s="648">
        <f t="shared" si="30"/>
        <v>8.193585151416477E-2</v>
      </c>
      <c r="O122" s="639"/>
      <c r="P122" s="610">
        <v>46933</v>
      </c>
      <c r="Q122" s="611">
        <v>1651</v>
      </c>
      <c r="R122" s="637">
        <f t="shared" si="22"/>
        <v>3.5177806660558669E-2</v>
      </c>
      <c r="S122" s="633">
        <v>47343</v>
      </c>
      <c r="T122" s="634">
        <v>2341</v>
      </c>
      <c r="U122" s="638">
        <f t="shared" si="34"/>
        <v>4.9447648015546124E-2</v>
      </c>
      <c r="V122" s="633">
        <v>46212</v>
      </c>
      <c r="W122" s="634">
        <v>2386</v>
      </c>
      <c r="X122" s="638">
        <f t="shared" si="35"/>
        <v>5.1631610837012031E-2</v>
      </c>
      <c r="Y122" s="633">
        <v>45404</v>
      </c>
      <c r="Z122" s="634">
        <v>2042</v>
      </c>
      <c r="AA122" s="635">
        <f t="shared" si="36"/>
        <v>4.4974011100343582E-2</v>
      </c>
      <c r="AB122" s="633">
        <v>45662</v>
      </c>
      <c r="AC122" s="634">
        <v>1890</v>
      </c>
      <c r="AD122" s="635">
        <f t="shared" si="37"/>
        <v>4.1391091060400335E-2</v>
      </c>
      <c r="AE122" s="633">
        <v>45837</v>
      </c>
      <c r="AF122" s="634">
        <v>1685</v>
      </c>
      <c r="AG122" s="635">
        <f t="shared" si="38"/>
        <v>3.6760695507995725E-2</v>
      </c>
      <c r="AH122" s="610">
        <v>46607</v>
      </c>
      <c r="AI122" s="611">
        <v>1728</v>
      </c>
      <c r="AJ122" s="622">
        <f t="shared" si="39"/>
        <v>3.7075975711802947E-2</v>
      </c>
      <c r="AK122" s="633">
        <v>47039</v>
      </c>
      <c r="AL122" s="634">
        <v>2125</v>
      </c>
      <c r="AM122" s="635">
        <f t="shared" si="40"/>
        <v>4.517528008673654E-2</v>
      </c>
      <c r="AN122" s="630">
        <v>47603</v>
      </c>
      <c r="AO122" s="611">
        <v>4095</v>
      </c>
      <c r="AP122" s="619">
        <f t="shared" si="41"/>
        <v>8.6023990084658525E-2</v>
      </c>
      <c r="AQ122" s="610">
        <v>47733</v>
      </c>
      <c r="AR122" s="611">
        <v>4208</v>
      </c>
      <c r="AS122" s="622">
        <f t="shared" si="42"/>
        <v>8.8157040202794718E-2</v>
      </c>
      <c r="AT122" s="620">
        <v>49136</v>
      </c>
      <c r="AU122" s="612">
        <v>4026</v>
      </c>
      <c r="AV122" s="613">
        <f t="shared" si="31"/>
        <v>8.193585151416477E-2</v>
      </c>
    </row>
    <row r="123" spans="1:48" ht="15" customHeight="1">
      <c r="A123" s="529" t="s">
        <v>223</v>
      </c>
      <c r="B123" s="532" t="s">
        <v>224</v>
      </c>
      <c r="C123" s="531" t="s">
        <v>272</v>
      </c>
      <c r="D123" s="646">
        <f t="shared" si="43"/>
        <v>3.1067961165048542E-2</v>
      </c>
      <c r="E123" s="647">
        <f>+U123</f>
        <v>4.2940715276521317E-2</v>
      </c>
      <c r="F123" s="647">
        <f>+X123</f>
        <v>4.2953902432053957E-2</v>
      </c>
      <c r="G123" s="647">
        <f>+AA123</f>
        <v>4.0826929913314554E-2</v>
      </c>
      <c r="H123" s="647">
        <f>+AD123</f>
        <v>3.9047144841321837E-2</v>
      </c>
      <c r="I123" s="647">
        <f>+AG123</f>
        <v>3.4172299001311413E-2</v>
      </c>
      <c r="J123" s="647">
        <f>+AJ123</f>
        <v>3.2367547603004664E-2</v>
      </c>
      <c r="K123" s="647">
        <f>+AM123</f>
        <v>4.0692407511691113E-2</v>
      </c>
      <c r="L123" s="647">
        <f>+AP123</f>
        <v>6.6302518959252849E-2</v>
      </c>
      <c r="M123" s="647">
        <f>+AS123</f>
        <v>7.7090697787032106E-2</v>
      </c>
      <c r="N123" s="648">
        <f t="shared" si="30"/>
        <v>7.1360253808290766E-2</v>
      </c>
      <c r="O123" s="639"/>
      <c r="P123" s="610">
        <v>30900</v>
      </c>
      <c r="Q123" s="611">
        <v>960</v>
      </c>
      <c r="R123" s="637">
        <f>+Q123/P123</f>
        <v>3.1067961165048542E-2</v>
      </c>
      <c r="S123" s="633">
        <v>33162</v>
      </c>
      <c r="T123" s="634">
        <v>1424</v>
      </c>
      <c r="U123" s="638">
        <f>+T123/S123</f>
        <v>4.2940715276521317E-2</v>
      </c>
      <c r="V123" s="633">
        <v>34991</v>
      </c>
      <c r="W123" s="634">
        <v>1503</v>
      </c>
      <c r="X123" s="638">
        <f>+W123/V123</f>
        <v>4.2953902432053957E-2</v>
      </c>
      <c r="Y123" s="633">
        <v>36569</v>
      </c>
      <c r="Z123" s="634">
        <v>1493</v>
      </c>
      <c r="AA123" s="635">
        <f>+Z123/Y123</f>
        <v>4.0826929913314554E-2</v>
      </c>
      <c r="AB123" s="633">
        <v>38159</v>
      </c>
      <c r="AC123" s="634">
        <v>1490</v>
      </c>
      <c r="AD123" s="635">
        <f>+AC123/AB123</f>
        <v>3.9047144841321837E-2</v>
      </c>
      <c r="AE123" s="633">
        <v>39652</v>
      </c>
      <c r="AF123" s="634">
        <v>1355</v>
      </c>
      <c r="AG123" s="635">
        <f>+AF123/AE123</f>
        <v>3.4172299001311413E-2</v>
      </c>
      <c r="AH123" s="610">
        <v>40071</v>
      </c>
      <c r="AI123" s="611">
        <v>1297</v>
      </c>
      <c r="AJ123" s="622">
        <f>+AI123/AH123</f>
        <v>3.2367547603004664E-2</v>
      </c>
      <c r="AK123" s="633">
        <v>40843</v>
      </c>
      <c r="AL123" s="634">
        <v>1662</v>
      </c>
      <c r="AM123" s="635">
        <f>+AL123/AK123</f>
        <v>4.0692407511691113E-2</v>
      </c>
      <c r="AN123" s="630">
        <v>41009</v>
      </c>
      <c r="AO123" s="611">
        <v>2719</v>
      </c>
      <c r="AP123" s="619">
        <f>+AO123/AN123</f>
        <v>6.6302518959252849E-2</v>
      </c>
      <c r="AQ123" s="610">
        <v>41302</v>
      </c>
      <c r="AR123" s="611">
        <v>3184</v>
      </c>
      <c r="AS123" s="622">
        <f>+AR123/AQ123</f>
        <v>7.7090697787032106E-2</v>
      </c>
      <c r="AT123" s="620">
        <v>42867</v>
      </c>
      <c r="AU123" s="612">
        <v>3059</v>
      </c>
      <c r="AV123" s="613">
        <f t="shared" si="31"/>
        <v>7.1360253808290766E-2</v>
      </c>
    </row>
    <row r="124" spans="1:48" ht="15" customHeight="1">
      <c r="A124" s="529" t="s">
        <v>231</v>
      </c>
      <c r="B124" s="532" t="s">
        <v>232</v>
      </c>
      <c r="C124" s="531" t="s">
        <v>272</v>
      </c>
      <c r="D124" s="646">
        <f>+R124</f>
        <v>2.8993111870098648E-2</v>
      </c>
      <c r="E124" s="647">
        <f>+U124</f>
        <v>3.5467989464769333E-2</v>
      </c>
      <c r="F124" s="647">
        <f>+X124</f>
        <v>3.6399811124405754E-2</v>
      </c>
      <c r="G124" s="647">
        <f>+AA124</f>
        <v>3.4220118106840849E-2</v>
      </c>
      <c r="H124" s="647">
        <f>+AD124</f>
        <v>3.2903028338914696E-2</v>
      </c>
      <c r="I124" s="647">
        <f>+AG124</f>
        <v>2.8651884085221447E-2</v>
      </c>
      <c r="J124" s="647">
        <f>+AJ124</f>
        <v>2.707180106078352E-2</v>
      </c>
      <c r="K124" s="647">
        <f>+AM124</f>
        <v>3.6145165506577287E-2</v>
      </c>
      <c r="L124" s="647">
        <f>+AP124</f>
        <v>5.9317796666415935E-2</v>
      </c>
      <c r="M124" s="647">
        <f>+AS124</f>
        <v>6.3616598922393422E-2</v>
      </c>
      <c r="N124" s="648">
        <f t="shared" si="30"/>
        <v>5.967241222544066E-2</v>
      </c>
      <c r="O124" s="639"/>
      <c r="P124" s="610">
        <v>209636</v>
      </c>
      <c r="Q124" s="611">
        <v>6078</v>
      </c>
      <c r="R124" s="637">
        <f>+Q124/P124</f>
        <v>2.8993111870098648E-2</v>
      </c>
      <c r="S124" s="633">
        <v>214898</v>
      </c>
      <c r="T124" s="634">
        <v>7622</v>
      </c>
      <c r="U124" s="638">
        <f>+T124/S124</f>
        <v>3.5467989464769333E-2</v>
      </c>
      <c r="V124" s="633">
        <v>218133</v>
      </c>
      <c r="W124" s="634">
        <v>7940</v>
      </c>
      <c r="X124" s="638">
        <f>+W124/V124</f>
        <v>3.6399811124405754E-2</v>
      </c>
      <c r="Y124" s="633">
        <v>220309</v>
      </c>
      <c r="Z124" s="634">
        <v>7539</v>
      </c>
      <c r="AA124" s="635">
        <f>+Z124/Y124</f>
        <v>3.4220118106840849E-2</v>
      </c>
      <c r="AB124" s="633">
        <v>222168</v>
      </c>
      <c r="AC124" s="634">
        <v>7310</v>
      </c>
      <c r="AD124" s="635">
        <f>+AC124/AB124</f>
        <v>3.2903028338914696E-2</v>
      </c>
      <c r="AE124" s="633">
        <v>223371</v>
      </c>
      <c r="AF124" s="634">
        <v>6400</v>
      </c>
      <c r="AG124" s="635">
        <f>+AF124/AE124</f>
        <v>2.8651884085221447E-2</v>
      </c>
      <c r="AH124" s="610">
        <v>224551</v>
      </c>
      <c r="AI124" s="611">
        <v>6079</v>
      </c>
      <c r="AJ124" s="622">
        <f>+AI124/AH124</f>
        <v>2.707180106078352E-2</v>
      </c>
      <c r="AK124" s="633">
        <v>225701</v>
      </c>
      <c r="AL124" s="634">
        <v>8158</v>
      </c>
      <c r="AM124" s="635">
        <f>+AL124/AK124</f>
        <v>3.6145165506577287E-2</v>
      </c>
      <c r="AN124" s="630">
        <v>226003</v>
      </c>
      <c r="AO124" s="611">
        <v>13406</v>
      </c>
      <c r="AP124" s="619">
        <f>+AO124/AN124</f>
        <v>5.9317796666415935E-2</v>
      </c>
      <c r="AQ124" s="610">
        <v>222159</v>
      </c>
      <c r="AR124" s="611">
        <v>14133</v>
      </c>
      <c r="AS124" s="622">
        <f>+AR124/AQ124</f>
        <v>6.3616598922393422E-2</v>
      </c>
      <c r="AT124" s="620">
        <v>230961</v>
      </c>
      <c r="AU124" s="612">
        <v>13782</v>
      </c>
      <c r="AV124" s="613">
        <f t="shared" si="31"/>
        <v>5.967241222544066E-2</v>
      </c>
    </row>
    <row r="125" spans="1:48" ht="15" customHeight="1">
      <c r="A125" s="529" t="s">
        <v>239</v>
      </c>
      <c r="B125" s="532" t="s">
        <v>240</v>
      </c>
      <c r="C125" s="531" t="s">
        <v>272</v>
      </c>
      <c r="D125" s="646">
        <f>+R125</f>
        <v>5.6737588652482268E-2</v>
      </c>
      <c r="E125" s="647">
        <f>+U125</f>
        <v>7.2164948453608241E-2</v>
      </c>
      <c r="F125" s="647">
        <f>+X125</f>
        <v>7.9836453625995271E-2</v>
      </c>
      <c r="G125" s="647">
        <f>+AA125</f>
        <v>7.4962518740629688E-2</v>
      </c>
      <c r="H125" s="647">
        <f>+AD125</f>
        <v>7.1220930232558141E-2</v>
      </c>
      <c r="I125" s="647">
        <f>+AG125</f>
        <v>5.7791537667698657E-2</v>
      </c>
      <c r="J125" s="647">
        <f>+AJ125</f>
        <v>5.5199222546161324E-2</v>
      </c>
      <c r="K125" s="647">
        <f>+AM125</f>
        <v>8.5601651961704522E-2</v>
      </c>
      <c r="L125" s="647">
        <f>+AP125</f>
        <v>0.1481746599856836</v>
      </c>
      <c r="M125" s="647">
        <f>+AS125</f>
        <v>0.15182872435325603</v>
      </c>
      <c r="N125" s="648">
        <f t="shared" si="30"/>
        <v>0.13953120050681025</v>
      </c>
      <c r="O125" s="639"/>
      <c r="P125" s="610">
        <v>4653</v>
      </c>
      <c r="Q125" s="611">
        <v>264</v>
      </c>
      <c r="R125" s="637">
        <f>+Q125/P125</f>
        <v>5.6737588652482268E-2</v>
      </c>
      <c r="S125" s="633">
        <v>4656</v>
      </c>
      <c r="T125" s="634">
        <v>336</v>
      </c>
      <c r="U125" s="638">
        <f>+T125/S125</f>
        <v>7.2164948453608241E-2</v>
      </c>
      <c r="V125" s="633">
        <v>4647</v>
      </c>
      <c r="W125" s="634">
        <v>371</v>
      </c>
      <c r="X125" s="638">
        <f>+W125/V125</f>
        <v>7.9836453625995271E-2</v>
      </c>
      <c r="Y125" s="633">
        <v>4669</v>
      </c>
      <c r="Z125" s="634">
        <v>350</v>
      </c>
      <c r="AA125" s="635">
        <f>+Z125/Y125</f>
        <v>7.4962518740629688E-2</v>
      </c>
      <c r="AB125" s="633">
        <v>4816</v>
      </c>
      <c r="AC125" s="634">
        <v>343</v>
      </c>
      <c r="AD125" s="635">
        <f>+AC125/AB125</f>
        <v>7.1220930232558141E-2</v>
      </c>
      <c r="AE125" s="633">
        <v>4845</v>
      </c>
      <c r="AF125" s="634">
        <v>280</v>
      </c>
      <c r="AG125" s="635">
        <f>+AF125/AE125</f>
        <v>5.7791537667698657E-2</v>
      </c>
      <c r="AH125" s="610">
        <v>5145</v>
      </c>
      <c r="AI125" s="611">
        <v>284</v>
      </c>
      <c r="AJ125" s="622">
        <f>+AI125/AH125</f>
        <v>5.5199222546161324E-2</v>
      </c>
      <c r="AK125" s="633">
        <v>5327</v>
      </c>
      <c r="AL125" s="634">
        <v>456</v>
      </c>
      <c r="AM125" s="635">
        <f>+AL125/AK125</f>
        <v>8.5601651961704522E-2</v>
      </c>
      <c r="AN125" s="630">
        <v>5588</v>
      </c>
      <c r="AO125" s="611">
        <v>828</v>
      </c>
      <c r="AP125" s="619">
        <f>+AO125/AN125</f>
        <v>0.1481746599856836</v>
      </c>
      <c r="AQ125" s="610">
        <v>5605</v>
      </c>
      <c r="AR125" s="611">
        <v>851</v>
      </c>
      <c r="AS125" s="622">
        <f>+AR125/AQ125</f>
        <v>0.15182872435325603</v>
      </c>
      <c r="AT125" s="620">
        <v>6314</v>
      </c>
      <c r="AU125" s="612">
        <v>881</v>
      </c>
      <c r="AV125" s="613">
        <f t="shared" si="31"/>
        <v>0.13953120050681025</v>
      </c>
    </row>
    <row r="126" spans="1:48" ht="15" customHeight="1">
      <c r="A126" s="541" t="s">
        <v>241</v>
      </c>
      <c r="B126" s="534" t="s">
        <v>242</v>
      </c>
      <c r="C126" s="542" t="s">
        <v>276</v>
      </c>
      <c r="D126" s="649">
        <f>+R126</f>
        <v>3.1923873839306269E-2</v>
      </c>
      <c r="E126" s="650">
        <f>+U126</f>
        <v>3.9435138586344176E-2</v>
      </c>
      <c r="F126" s="650">
        <f>+X126</f>
        <v>3.6653091447611995E-2</v>
      </c>
      <c r="G126" s="650">
        <f>+AA126</f>
        <v>3.2050354507307192E-2</v>
      </c>
      <c r="H126" s="650">
        <f>+AD126</f>
        <v>3.0556356298645143E-2</v>
      </c>
      <c r="I126" s="650">
        <f>+AG126</f>
        <v>2.8687094297480283E-2</v>
      </c>
      <c r="J126" s="650">
        <f>+AJ126</f>
        <v>3.1607402786442085E-2</v>
      </c>
      <c r="K126" s="650">
        <f>+AM126</f>
        <v>4.5381666085744163E-2</v>
      </c>
      <c r="L126" s="650">
        <f>+AP126</f>
        <v>8.0138888888888885E-2</v>
      </c>
      <c r="M126" s="650">
        <f>+AS126</f>
        <v>7.2318339100346019E-2</v>
      </c>
      <c r="N126" s="651">
        <f t="shared" si="30"/>
        <v>7.6724430852871214E-2</v>
      </c>
      <c r="O126" s="639"/>
      <c r="P126" s="610">
        <v>13031</v>
      </c>
      <c r="Q126" s="611">
        <v>416</v>
      </c>
      <c r="R126" s="637">
        <f>+Q126/P126</f>
        <v>3.1923873839306269E-2</v>
      </c>
      <c r="S126" s="633">
        <v>13313</v>
      </c>
      <c r="T126" s="634">
        <v>525</v>
      </c>
      <c r="U126" s="638">
        <f>+T126/S126</f>
        <v>3.9435138586344176E-2</v>
      </c>
      <c r="V126" s="633">
        <v>13505</v>
      </c>
      <c r="W126" s="634">
        <v>495</v>
      </c>
      <c r="X126" s="638">
        <f>+W126/V126</f>
        <v>3.6653091447611995E-2</v>
      </c>
      <c r="Y126" s="633">
        <v>13822</v>
      </c>
      <c r="Z126" s="634">
        <v>443</v>
      </c>
      <c r="AA126" s="635">
        <f>+Z126/Y126</f>
        <v>3.2050354507307192E-2</v>
      </c>
      <c r="AB126" s="633">
        <v>13876</v>
      </c>
      <c r="AC126" s="634">
        <v>424</v>
      </c>
      <c r="AD126" s="635">
        <f>+AC126/AB126</f>
        <v>3.0556356298645143E-2</v>
      </c>
      <c r="AE126" s="633">
        <v>14327</v>
      </c>
      <c r="AF126" s="634">
        <v>411</v>
      </c>
      <c r="AG126" s="635">
        <f>+AF126/AE126</f>
        <v>2.8687094297480283E-2</v>
      </c>
      <c r="AH126" s="610">
        <v>14427</v>
      </c>
      <c r="AI126" s="611">
        <v>456</v>
      </c>
      <c r="AJ126" s="622">
        <f>+AI126/AH126</f>
        <v>3.1607402786442085E-2</v>
      </c>
      <c r="AK126" s="633">
        <v>14345</v>
      </c>
      <c r="AL126" s="634">
        <v>651</v>
      </c>
      <c r="AM126" s="635">
        <f>+AL126/AK126</f>
        <v>4.5381666085744163E-2</v>
      </c>
      <c r="AN126" s="630">
        <v>14400</v>
      </c>
      <c r="AO126" s="611">
        <v>1154</v>
      </c>
      <c r="AP126" s="619">
        <f>+AO126/AN126</f>
        <v>8.0138888888888885E-2</v>
      </c>
      <c r="AQ126" s="610">
        <v>14450</v>
      </c>
      <c r="AR126" s="611">
        <v>1045</v>
      </c>
      <c r="AS126" s="622">
        <f>+AR126/AQ126</f>
        <v>7.2318339100346019E-2</v>
      </c>
      <c r="AT126" s="620">
        <v>14715</v>
      </c>
      <c r="AU126" s="612">
        <v>1129</v>
      </c>
      <c r="AV126" s="613">
        <f t="shared" si="31"/>
        <v>7.6724430852871214E-2</v>
      </c>
    </row>
    <row r="127" spans="1:48" ht="28.5" customHeight="1">
      <c r="A127" s="1308" t="s">
        <v>318</v>
      </c>
      <c r="B127" s="1308"/>
      <c r="C127" s="1308"/>
      <c r="D127" s="1308"/>
      <c r="E127" s="1308"/>
      <c r="F127" s="1308"/>
      <c r="G127" s="1308"/>
      <c r="H127" s="1308"/>
      <c r="I127" s="1308"/>
      <c r="J127" s="1308"/>
      <c r="K127" s="1308"/>
      <c r="L127" s="1309"/>
      <c r="M127" s="1309"/>
      <c r="N127" s="535"/>
    </row>
    <row r="128" spans="1:48">
      <c r="A128" s="519" t="s">
        <v>250</v>
      </c>
    </row>
    <row r="129" spans="1:44">
      <c r="A129" s="536" t="s">
        <v>251</v>
      </c>
      <c r="B129" s="407" t="s">
        <v>252</v>
      </c>
    </row>
    <row r="130" spans="1:44">
      <c r="P130" s="526"/>
      <c r="Q130" s="526"/>
      <c r="S130" s="526"/>
      <c r="T130" s="526"/>
      <c r="V130" s="526"/>
      <c r="W130" s="526"/>
      <c r="Y130" s="526"/>
      <c r="Z130" s="526"/>
      <c r="AB130" s="526"/>
      <c r="AC130" s="526"/>
      <c r="AE130" s="526"/>
      <c r="AF130" s="526"/>
      <c r="AH130" s="526"/>
      <c r="AI130" s="526"/>
      <c r="AK130" s="526"/>
      <c r="AL130" s="526"/>
      <c r="AN130" s="526"/>
      <c r="AO130" s="526"/>
      <c r="AQ130" s="526"/>
      <c r="AR130" s="526"/>
    </row>
  </sheetData>
  <mergeCells count="3">
    <mergeCell ref="A4:M4"/>
    <mergeCell ref="A127:M127"/>
    <mergeCell ref="AT4:AV4"/>
  </mergeCells>
  <hyperlinks>
    <hyperlink ref="B129" r:id="rId1"/>
  </hyperlinks>
  <pageMargins left="0.7" right="0.7" top="0.75" bottom="0.75" header="0.3" footer="0.3"/>
  <pageSetup orientation="portrait" r:id="rId2"/>
  <headerFooter>
    <oddHeader>&amp;C&amp;"Courier New,Bold"&amp;12Unemployment Rate 2004-2010</oddHeader>
    <oddFooter>&amp;C&amp;"Courier New,Regular"&amp;P of &amp;N</oddFooter>
  </headerFooter>
</worksheet>
</file>

<file path=xl/worksheets/sheet9.xml><?xml version="1.0" encoding="utf-8"?>
<worksheet xmlns="http://schemas.openxmlformats.org/spreadsheetml/2006/main" xmlns:r="http://schemas.openxmlformats.org/officeDocument/2006/relationships">
  <dimension ref="A1:AD130"/>
  <sheetViews>
    <sheetView zoomScaleNormal="20" zoomScaleSheetLayoutView="30" workbookViewId="0">
      <pane ySplit="4" topLeftCell="A100" activePane="bottomLeft" state="frozen"/>
      <selection pane="bottomLeft" activeCell="B12" sqref="B12"/>
    </sheetView>
  </sheetViews>
  <sheetFormatPr defaultRowHeight="12.75"/>
  <cols>
    <col min="1" max="1" width="4.875" style="538" bestFit="1" customWidth="1"/>
    <col min="2" max="2" width="27" style="538" customWidth="1"/>
    <col min="3" max="3" width="6" style="538" customWidth="1"/>
    <col min="4" max="4" width="6" style="538" bestFit="1" customWidth="1"/>
    <col min="5" max="5" width="5.875" style="538" customWidth="1"/>
    <col min="6" max="15" width="6" style="538" bestFit="1" customWidth="1"/>
    <col min="16" max="16" width="3.625" style="538" customWidth="1"/>
    <col min="17" max="26" width="7.375" style="538" bestFit="1" customWidth="1"/>
    <col min="27" max="29" width="7.875" style="538" bestFit="1" customWidth="1"/>
    <col min="30" max="30" width="16.375" style="538" customWidth="1"/>
    <col min="31" max="16384" width="9" style="538"/>
  </cols>
  <sheetData>
    <row r="1" spans="1:30" ht="15.75">
      <c r="A1" s="543" t="s">
        <v>1000</v>
      </c>
      <c r="C1" s="539"/>
    </row>
    <row r="2" spans="1:30" ht="15.75">
      <c r="C2" s="1311" t="s">
        <v>865</v>
      </c>
      <c r="D2" s="1311"/>
      <c r="E2" s="1311"/>
      <c r="F2" s="1311"/>
      <c r="G2" s="1311"/>
      <c r="H2" s="1311"/>
      <c r="I2" s="1311"/>
      <c r="J2" s="1311"/>
      <c r="K2" s="1311"/>
      <c r="L2" s="1311"/>
      <c r="M2" s="1311"/>
      <c r="N2" s="1311"/>
      <c r="O2" s="1311"/>
      <c r="Q2" s="1311" t="s">
        <v>1002</v>
      </c>
      <c r="R2" s="1311"/>
      <c r="S2" s="1311"/>
      <c r="T2" s="1311"/>
      <c r="U2" s="1311"/>
      <c r="V2" s="1311"/>
      <c r="W2" s="1311"/>
      <c r="X2" s="1311"/>
      <c r="Y2" s="1311"/>
      <c r="Z2" s="1311"/>
      <c r="AA2" s="1311"/>
      <c r="AB2" s="1311"/>
      <c r="AC2" s="1311"/>
    </row>
    <row r="3" spans="1:30" ht="33" customHeight="1">
      <c r="A3" s="570" t="s">
        <v>4</v>
      </c>
      <c r="B3" s="583" t="s">
        <v>665</v>
      </c>
      <c r="C3" s="574">
        <v>1998</v>
      </c>
      <c r="D3" s="575">
        <v>1999</v>
      </c>
      <c r="E3" s="575">
        <v>2000</v>
      </c>
      <c r="F3" s="575">
        <v>2001</v>
      </c>
      <c r="G3" s="575">
        <v>2002</v>
      </c>
      <c r="H3" s="575">
        <v>2003</v>
      </c>
      <c r="I3" s="575">
        <v>2004</v>
      </c>
      <c r="J3" s="575">
        <v>2005</v>
      </c>
      <c r="K3" s="575">
        <v>2006</v>
      </c>
      <c r="L3" s="575">
        <v>2007</v>
      </c>
      <c r="M3" s="586">
        <v>2008</v>
      </c>
      <c r="N3" s="586">
        <v>2009</v>
      </c>
      <c r="O3" s="587">
        <v>2010</v>
      </c>
      <c r="P3" s="571"/>
      <c r="Q3" s="574">
        <v>1998</v>
      </c>
      <c r="R3" s="575">
        <v>1999</v>
      </c>
      <c r="S3" s="575">
        <v>2000</v>
      </c>
      <c r="T3" s="575">
        <v>2001</v>
      </c>
      <c r="U3" s="575">
        <v>2002</v>
      </c>
      <c r="V3" s="575">
        <v>2003</v>
      </c>
      <c r="W3" s="575">
        <v>2004</v>
      </c>
      <c r="X3" s="575">
        <v>2005</v>
      </c>
      <c r="Y3" s="575">
        <v>2006</v>
      </c>
      <c r="Z3" s="575">
        <v>2007</v>
      </c>
      <c r="AA3" s="576">
        <v>2008</v>
      </c>
      <c r="AB3" s="576">
        <v>2009</v>
      </c>
      <c r="AC3" s="577">
        <v>2010</v>
      </c>
      <c r="AD3" s="572" t="s">
        <v>851</v>
      </c>
    </row>
    <row r="4" spans="1:30">
      <c r="A4" s="591" t="s">
        <v>8</v>
      </c>
      <c r="B4" s="592" t="s">
        <v>9</v>
      </c>
      <c r="C4" s="593">
        <v>0.10249999999999999</v>
      </c>
      <c r="D4" s="594">
        <v>8.9900000000000008E-2</v>
      </c>
      <c r="E4" s="594">
        <v>8.8499999999999995E-2</v>
      </c>
      <c r="F4" s="594">
        <v>8.77E-2</v>
      </c>
      <c r="G4" s="594">
        <v>9.5899999999999999E-2</v>
      </c>
      <c r="H4" s="594">
        <v>9.9399999999999988E-2</v>
      </c>
      <c r="I4" s="594">
        <v>9.5199999999999993E-2</v>
      </c>
      <c r="J4" s="594">
        <v>9.9600000000000008E-2</v>
      </c>
      <c r="K4" s="594">
        <v>9.6199999999999994E-2</v>
      </c>
      <c r="L4" s="594">
        <v>9.9000000000000005E-2</v>
      </c>
      <c r="M4" s="595">
        <v>0.10210000000000001</v>
      </c>
      <c r="N4" s="595">
        <v>0.1057</v>
      </c>
      <c r="O4" s="596">
        <f>+AC4/AD4</f>
        <v>0.11118840014389482</v>
      </c>
      <c r="P4" s="597"/>
      <c r="Q4" s="598">
        <v>696205</v>
      </c>
      <c r="R4" s="599">
        <v>620215</v>
      </c>
      <c r="S4" s="599">
        <v>620936</v>
      </c>
      <c r="T4" s="599">
        <v>620238</v>
      </c>
      <c r="U4" s="599">
        <v>692133</v>
      </c>
      <c r="V4" s="599">
        <v>724326</v>
      </c>
      <c r="W4" s="599">
        <v>705038</v>
      </c>
      <c r="X4" s="599">
        <v>728860</v>
      </c>
      <c r="Y4" s="599">
        <v>713179</v>
      </c>
      <c r="Z4" s="599">
        <v>739139</v>
      </c>
      <c r="AA4" s="600">
        <v>766854</v>
      </c>
      <c r="AB4" s="600">
        <v>805553</v>
      </c>
      <c r="AC4" s="601">
        <f>SUM(AC5:AC124)</f>
        <v>865746</v>
      </c>
      <c r="AD4" s="602">
        <f>SUM(AD5:AD124)</f>
        <v>7786297.8411380332</v>
      </c>
    </row>
    <row r="5" spans="1:30" ht="16.5" customHeight="1">
      <c r="A5" s="544" t="s">
        <v>10</v>
      </c>
      <c r="B5" s="584" t="s">
        <v>11</v>
      </c>
      <c r="C5" s="588">
        <v>0.20399999999999999</v>
      </c>
      <c r="D5" s="589">
        <v>0.161</v>
      </c>
      <c r="E5" s="589">
        <v>0.17100000000000001</v>
      </c>
      <c r="F5" s="589">
        <v>0.16300000000000001</v>
      </c>
      <c r="G5" s="589">
        <v>0.17699999999999999</v>
      </c>
      <c r="H5" s="589">
        <v>0.156</v>
      </c>
      <c r="I5" s="589">
        <v>0.14899999999999999</v>
      </c>
      <c r="J5" s="589">
        <v>0.183</v>
      </c>
      <c r="K5" s="589">
        <v>0.154</v>
      </c>
      <c r="L5" s="589">
        <v>0.16800000000000001</v>
      </c>
      <c r="M5" s="589">
        <v>0.20600000000000002</v>
      </c>
      <c r="N5" s="589">
        <v>0.183</v>
      </c>
      <c r="O5" s="590">
        <f t="shared" ref="O5:O68" si="0">+AC5/AD5</f>
        <v>0.20499999999999999</v>
      </c>
      <c r="P5" s="585"/>
      <c r="Q5" s="578">
        <v>6561</v>
      </c>
      <c r="R5" s="579">
        <v>6107</v>
      </c>
      <c r="S5" s="579">
        <v>6549</v>
      </c>
      <c r="T5" s="579">
        <v>6239</v>
      </c>
      <c r="U5" s="579">
        <v>6871</v>
      </c>
      <c r="V5" s="579">
        <v>6072</v>
      </c>
      <c r="W5" s="579">
        <v>5820</v>
      </c>
      <c r="X5" s="579">
        <v>7044</v>
      </c>
      <c r="Y5" s="579">
        <v>5956</v>
      </c>
      <c r="Z5" s="579">
        <v>6349</v>
      </c>
      <c r="AA5" s="579">
        <v>7733</v>
      </c>
      <c r="AB5" s="579">
        <v>6906</v>
      </c>
      <c r="AC5" s="580">
        <v>6722</v>
      </c>
      <c r="AD5" s="573">
        <v>32790.243902439026</v>
      </c>
    </row>
    <row r="6" spans="1:30" ht="16.5" customHeight="1">
      <c r="A6" s="544" t="s">
        <v>12</v>
      </c>
      <c r="B6" s="584" t="s">
        <v>13</v>
      </c>
      <c r="C6" s="588">
        <v>0.08</v>
      </c>
      <c r="D6" s="589">
        <v>6.8000000000000005E-2</v>
      </c>
      <c r="E6" s="589">
        <v>6.0999999999999999E-2</v>
      </c>
      <c r="F6" s="589">
        <v>6.5000000000000002E-2</v>
      </c>
      <c r="G6" s="589">
        <v>7.2000000000000008E-2</v>
      </c>
      <c r="H6" s="589">
        <v>7.5999999999999998E-2</v>
      </c>
      <c r="I6" s="589">
        <v>7.2999999999999995E-2</v>
      </c>
      <c r="J6" s="589">
        <v>7.0000000000000007E-2</v>
      </c>
      <c r="K6" s="589">
        <v>7.0999999999999994E-2</v>
      </c>
      <c r="L6" s="589">
        <v>8.5000000000000006E-2</v>
      </c>
      <c r="M6" s="589">
        <v>6.8000000000000005E-2</v>
      </c>
      <c r="N6" s="589">
        <v>8.8000000000000009E-2</v>
      </c>
      <c r="O6" s="590">
        <f t="shared" si="0"/>
        <v>9.0999999999999998E-2</v>
      </c>
      <c r="P6" s="585"/>
      <c r="Q6" s="578">
        <v>5958</v>
      </c>
      <c r="R6" s="579">
        <v>5345</v>
      </c>
      <c r="S6" s="579">
        <v>4843</v>
      </c>
      <c r="T6" s="579">
        <v>5277</v>
      </c>
      <c r="U6" s="579">
        <v>5901</v>
      </c>
      <c r="V6" s="579">
        <v>6312</v>
      </c>
      <c r="W6" s="579">
        <v>6205</v>
      </c>
      <c r="X6" s="579">
        <v>5872</v>
      </c>
      <c r="Y6" s="579">
        <v>6107</v>
      </c>
      <c r="Z6" s="579">
        <v>7396</v>
      </c>
      <c r="AA6" s="579">
        <v>6008</v>
      </c>
      <c r="AB6" s="579">
        <v>7774</v>
      </c>
      <c r="AC6" s="580">
        <v>8419</v>
      </c>
      <c r="AD6" s="573">
        <v>92516.483516483524</v>
      </c>
    </row>
    <row r="7" spans="1:30" ht="16.5" customHeight="1">
      <c r="A7" s="544" t="s">
        <v>16</v>
      </c>
      <c r="B7" s="584" t="s">
        <v>364</v>
      </c>
      <c r="C7" s="588">
        <v>0.128</v>
      </c>
      <c r="D7" s="589">
        <v>0.1101</v>
      </c>
      <c r="E7" s="589">
        <v>0.1075</v>
      </c>
      <c r="F7" s="589">
        <v>0.10050000000000001</v>
      </c>
      <c r="G7" s="589">
        <v>0.10589999999999999</v>
      </c>
      <c r="H7" s="589">
        <v>0.11539999999999999</v>
      </c>
      <c r="I7" s="589">
        <v>0.1137</v>
      </c>
      <c r="J7" s="589">
        <v>0.12089999999999999</v>
      </c>
      <c r="K7" s="589">
        <v>0.12770000000000001</v>
      </c>
      <c r="L7" s="589">
        <v>0.12619999999999998</v>
      </c>
      <c r="M7" s="589">
        <v>0.13320000000000001</v>
      </c>
      <c r="N7" s="589">
        <v>0.13639999999999999</v>
      </c>
      <c r="O7" s="590">
        <f t="shared" si="0"/>
        <v>0.13851337359792926</v>
      </c>
      <c r="P7" s="585"/>
      <c r="Q7" s="578">
        <v>2973</v>
      </c>
      <c r="R7" s="579">
        <v>2563</v>
      </c>
      <c r="S7" s="579">
        <v>2473</v>
      </c>
      <c r="T7" s="579">
        <v>2308</v>
      </c>
      <c r="U7" s="579">
        <v>2422</v>
      </c>
      <c r="V7" s="579">
        <v>2618</v>
      </c>
      <c r="W7" s="579">
        <v>2574</v>
      </c>
      <c r="X7" s="579">
        <v>2695</v>
      </c>
      <c r="Y7" s="579">
        <v>2836</v>
      </c>
      <c r="Z7" s="579">
        <v>2783</v>
      </c>
      <c r="AA7" s="579">
        <v>2902</v>
      </c>
      <c r="AB7" s="579">
        <v>2985</v>
      </c>
      <c r="AC7" s="580">
        <v>3029</v>
      </c>
      <c r="AD7" s="573">
        <v>21867.924528301886</v>
      </c>
    </row>
    <row r="8" spans="1:30" ht="16.5" customHeight="1">
      <c r="A8" s="544" t="s">
        <v>18</v>
      </c>
      <c r="B8" s="584" t="s">
        <v>19</v>
      </c>
      <c r="C8" s="588">
        <v>0.11599999999999999</v>
      </c>
      <c r="D8" s="589">
        <v>9.6999999999999989E-2</v>
      </c>
      <c r="E8" s="589">
        <v>9.3000000000000013E-2</v>
      </c>
      <c r="F8" s="589">
        <v>8.8000000000000009E-2</v>
      </c>
      <c r="G8" s="589">
        <v>9.0999999999999998E-2</v>
      </c>
      <c r="H8" s="589">
        <v>9.6999999999999989E-2</v>
      </c>
      <c r="I8" s="589">
        <v>9.0999999999999998E-2</v>
      </c>
      <c r="J8" s="589">
        <v>9.9000000000000005E-2</v>
      </c>
      <c r="K8" s="589">
        <v>9.1999999999999998E-2</v>
      </c>
      <c r="L8" s="589">
        <v>9.0999999999999998E-2</v>
      </c>
      <c r="M8" s="589">
        <v>9.6000000000000002E-2</v>
      </c>
      <c r="N8" s="589">
        <v>0.113</v>
      </c>
      <c r="O8" s="590">
        <f t="shared" si="0"/>
        <v>0.114</v>
      </c>
      <c r="P8" s="585"/>
      <c r="Q8" s="578">
        <v>1251</v>
      </c>
      <c r="R8" s="579">
        <v>1102</v>
      </c>
      <c r="S8" s="579">
        <v>1072</v>
      </c>
      <c r="T8" s="579">
        <v>1027</v>
      </c>
      <c r="U8" s="579">
        <v>1068</v>
      </c>
      <c r="V8" s="579">
        <v>1151</v>
      </c>
      <c r="W8" s="579">
        <v>1110</v>
      </c>
      <c r="X8" s="579">
        <v>1198</v>
      </c>
      <c r="Y8" s="579">
        <v>1140</v>
      </c>
      <c r="Z8" s="579">
        <v>1145</v>
      </c>
      <c r="AA8" s="579">
        <v>1215</v>
      </c>
      <c r="AB8" s="579">
        <v>1433</v>
      </c>
      <c r="AC8" s="580">
        <v>1432</v>
      </c>
      <c r="AD8" s="573">
        <v>12561.403508771929</v>
      </c>
    </row>
    <row r="9" spans="1:30" ht="16.5" customHeight="1">
      <c r="A9" s="544" t="s">
        <v>20</v>
      </c>
      <c r="B9" s="584" t="s">
        <v>21</v>
      </c>
      <c r="C9" s="588">
        <v>0.107</v>
      </c>
      <c r="D9" s="589">
        <v>9.8000000000000004E-2</v>
      </c>
      <c r="E9" s="589">
        <v>0.105</v>
      </c>
      <c r="F9" s="589">
        <v>0.10400000000000001</v>
      </c>
      <c r="G9" s="589">
        <v>0.11599999999999999</v>
      </c>
      <c r="H9" s="589">
        <v>0.111</v>
      </c>
      <c r="I9" s="589">
        <v>0.11199999999999999</v>
      </c>
      <c r="J9" s="589">
        <v>0.12</v>
      </c>
      <c r="K9" s="589">
        <v>0.11800000000000001</v>
      </c>
      <c r="L9" s="589">
        <v>0.122</v>
      </c>
      <c r="M9" s="589">
        <v>0.125</v>
      </c>
      <c r="N9" s="589">
        <v>0.13900000000000001</v>
      </c>
      <c r="O9" s="590">
        <f t="shared" si="0"/>
        <v>0.13600000000000001</v>
      </c>
      <c r="P9" s="585"/>
      <c r="Q9" s="578">
        <v>3098</v>
      </c>
      <c r="R9" s="579">
        <v>2978</v>
      </c>
      <c r="S9" s="579">
        <v>3204</v>
      </c>
      <c r="T9" s="579">
        <v>3146</v>
      </c>
      <c r="U9" s="579">
        <v>3542</v>
      </c>
      <c r="V9" s="579">
        <v>3391</v>
      </c>
      <c r="W9" s="579">
        <v>3447</v>
      </c>
      <c r="X9" s="579">
        <v>3615</v>
      </c>
      <c r="Y9" s="579">
        <v>3631</v>
      </c>
      <c r="Z9" s="579">
        <v>3726</v>
      </c>
      <c r="AA9" s="579">
        <v>3868</v>
      </c>
      <c r="AB9" s="579">
        <v>4269</v>
      </c>
      <c r="AC9" s="580">
        <v>4221</v>
      </c>
      <c r="AD9" s="573">
        <v>31036.764705882353</v>
      </c>
    </row>
    <row r="10" spans="1:30" ht="16.5" customHeight="1">
      <c r="A10" s="544" t="s">
        <v>22</v>
      </c>
      <c r="B10" s="584" t="s">
        <v>23</v>
      </c>
      <c r="C10" s="588">
        <v>0.13100000000000001</v>
      </c>
      <c r="D10" s="589">
        <v>0.115</v>
      </c>
      <c r="E10" s="589">
        <v>0.111</v>
      </c>
      <c r="F10" s="589">
        <v>0.111</v>
      </c>
      <c r="G10" s="589">
        <v>0.122</v>
      </c>
      <c r="H10" s="589">
        <v>0.124</v>
      </c>
      <c r="I10" s="589">
        <v>0.11800000000000001</v>
      </c>
      <c r="J10" s="589">
        <v>0.121</v>
      </c>
      <c r="K10" s="589">
        <v>0.13300000000000001</v>
      </c>
      <c r="L10" s="589">
        <v>0.126</v>
      </c>
      <c r="M10" s="589">
        <v>0.13</v>
      </c>
      <c r="N10" s="589">
        <v>0.14300000000000002</v>
      </c>
      <c r="O10" s="590">
        <f t="shared" si="0"/>
        <v>0.14100000000000001</v>
      </c>
      <c r="P10" s="585"/>
      <c r="Q10" s="578">
        <v>1748</v>
      </c>
      <c r="R10" s="579">
        <v>1578</v>
      </c>
      <c r="S10" s="579">
        <v>1526</v>
      </c>
      <c r="T10" s="579">
        <v>1522</v>
      </c>
      <c r="U10" s="579">
        <v>1668</v>
      </c>
      <c r="V10" s="579">
        <v>1716</v>
      </c>
      <c r="W10" s="579">
        <v>1649</v>
      </c>
      <c r="X10" s="579">
        <v>1660</v>
      </c>
      <c r="Y10" s="579">
        <v>1859</v>
      </c>
      <c r="Z10" s="579">
        <v>1772</v>
      </c>
      <c r="AA10" s="579">
        <v>1863</v>
      </c>
      <c r="AB10" s="579">
        <v>2055</v>
      </c>
      <c r="AC10" s="580">
        <v>2099</v>
      </c>
      <c r="AD10" s="573">
        <v>14886.524822695035</v>
      </c>
    </row>
    <row r="11" spans="1:30" ht="16.5" customHeight="1">
      <c r="A11" s="544" t="s">
        <v>24</v>
      </c>
      <c r="B11" s="584" t="s">
        <v>25</v>
      </c>
      <c r="C11" s="588">
        <v>6.3E-2</v>
      </c>
      <c r="D11" s="589">
        <v>5.7000000000000002E-2</v>
      </c>
      <c r="E11" s="589">
        <v>5.7999999999999996E-2</v>
      </c>
      <c r="F11" s="589">
        <v>5.7999999999999996E-2</v>
      </c>
      <c r="G11" s="589">
        <v>6.3E-2</v>
      </c>
      <c r="H11" s="589">
        <v>7.400000000000001E-2</v>
      </c>
      <c r="I11" s="589">
        <v>7.0999999999999994E-2</v>
      </c>
      <c r="J11" s="589">
        <v>7.6999999999999999E-2</v>
      </c>
      <c r="K11" s="589">
        <v>7.0000000000000007E-2</v>
      </c>
      <c r="L11" s="589">
        <v>6.5000000000000002E-2</v>
      </c>
      <c r="M11" s="589">
        <v>6.7000000000000004E-2</v>
      </c>
      <c r="N11" s="589">
        <v>6.6000000000000003E-2</v>
      </c>
      <c r="O11" s="590">
        <f t="shared" si="0"/>
        <v>7.2000000000000008E-2</v>
      </c>
      <c r="P11" s="585"/>
      <c r="Q11" s="578">
        <v>11026</v>
      </c>
      <c r="R11" s="579">
        <v>10597</v>
      </c>
      <c r="S11" s="579">
        <v>10907</v>
      </c>
      <c r="T11" s="579">
        <v>10867</v>
      </c>
      <c r="U11" s="579">
        <v>11773</v>
      </c>
      <c r="V11" s="579">
        <v>13587</v>
      </c>
      <c r="W11" s="579">
        <v>13740</v>
      </c>
      <c r="X11" s="579">
        <v>14781</v>
      </c>
      <c r="Y11" s="579">
        <v>13726</v>
      </c>
      <c r="Z11" s="579">
        <v>13005</v>
      </c>
      <c r="AA11" s="579">
        <v>13735</v>
      </c>
      <c r="AB11" s="579">
        <v>13988</v>
      </c>
      <c r="AC11" s="580">
        <v>14903</v>
      </c>
      <c r="AD11" s="573">
        <v>206986.11111111109</v>
      </c>
    </row>
    <row r="12" spans="1:30" ht="16.5" customHeight="1">
      <c r="A12" s="544" t="s">
        <v>26</v>
      </c>
      <c r="B12" s="654" t="s">
        <v>1114</v>
      </c>
      <c r="C12" s="588">
        <v>0.1038</v>
      </c>
      <c r="D12" s="589">
        <v>0.09</v>
      </c>
      <c r="E12" s="589">
        <v>9.0800000000000006E-2</v>
      </c>
      <c r="F12" s="589">
        <v>9.1799999999999993E-2</v>
      </c>
      <c r="G12" s="589">
        <v>9.9299999999999999E-2</v>
      </c>
      <c r="H12" s="589">
        <v>9.7299999999999998E-2</v>
      </c>
      <c r="I12" s="589">
        <v>9.2200000000000004E-2</v>
      </c>
      <c r="J12" s="589">
        <v>9.7699999999999995E-2</v>
      </c>
      <c r="K12" s="589">
        <v>0.1012</v>
      </c>
      <c r="L12" s="589">
        <v>0.1026</v>
      </c>
      <c r="M12" s="589">
        <v>0.1016</v>
      </c>
      <c r="N12" s="589">
        <v>0.10949999999999999</v>
      </c>
      <c r="O12" s="590">
        <f t="shared" si="0"/>
        <v>0.12085412542078605</v>
      </c>
      <c r="P12" s="585"/>
      <c r="Q12" s="578">
        <v>10582</v>
      </c>
      <c r="R12" s="579">
        <v>9458</v>
      </c>
      <c r="S12" s="579">
        <v>9607</v>
      </c>
      <c r="T12" s="579">
        <v>9789</v>
      </c>
      <c r="U12" s="579">
        <v>10717</v>
      </c>
      <c r="V12" s="579">
        <v>10642</v>
      </c>
      <c r="W12" s="579">
        <v>10291</v>
      </c>
      <c r="X12" s="579">
        <v>10737</v>
      </c>
      <c r="Y12" s="579">
        <v>11283</v>
      </c>
      <c r="Z12" s="579">
        <v>11545</v>
      </c>
      <c r="AA12" s="579">
        <v>11523</v>
      </c>
      <c r="AB12" s="579">
        <v>12447</v>
      </c>
      <c r="AC12" s="580">
        <v>13822</v>
      </c>
      <c r="AD12" s="573">
        <v>114369.28571428571</v>
      </c>
    </row>
    <row r="13" spans="1:30" ht="16.5" customHeight="1">
      <c r="A13" s="544" t="s">
        <v>27</v>
      </c>
      <c r="B13" s="584" t="s">
        <v>28</v>
      </c>
      <c r="C13" s="588">
        <v>0.1</v>
      </c>
      <c r="D13" s="589">
        <v>7.6999999999999999E-2</v>
      </c>
      <c r="E13" s="589">
        <v>7.4999999999999997E-2</v>
      </c>
      <c r="F13" s="589">
        <v>7.5999999999999998E-2</v>
      </c>
      <c r="G13" s="589">
        <v>7.6999999999999999E-2</v>
      </c>
      <c r="H13" s="589">
        <v>7.9000000000000001E-2</v>
      </c>
      <c r="I13" s="589">
        <v>7.2999999999999995E-2</v>
      </c>
      <c r="J13" s="589">
        <v>7.6999999999999999E-2</v>
      </c>
      <c r="K13" s="589">
        <v>8.4000000000000005E-2</v>
      </c>
      <c r="L13" s="589">
        <v>8.5000000000000006E-2</v>
      </c>
      <c r="M13" s="589">
        <v>9.6000000000000002E-2</v>
      </c>
      <c r="N13" s="589">
        <v>0.11800000000000001</v>
      </c>
      <c r="O13" s="590">
        <f t="shared" si="0"/>
        <v>0.11199999999999999</v>
      </c>
      <c r="P13" s="585"/>
      <c r="Q13" s="581">
        <v>499</v>
      </c>
      <c r="R13" s="582">
        <v>386</v>
      </c>
      <c r="S13" s="582">
        <v>374</v>
      </c>
      <c r="T13" s="582">
        <v>381</v>
      </c>
      <c r="U13" s="582">
        <v>385</v>
      </c>
      <c r="V13" s="582">
        <v>392</v>
      </c>
      <c r="W13" s="582">
        <v>361</v>
      </c>
      <c r="X13" s="582">
        <v>362</v>
      </c>
      <c r="Y13" s="582">
        <v>397</v>
      </c>
      <c r="Z13" s="582">
        <v>390</v>
      </c>
      <c r="AA13" s="579">
        <v>430</v>
      </c>
      <c r="AB13" s="579">
        <v>522</v>
      </c>
      <c r="AC13" s="580">
        <v>520</v>
      </c>
      <c r="AD13" s="573">
        <v>4642.8571428571431</v>
      </c>
    </row>
    <row r="14" spans="1:30" ht="16.5" customHeight="1">
      <c r="A14" s="544" t="s">
        <v>29</v>
      </c>
      <c r="B14" s="584" t="s">
        <v>366</v>
      </c>
      <c r="C14" s="588">
        <v>8.2400000000000001E-2</v>
      </c>
      <c r="D14" s="589">
        <v>7.7100000000000002E-2</v>
      </c>
      <c r="E14" s="589">
        <v>7.4299999999999991E-2</v>
      </c>
      <c r="F14" s="589">
        <v>7.4499999999999997E-2</v>
      </c>
      <c r="G14" s="589">
        <v>0.08</v>
      </c>
      <c r="H14" s="589">
        <v>8.6699999999999999E-2</v>
      </c>
      <c r="I14" s="589">
        <v>8.3000000000000004E-2</v>
      </c>
      <c r="J14" s="589">
        <v>8.7899999999999992E-2</v>
      </c>
      <c r="K14" s="589">
        <v>8.6699999999999999E-2</v>
      </c>
      <c r="L14" s="589">
        <v>9.5600000000000004E-2</v>
      </c>
      <c r="M14" s="589">
        <v>8.5299999999999987E-2</v>
      </c>
      <c r="N14" s="589">
        <v>8.5999999999999993E-2</v>
      </c>
      <c r="O14" s="590">
        <f t="shared" si="0"/>
        <v>0.10419212990455738</v>
      </c>
      <c r="P14" s="585"/>
      <c r="Q14" s="578">
        <v>5368</v>
      </c>
      <c r="R14" s="579">
        <v>5104</v>
      </c>
      <c r="S14" s="579">
        <v>4969</v>
      </c>
      <c r="T14" s="579">
        <v>5012</v>
      </c>
      <c r="U14" s="579">
        <v>5501</v>
      </c>
      <c r="V14" s="579">
        <v>6078</v>
      </c>
      <c r="W14" s="579">
        <v>5949</v>
      </c>
      <c r="X14" s="579">
        <v>6174</v>
      </c>
      <c r="Y14" s="579">
        <v>6218</v>
      </c>
      <c r="Z14" s="579">
        <v>6907</v>
      </c>
      <c r="AA14" s="579">
        <v>6202</v>
      </c>
      <c r="AB14" s="579">
        <v>6252</v>
      </c>
      <c r="AC14" s="580">
        <v>7717</v>
      </c>
      <c r="AD14" s="573">
        <v>74065.095003518654</v>
      </c>
    </row>
    <row r="15" spans="1:30" ht="16.5" customHeight="1">
      <c r="A15" s="544" t="s">
        <v>31</v>
      </c>
      <c r="B15" s="584" t="s">
        <v>32</v>
      </c>
      <c r="C15" s="588">
        <v>0.10400000000000001</v>
      </c>
      <c r="D15" s="589">
        <v>0.1</v>
      </c>
      <c r="E15" s="589">
        <v>0.113</v>
      </c>
      <c r="F15" s="589">
        <v>0.12</v>
      </c>
      <c r="G15" s="589">
        <v>0.125</v>
      </c>
      <c r="H15" s="589">
        <v>0.12300000000000001</v>
      </c>
      <c r="I15" s="589">
        <v>0.11900000000000001</v>
      </c>
      <c r="J15" s="589">
        <v>0.13500000000000001</v>
      </c>
      <c r="K15" s="589">
        <v>0.13</v>
      </c>
      <c r="L15" s="589">
        <v>0.13500000000000001</v>
      </c>
      <c r="M15" s="589">
        <v>0.14599999999999999</v>
      </c>
      <c r="N15" s="589">
        <v>0.15</v>
      </c>
      <c r="O15" s="590">
        <f t="shared" si="0"/>
        <v>0.15</v>
      </c>
      <c r="P15" s="585"/>
      <c r="Q15" s="581">
        <v>661</v>
      </c>
      <c r="R15" s="582">
        <v>631</v>
      </c>
      <c r="S15" s="582">
        <v>711</v>
      </c>
      <c r="T15" s="582">
        <v>751</v>
      </c>
      <c r="U15" s="582">
        <v>794</v>
      </c>
      <c r="V15" s="582">
        <v>783</v>
      </c>
      <c r="W15" s="582">
        <v>751</v>
      </c>
      <c r="X15" s="582">
        <v>846</v>
      </c>
      <c r="Y15" s="582">
        <v>807</v>
      </c>
      <c r="Z15" s="582">
        <v>842</v>
      </c>
      <c r="AA15" s="579">
        <v>908</v>
      </c>
      <c r="AB15" s="579">
        <v>921</v>
      </c>
      <c r="AC15" s="580">
        <v>917</v>
      </c>
      <c r="AD15" s="573">
        <v>6113.333333333333</v>
      </c>
    </row>
    <row r="16" spans="1:30" ht="16.5" customHeight="1">
      <c r="A16" s="544" t="s">
        <v>33</v>
      </c>
      <c r="B16" s="584" t="s">
        <v>34</v>
      </c>
      <c r="C16" s="588">
        <v>6.2E-2</v>
      </c>
      <c r="D16" s="589">
        <v>5.5E-2</v>
      </c>
      <c r="E16" s="589">
        <v>5.2000000000000005E-2</v>
      </c>
      <c r="F16" s="589">
        <v>5.2999999999999999E-2</v>
      </c>
      <c r="G16" s="589">
        <v>5.7999999999999996E-2</v>
      </c>
      <c r="H16" s="589">
        <v>6.3E-2</v>
      </c>
      <c r="I16" s="589">
        <v>0.06</v>
      </c>
      <c r="J16" s="589">
        <v>6.0999999999999999E-2</v>
      </c>
      <c r="K16" s="589">
        <v>0.06</v>
      </c>
      <c r="L16" s="589">
        <v>6.2E-2</v>
      </c>
      <c r="M16" s="589">
        <v>6.4000000000000001E-2</v>
      </c>
      <c r="N16" s="589">
        <v>7.5999999999999998E-2</v>
      </c>
      <c r="O16" s="590">
        <f t="shared" si="0"/>
        <v>6.5000000000000002E-2</v>
      </c>
      <c r="P16" s="585"/>
      <c r="Q16" s="578">
        <v>1801</v>
      </c>
      <c r="R16" s="579">
        <v>1669</v>
      </c>
      <c r="S16" s="579">
        <v>1586</v>
      </c>
      <c r="T16" s="579">
        <v>1615</v>
      </c>
      <c r="U16" s="579">
        <v>1803</v>
      </c>
      <c r="V16" s="579">
        <v>1986</v>
      </c>
      <c r="W16" s="579">
        <v>1900</v>
      </c>
      <c r="X16" s="579">
        <v>1925</v>
      </c>
      <c r="Y16" s="579">
        <v>1901</v>
      </c>
      <c r="Z16" s="579">
        <v>1949</v>
      </c>
      <c r="AA16" s="579">
        <v>2018</v>
      </c>
      <c r="AB16" s="579">
        <v>2441</v>
      </c>
      <c r="AC16" s="580">
        <v>2131</v>
      </c>
      <c r="AD16" s="573">
        <v>32784.615384615383</v>
      </c>
    </row>
    <row r="17" spans="1:30" ht="16.5" customHeight="1">
      <c r="A17" s="544" t="s">
        <v>37</v>
      </c>
      <c r="B17" s="584" t="s">
        <v>38</v>
      </c>
      <c r="C17" s="588">
        <v>0.20199999999999999</v>
      </c>
      <c r="D17" s="589">
        <v>0.16300000000000001</v>
      </c>
      <c r="E17" s="589">
        <v>0.16899999999999998</v>
      </c>
      <c r="F17" s="589">
        <v>0.17300000000000001</v>
      </c>
      <c r="G17" s="589">
        <v>0.19500000000000001</v>
      </c>
      <c r="H17" s="589">
        <v>0.18</v>
      </c>
      <c r="I17" s="589">
        <v>0.18100000000000002</v>
      </c>
      <c r="J17" s="589">
        <v>0.20100000000000001</v>
      </c>
      <c r="K17" s="589">
        <v>0.19</v>
      </c>
      <c r="L17" s="589">
        <v>0.21299999999999999</v>
      </c>
      <c r="M17" s="589">
        <v>0.222</v>
      </c>
      <c r="N17" s="589">
        <v>0.22</v>
      </c>
      <c r="O17" s="590">
        <f t="shared" si="0"/>
        <v>0.20499999999999999</v>
      </c>
      <c r="P17" s="585"/>
      <c r="Q17" s="578">
        <v>3161</v>
      </c>
      <c r="R17" s="579">
        <v>2542</v>
      </c>
      <c r="S17" s="579">
        <v>2619</v>
      </c>
      <c r="T17" s="579">
        <v>2661</v>
      </c>
      <c r="U17" s="579">
        <v>2973</v>
      </c>
      <c r="V17" s="579">
        <v>2737</v>
      </c>
      <c r="W17" s="579">
        <v>2729</v>
      </c>
      <c r="X17" s="579">
        <v>3001</v>
      </c>
      <c r="Y17" s="579">
        <v>2837</v>
      </c>
      <c r="Z17" s="579">
        <v>3125</v>
      </c>
      <c r="AA17" s="579">
        <v>3234</v>
      </c>
      <c r="AB17" s="579">
        <v>3155</v>
      </c>
      <c r="AC17" s="580">
        <v>3120</v>
      </c>
      <c r="AD17" s="573">
        <v>15219.512195121952</v>
      </c>
    </row>
    <row r="18" spans="1:30" ht="16.5" customHeight="1">
      <c r="A18" s="544" t="s">
        <v>39</v>
      </c>
      <c r="B18" s="584" t="s">
        <v>40</v>
      </c>
      <c r="C18" s="588">
        <v>0.22800000000000001</v>
      </c>
      <c r="D18" s="589">
        <v>0.20199999999999999</v>
      </c>
      <c r="E18" s="589">
        <v>0.215</v>
      </c>
      <c r="F18" s="589">
        <v>0.20600000000000002</v>
      </c>
      <c r="G18" s="589">
        <v>0.22899999999999998</v>
      </c>
      <c r="H18" s="589">
        <v>0.217</v>
      </c>
      <c r="I18" s="589">
        <v>0.21100000000000002</v>
      </c>
      <c r="J18" s="589">
        <v>0.26600000000000001</v>
      </c>
      <c r="K18" s="589">
        <v>0.22899999999999998</v>
      </c>
      <c r="L18" s="589">
        <v>0.217</v>
      </c>
      <c r="M18" s="589">
        <v>0.23</v>
      </c>
      <c r="N18" s="589">
        <v>0.26500000000000001</v>
      </c>
      <c r="O18" s="590">
        <f t="shared" si="0"/>
        <v>0.248</v>
      </c>
      <c r="P18" s="585"/>
      <c r="Q18" s="578">
        <v>6348</v>
      </c>
      <c r="R18" s="579">
        <v>5248</v>
      </c>
      <c r="S18" s="579">
        <v>5434</v>
      </c>
      <c r="T18" s="579">
        <v>5116</v>
      </c>
      <c r="U18" s="579">
        <v>5610</v>
      </c>
      <c r="V18" s="579">
        <v>5208</v>
      </c>
      <c r="W18" s="579">
        <v>4990</v>
      </c>
      <c r="X18" s="579">
        <v>6221</v>
      </c>
      <c r="Y18" s="579">
        <v>5282</v>
      </c>
      <c r="Z18" s="579">
        <v>4913</v>
      </c>
      <c r="AA18" s="579">
        <v>5127</v>
      </c>
      <c r="AB18" s="579">
        <v>5737</v>
      </c>
      <c r="AC18" s="580">
        <v>5676</v>
      </c>
      <c r="AD18" s="573">
        <v>22887.096774193549</v>
      </c>
    </row>
    <row r="19" spans="1:30" ht="16.5" customHeight="1">
      <c r="A19" s="544" t="s">
        <v>41</v>
      </c>
      <c r="B19" s="584" t="s">
        <v>42</v>
      </c>
      <c r="C19" s="588">
        <v>0.18</v>
      </c>
      <c r="D19" s="589">
        <v>0.159</v>
      </c>
      <c r="E19" s="589">
        <v>0.16899999999999998</v>
      </c>
      <c r="F19" s="589">
        <v>0.16600000000000001</v>
      </c>
      <c r="G19" s="589">
        <v>0.18</v>
      </c>
      <c r="H19" s="589">
        <v>0.17300000000000001</v>
      </c>
      <c r="I19" s="589">
        <v>0.17300000000000001</v>
      </c>
      <c r="J19" s="589">
        <v>0.20800000000000002</v>
      </c>
      <c r="K19" s="589">
        <v>0.17600000000000002</v>
      </c>
      <c r="L19" s="589">
        <v>0.193</v>
      </c>
      <c r="M19" s="589">
        <v>0.19399999999999998</v>
      </c>
      <c r="N19" s="589">
        <v>0.21600000000000003</v>
      </c>
      <c r="O19" s="590">
        <f t="shared" si="0"/>
        <v>0.20499999999999999</v>
      </c>
      <c r="P19" s="585"/>
      <c r="Q19" s="578">
        <v>2329</v>
      </c>
      <c r="R19" s="579">
        <v>2149</v>
      </c>
      <c r="S19" s="579">
        <v>2304</v>
      </c>
      <c r="T19" s="579">
        <v>2261</v>
      </c>
      <c r="U19" s="579">
        <v>2471</v>
      </c>
      <c r="V19" s="579">
        <v>2376</v>
      </c>
      <c r="W19" s="579">
        <v>2401</v>
      </c>
      <c r="X19" s="579">
        <v>2859</v>
      </c>
      <c r="Y19" s="579">
        <v>2429</v>
      </c>
      <c r="Z19" s="579">
        <v>2631</v>
      </c>
      <c r="AA19" s="579">
        <v>2640</v>
      </c>
      <c r="AB19" s="579">
        <v>2964</v>
      </c>
      <c r="AC19" s="580">
        <v>3042</v>
      </c>
      <c r="AD19" s="573">
        <v>14839.024390243903</v>
      </c>
    </row>
    <row r="20" spans="1:30" ht="16.5" customHeight="1">
      <c r="A20" s="544" t="s">
        <v>43</v>
      </c>
      <c r="B20" s="584" t="s">
        <v>44</v>
      </c>
      <c r="C20" s="588">
        <v>0.106</v>
      </c>
      <c r="D20" s="589">
        <v>0.1</v>
      </c>
      <c r="E20" s="589">
        <v>9.6000000000000002E-2</v>
      </c>
      <c r="F20" s="589">
        <v>9.6000000000000002E-2</v>
      </c>
      <c r="G20" s="589">
        <v>0.10800000000000001</v>
      </c>
      <c r="H20" s="589">
        <v>0.115</v>
      </c>
      <c r="I20" s="589">
        <v>0.111</v>
      </c>
      <c r="J20" s="589">
        <v>0.11199999999999999</v>
      </c>
      <c r="K20" s="589">
        <v>0.11800000000000001</v>
      </c>
      <c r="L20" s="589">
        <v>0.11599999999999999</v>
      </c>
      <c r="M20" s="589">
        <v>0.121</v>
      </c>
      <c r="N20" s="589">
        <v>0.13100000000000001</v>
      </c>
      <c r="O20" s="590">
        <f t="shared" si="0"/>
        <v>0.14300000000000002</v>
      </c>
      <c r="P20" s="585"/>
      <c r="Q20" s="578">
        <v>5423</v>
      </c>
      <c r="R20" s="579">
        <v>5066</v>
      </c>
      <c r="S20" s="579">
        <v>4861</v>
      </c>
      <c r="T20" s="579">
        <v>4873</v>
      </c>
      <c r="U20" s="579">
        <v>5502</v>
      </c>
      <c r="V20" s="579">
        <v>5936</v>
      </c>
      <c r="W20" s="579">
        <v>5792</v>
      </c>
      <c r="X20" s="579">
        <v>5770</v>
      </c>
      <c r="Y20" s="579">
        <v>6152</v>
      </c>
      <c r="Z20" s="579">
        <v>6028</v>
      </c>
      <c r="AA20" s="579">
        <v>6334</v>
      </c>
      <c r="AB20" s="579">
        <v>6859</v>
      </c>
      <c r="AC20" s="580">
        <v>7770</v>
      </c>
      <c r="AD20" s="573">
        <v>54335.664335664333</v>
      </c>
    </row>
    <row r="21" spans="1:30" ht="16.5" customHeight="1">
      <c r="A21" s="544" t="s">
        <v>45</v>
      </c>
      <c r="B21" s="584" t="s">
        <v>46</v>
      </c>
      <c r="C21" s="588">
        <v>0.13</v>
      </c>
      <c r="D21" s="589">
        <v>0.111</v>
      </c>
      <c r="E21" s="589">
        <v>0.10400000000000001</v>
      </c>
      <c r="F21" s="589">
        <v>0.1</v>
      </c>
      <c r="G21" s="589">
        <v>0.109</v>
      </c>
      <c r="H21" s="589">
        <v>0.1</v>
      </c>
      <c r="I21" s="589">
        <v>9.5000000000000001E-2</v>
      </c>
      <c r="J21" s="589">
        <v>9.9000000000000005E-2</v>
      </c>
      <c r="K21" s="589">
        <v>9.4E-2</v>
      </c>
      <c r="L21" s="589">
        <v>9.1999999999999998E-2</v>
      </c>
      <c r="M21" s="589">
        <v>9.3000000000000013E-2</v>
      </c>
      <c r="N21" s="589">
        <v>0.105</v>
      </c>
      <c r="O21" s="590">
        <f t="shared" si="0"/>
        <v>0.112</v>
      </c>
      <c r="P21" s="585"/>
      <c r="Q21" s="578">
        <v>2904</v>
      </c>
      <c r="R21" s="579">
        <v>2398</v>
      </c>
      <c r="S21" s="579">
        <v>2265</v>
      </c>
      <c r="T21" s="579">
        <v>2197</v>
      </c>
      <c r="U21" s="579">
        <v>2470</v>
      </c>
      <c r="V21" s="579">
        <v>2352</v>
      </c>
      <c r="W21" s="579">
        <v>2396</v>
      </c>
      <c r="X21" s="579">
        <v>2472</v>
      </c>
      <c r="Y21" s="579">
        <v>2449</v>
      </c>
      <c r="Z21" s="579">
        <v>2446</v>
      </c>
      <c r="AA21" s="579">
        <v>2518</v>
      </c>
      <c r="AB21" s="579">
        <v>2845</v>
      </c>
      <c r="AC21" s="580">
        <v>3150</v>
      </c>
      <c r="AD21" s="573">
        <v>28125</v>
      </c>
    </row>
    <row r="22" spans="1:30" ht="16.5" customHeight="1">
      <c r="A22" s="544" t="s">
        <v>47</v>
      </c>
      <c r="B22" s="584" t="s">
        <v>48</v>
      </c>
      <c r="C22" s="588">
        <v>0.13900000000000001</v>
      </c>
      <c r="D22" s="589">
        <v>0.124</v>
      </c>
      <c r="E22" s="589">
        <v>0.12300000000000001</v>
      </c>
      <c r="F22" s="589">
        <v>0.128</v>
      </c>
      <c r="G22" s="589">
        <v>0.13600000000000001</v>
      </c>
      <c r="H22" s="589">
        <v>0.13900000000000001</v>
      </c>
      <c r="I22" s="589">
        <v>0.13300000000000001</v>
      </c>
      <c r="J22" s="589">
        <v>0.16399999999999998</v>
      </c>
      <c r="K22" s="589">
        <v>0.13900000000000001</v>
      </c>
      <c r="L22" s="589">
        <v>0.13900000000000001</v>
      </c>
      <c r="M22" s="589">
        <v>0.157</v>
      </c>
      <c r="N22" s="589">
        <v>0.16899999999999998</v>
      </c>
      <c r="O22" s="590">
        <f t="shared" si="0"/>
        <v>0.17600000000000002</v>
      </c>
      <c r="P22" s="585"/>
      <c r="Q22" s="578">
        <v>3889</v>
      </c>
      <c r="R22" s="579">
        <v>3629</v>
      </c>
      <c r="S22" s="579">
        <v>3612</v>
      </c>
      <c r="T22" s="579">
        <v>3725</v>
      </c>
      <c r="U22" s="579">
        <v>4004</v>
      </c>
      <c r="V22" s="579">
        <v>4090</v>
      </c>
      <c r="W22" s="579">
        <v>3931</v>
      </c>
      <c r="X22" s="579">
        <v>4720</v>
      </c>
      <c r="Y22" s="579">
        <v>4070</v>
      </c>
      <c r="Z22" s="579">
        <v>4033</v>
      </c>
      <c r="AA22" s="579">
        <v>4549</v>
      </c>
      <c r="AB22" s="579">
        <v>4886</v>
      </c>
      <c r="AC22" s="580">
        <v>5248</v>
      </c>
      <c r="AD22" s="573">
        <v>29818.181818181816</v>
      </c>
    </row>
    <row r="23" spans="1:30" ht="16.5" customHeight="1">
      <c r="A23" s="544" t="s">
        <v>49</v>
      </c>
      <c r="B23" s="584" t="s">
        <v>279</v>
      </c>
      <c r="C23" s="588">
        <v>0.105</v>
      </c>
      <c r="D23" s="589">
        <v>9.1999999999999998E-2</v>
      </c>
      <c r="E23" s="589">
        <v>9.5000000000000001E-2</v>
      </c>
      <c r="F23" s="589">
        <v>8.5999999999999993E-2</v>
      </c>
      <c r="G23" s="589">
        <v>9.6000000000000002E-2</v>
      </c>
      <c r="H23" s="589">
        <v>0.10400000000000001</v>
      </c>
      <c r="I23" s="589">
        <v>9.9000000000000005E-2</v>
      </c>
      <c r="J23" s="589">
        <v>0.109</v>
      </c>
      <c r="K23" s="589">
        <v>0.105</v>
      </c>
      <c r="L23" s="589">
        <v>0.106</v>
      </c>
      <c r="M23" s="589">
        <v>0.11199999999999999</v>
      </c>
      <c r="N23" s="589">
        <v>0.10199999999999999</v>
      </c>
      <c r="O23" s="590">
        <f t="shared" si="0"/>
        <v>0.11900000000000001</v>
      </c>
      <c r="P23" s="585"/>
      <c r="Q23" s="581">
        <v>774</v>
      </c>
      <c r="R23" s="582">
        <v>640</v>
      </c>
      <c r="S23" s="582">
        <v>672</v>
      </c>
      <c r="T23" s="582">
        <v>611</v>
      </c>
      <c r="U23" s="582">
        <v>686</v>
      </c>
      <c r="V23" s="582">
        <v>744</v>
      </c>
      <c r="W23" s="582">
        <v>712</v>
      </c>
      <c r="X23" s="582">
        <v>772</v>
      </c>
      <c r="Y23" s="582">
        <v>753</v>
      </c>
      <c r="Z23" s="582">
        <v>755</v>
      </c>
      <c r="AA23" s="579">
        <v>809</v>
      </c>
      <c r="AB23" s="579">
        <v>735</v>
      </c>
      <c r="AC23" s="580">
        <v>864</v>
      </c>
      <c r="AD23" s="573">
        <v>7260.5042016806719</v>
      </c>
    </row>
    <row r="24" spans="1:30" ht="16.5" customHeight="1">
      <c r="A24" s="544" t="s">
        <v>51</v>
      </c>
      <c r="B24" s="584" t="s">
        <v>52</v>
      </c>
      <c r="C24" s="588">
        <v>0.16899999999999998</v>
      </c>
      <c r="D24" s="589">
        <v>0.14699999999999999</v>
      </c>
      <c r="E24" s="589">
        <v>0.14699999999999999</v>
      </c>
      <c r="F24" s="589">
        <v>0.14400000000000002</v>
      </c>
      <c r="G24" s="589">
        <v>0.157</v>
      </c>
      <c r="H24" s="589">
        <v>0.161</v>
      </c>
      <c r="I24" s="589">
        <v>0.152</v>
      </c>
      <c r="J24" s="589">
        <v>0.17399999999999999</v>
      </c>
      <c r="K24" s="589">
        <v>0.17300000000000001</v>
      </c>
      <c r="L24" s="589">
        <v>0.18100000000000002</v>
      </c>
      <c r="M24" s="589">
        <v>0.17199999999999999</v>
      </c>
      <c r="N24" s="589">
        <v>0.18899999999999997</v>
      </c>
      <c r="O24" s="590">
        <f t="shared" si="0"/>
        <v>0.18600000000000003</v>
      </c>
      <c r="P24" s="585"/>
      <c r="Q24" s="578">
        <v>2112</v>
      </c>
      <c r="R24" s="579">
        <v>1825</v>
      </c>
      <c r="S24" s="579">
        <v>1779</v>
      </c>
      <c r="T24" s="579">
        <v>1781</v>
      </c>
      <c r="U24" s="579">
        <v>1935</v>
      </c>
      <c r="V24" s="579">
        <v>1974</v>
      </c>
      <c r="W24" s="579">
        <v>1871</v>
      </c>
      <c r="X24" s="579">
        <v>2097</v>
      </c>
      <c r="Y24" s="579">
        <v>2118</v>
      </c>
      <c r="Z24" s="579">
        <v>2187</v>
      </c>
      <c r="AA24" s="579">
        <v>2071</v>
      </c>
      <c r="AB24" s="579">
        <v>2237</v>
      </c>
      <c r="AC24" s="580">
        <v>2309</v>
      </c>
      <c r="AD24" s="573">
        <v>12413.978494623654</v>
      </c>
    </row>
    <row r="25" spans="1:30" ht="16.5" customHeight="1">
      <c r="A25" s="544" t="s">
        <v>57</v>
      </c>
      <c r="B25" s="584" t="s">
        <v>362</v>
      </c>
      <c r="C25" s="588">
        <v>5.8400000000000001E-2</v>
      </c>
      <c r="D25" s="589">
        <v>5.1399999999999994E-2</v>
      </c>
      <c r="E25" s="589">
        <v>4.8799999999999996E-2</v>
      </c>
      <c r="F25" s="589">
        <v>5.0799999999999998E-2</v>
      </c>
      <c r="G25" s="589">
        <v>5.9500000000000004E-2</v>
      </c>
      <c r="H25" s="589">
        <v>6.7400000000000002E-2</v>
      </c>
      <c r="I25" s="589">
        <v>6.5500000000000003E-2</v>
      </c>
      <c r="J25" s="589">
        <v>6.4500000000000002E-2</v>
      </c>
      <c r="K25" s="589">
        <v>5.5999999999999994E-2</v>
      </c>
      <c r="L25" s="589">
        <v>5.8899999999999994E-2</v>
      </c>
      <c r="M25" s="589">
        <v>5.8799999999999998E-2</v>
      </c>
      <c r="N25" s="589">
        <v>6.2300000000000001E-2</v>
      </c>
      <c r="O25" s="590">
        <f t="shared" si="0"/>
        <v>7.0308637779240374E-2</v>
      </c>
      <c r="P25" s="585"/>
      <c r="Q25" s="578">
        <v>15847</v>
      </c>
      <c r="R25" s="579">
        <v>14161</v>
      </c>
      <c r="S25" s="579">
        <v>13693</v>
      </c>
      <c r="T25" s="579">
        <v>14416</v>
      </c>
      <c r="U25" s="579">
        <v>17303</v>
      </c>
      <c r="V25" s="579">
        <v>19974</v>
      </c>
      <c r="W25" s="579">
        <v>20050</v>
      </c>
      <c r="X25" s="579">
        <v>19397</v>
      </c>
      <c r="Y25" s="579">
        <v>17221</v>
      </c>
      <c r="Z25" s="579">
        <v>18421</v>
      </c>
      <c r="AA25" s="579">
        <v>18608</v>
      </c>
      <c r="AB25" s="579">
        <v>19992</v>
      </c>
      <c r="AC25" s="580">
        <v>23091</v>
      </c>
      <c r="AD25" s="573">
        <v>328423.37341967312</v>
      </c>
    </row>
    <row r="26" spans="1:30" ht="16.5" customHeight="1">
      <c r="A26" s="544" t="s">
        <v>59</v>
      </c>
      <c r="B26" s="584" t="s">
        <v>60</v>
      </c>
      <c r="C26" s="588">
        <v>8.1000000000000003E-2</v>
      </c>
      <c r="D26" s="589">
        <v>6.4000000000000001E-2</v>
      </c>
      <c r="E26" s="589">
        <v>6.5000000000000002E-2</v>
      </c>
      <c r="F26" s="589">
        <v>6.4000000000000001E-2</v>
      </c>
      <c r="G26" s="589">
        <v>6.7000000000000004E-2</v>
      </c>
      <c r="H26" s="589">
        <v>6.7000000000000004E-2</v>
      </c>
      <c r="I26" s="589">
        <v>6.0999999999999999E-2</v>
      </c>
      <c r="J26" s="589">
        <v>6.6000000000000003E-2</v>
      </c>
      <c r="K26" s="589">
        <v>6.4000000000000001E-2</v>
      </c>
      <c r="L26" s="589">
        <v>6.3E-2</v>
      </c>
      <c r="M26" s="589">
        <v>7.5999999999999998E-2</v>
      </c>
      <c r="N26" s="589">
        <v>7.5999999999999998E-2</v>
      </c>
      <c r="O26" s="590">
        <f t="shared" si="0"/>
        <v>8.3000000000000004E-2</v>
      </c>
      <c r="P26" s="585"/>
      <c r="Q26" s="578">
        <v>1037</v>
      </c>
      <c r="R26" s="582">
        <v>798</v>
      </c>
      <c r="S26" s="582">
        <v>831</v>
      </c>
      <c r="T26" s="582">
        <v>833</v>
      </c>
      <c r="U26" s="582">
        <v>878</v>
      </c>
      <c r="V26" s="582">
        <v>914</v>
      </c>
      <c r="W26" s="582">
        <v>857</v>
      </c>
      <c r="X26" s="582">
        <v>917</v>
      </c>
      <c r="Y26" s="582">
        <v>917</v>
      </c>
      <c r="Z26" s="582">
        <v>892</v>
      </c>
      <c r="AA26" s="579">
        <v>1085</v>
      </c>
      <c r="AB26" s="579">
        <v>1091</v>
      </c>
      <c r="AC26" s="580">
        <v>1147</v>
      </c>
      <c r="AD26" s="573">
        <v>13819.277108433735</v>
      </c>
    </row>
    <row r="27" spans="1:30" ht="16.5" customHeight="1">
      <c r="A27" s="544" t="s">
        <v>61</v>
      </c>
      <c r="B27" s="584" t="s">
        <v>62</v>
      </c>
      <c r="C27" s="588">
        <v>8.900000000000001E-2</v>
      </c>
      <c r="D27" s="589">
        <v>8.3000000000000004E-2</v>
      </c>
      <c r="E27" s="589">
        <v>8.4000000000000005E-2</v>
      </c>
      <c r="F27" s="589">
        <v>0.08</v>
      </c>
      <c r="G27" s="589">
        <v>8.8000000000000009E-2</v>
      </c>
      <c r="H27" s="589">
        <v>9.6000000000000002E-2</v>
      </c>
      <c r="I27" s="589">
        <v>9.0999999999999998E-2</v>
      </c>
      <c r="J27" s="589">
        <v>0.10400000000000001</v>
      </c>
      <c r="K27" s="589">
        <v>0.106</v>
      </c>
      <c r="L27" s="589">
        <v>0.10300000000000001</v>
      </c>
      <c r="M27" s="589">
        <v>0.11199999999999999</v>
      </c>
      <c r="N27" s="589">
        <v>9.8000000000000004E-2</v>
      </c>
      <c r="O27" s="590">
        <f t="shared" si="0"/>
        <v>0.11599999999999999</v>
      </c>
      <c r="P27" s="585"/>
      <c r="Q27" s="581">
        <v>449</v>
      </c>
      <c r="R27" s="582">
        <v>426</v>
      </c>
      <c r="S27" s="582">
        <v>428</v>
      </c>
      <c r="T27" s="582">
        <v>407</v>
      </c>
      <c r="U27" s="582">
        <v>457</v>
      </c>
      <c r="V27" s="582">
        <v>493</v>
      </c>
      <c r="W27" s="582">
        <v>471</v>
      </c>
      <c r="X27" s="582">
        <v>531</v>
      </c>
      <c r="Y27" s="582">
        <v>544</v>
      </c>
      <c r="Z27" s="582">
        <v>528</v>
      </c>
      <c r="AA27" s="579">
        <v>565</v>
      </c>
      <c r="AB27" s="579">
        <v>486</v>
      </c>
      <c r="AC27" s="580">
        <v>599</v>
      </c>
      <c r="AD27" s="573">
        <v>5163.7931034482763</v>
      </c>
    </row>
    <row r="28" spans="1:30" ht="16.5" customHeight="1">
      <c r="A28" s="544" t="s">
        <v>63</v>
      </c>
      <c r="B28" s="584" t="s">
        <v>64</v>
      </c>
      <c r="C28" s="588">
        <v>0.105</v>
      </c>
      <c r="D28" s="589">
        <v>9.1999999999999998E-2</v>
      </c>
      <c r="E28" s="589">
        <v>0.09</v>
      </c>
      <c r="F28" s="589">
        <v>8.5999999999999993E-2</v>
      </c>
      <c r="G28" s="589">
        <v>8.8000000000000009E-2</v>
      </c>
      <c r="H28" s="589">
        <v>9.1999999999999998E-2</v>
      </c>
      <c r="I28" s="589">
        <v>8.8000000000000009E-2</v>
      </c>
      <c r="J28" s="589">
        <v>9.0999999999999998E-2</v>
      </c>
      <c r="K28" s="589">
        <v>8.4000000000000005E-2</v>
      </c>
      <c r="L28" s="589">
        <v>8.3000000000000004E-2</v>
      </c>
      <c r="M28" s="589">
        <v>8.1000000000000003E-2</v>
      </c>
      <c r="N28" s="589">
        <v>9.6000000000000002E-2</v>
      </c>
      <c r="O28" s="590">
        <f t="shared" si="0"/>
        <v>0.105</v>
      </c>
      <c r="P28" s="585"/>
      <c r="Q28" s="578">
        <v>3441</v>
      </c>
      <c r="R28" s="579">
        <v>3006</v>
      </c>
      <c r="S28" s="579">
        <v>3050</v>
      </c>
      <c r="T28" s="579">
        <v>3019</v>
      </c>
      <c r="U28" s="579">
        <v>3271</v>
      </c>
      <c r="V28" s="579">
        <v>3571</v>
      </c>
      <c r="W28" s="579">
        <v>3613</v>
      </c>
      <c r="X28" s="579">
        <v>3722</v>
      </c>
      <c r="Y28" s="579">
        <v>3620</v>
      </c>
      <c r="Z28" s="579">
        <v>3621</v>
      </c>
      <c r="AA28" s="579">
        <v>3612</v>
      </c>
      <c r="AB28" s="579">
        <v>4296</v>
      </c>
      <c r="AC28" s="580">
        <v>4720</v>
      </c>
      <c r="AD28" s="573">
        <v>44952.380952380954</v>
      </c>
    </row>
    <row r="29" spans="1:30" ht="16.5" customHeight="1">
      <c r="A29" s="544" t="s">
        <v>65</v>
      </c>
      <c r="B29" s="584" t="s">
        <v>66</v>
      </c>
      <c r="C29" s="588">
        <v>0.17100000000000001</v>
      </c>
      <c r="D29" s="589">
        <v>0.14000000000000001</v>
      </c>
      <c r="E29" s="589">
        <v>0.13500000000000001</v>
      </c>
      <c r="F29" s="589">
        <v>0.13100000000000001</v>
      </c>
      <c r="G29" s="589">
        <v>0.13699999999999998</v>
      </c>
      <c r="H29" s="589">
        <v>0.14099999999999999</v>
      </c>
      <c r="I29" s="589">
        <v>0.13900000000000001</v>
      </c>
      <c r="J29" s="589">
        <v>0.161</v>
      </c>
      <c r="K29" s="589">
        <v>0.15</v>
      </c>
      <c r="L29" s="589">
        <v>0.14899999999999999</v>
      </c>
      <c r="M29" s="589">
        <v>0.158</v>
      </c>
      <c r="N29" s="589">
        <v>0.155</v>
      </c>
      <c r="O29" s="590">
        <f t="shared" si="0"/>
        <v>0.17199999999999999</v>
      </c>
      <c r="P29" s="585"/>
      <c r="Q29" s="578">
        <v>1367</v>
      </c>
      <c r="R29" s="579">
        <v>1268</v>
      </c>
      <c r="S29" s="579">
        <v>1205</v>
      </c>
      <c r="T29" s="579">
        <v>1185</v>
      </c>
      <c r="U29" s="579">
        <v>1261</v>
      </c>
      <c r="V29" s="579">
        <v>1301</v>
      </c>
      <c r="W29" s="579">
        <v>1306</v>
      </c>
      <c r="X29" s="579">
        <v>1502</v>
      </c>
      <c r="Y29" s="579">
        <v>1411</v>
      </c>
      <c r="Z29" s="579">
        <v>1432</v>
      </c>
      <c r="AA29" s="579">
        <v>1520</v>
      </c>
      <c r="AB29" s="579">
        <v>1503</v>
      </c>
      <c r="AC29" s="580">
        <v>1721</v>
      </c>
      <c r="AD29" s="573">
        <v>10005.813953488372</v>
      </c>
    </row>
    <row r="30" spans="1:30" ht="16.5" customHeight="1">
      <c r="A30" s="544" t="s">
        <v>69</v>
      </c>
      <c r="B30" s="584" t="s">
        <v>70</v>
      </c>
      <c r="C30" s="588">
        <v>0.22</v>
      </c>
      <c r="D30" s="589">
        <v>0.184</v>
      </c>
      <c r="E30" s="589">
        <v>0.193</v>
      </c>
      <c r="F30" s="589">
        <v>0.183</v>
      </c>
      <c r="G30" s="589">
        <v>0.18899999999999997</v>
      </c>
      <c r="H30" s="589">
        <v>0.185</v>
      </c>
      <c r="I30" s="589">
        <v>0.183</v>
      </c>
      <c r="J30" s="589">
        <v>0.22800000000000001</v>
      </c>
      <c r="K30" s="589">
        <v>0.192</v>
      </c>
      <c r="L30" s="589">
        <v>0.21299999999999999</v>
      </c>
      <c r="M30" s="589">
        <v>0.218</v>
      </c>
      <c r="N30" s="589">
        <v>0.20499999999999999</v>
      </c>
      <c r="O30" s="590">
        <f t="shared" si="0"/>
        <v>0.22999999999999998</v>
      </c>
      <c r="P30" s="585"/>
      <c r="Q30" s="578">
        <v>3731</v>
      </c>
      <c r="R30" s="579">
        <v>3014</v>
      </c>
      <c r="S30" s="579">
        <v>3126</v>
      </c>
      <c r="T30" s="579">
        <v>2945</v>
      </c>
      <c r="U30" s="579">
        <v>3038</v>
      </c>
      <c r="V30" s="579">
        <v>2988</v>
      </c>
      <c r="W30" s="579">
        <v>2972</v>
      </c>
      <c r="X30" s="579">
        <v>3664</v>
      </c>
      <c r="Y30" s="579">
        <v>3078</v>
      </c>
      <c r="Z30" s="579">
        <v>3382</v>
      </c>
      <c r="AA30" s="579">
        <v>3508</v>
      </c>
      <c r="AB30" s="579">
        <v>3240</v>
      </c>
      <c r="AC30" s="580">
        <v>3567</v>
      </c>
      <c r="AD30" s="573">
        <v>15508.695652173914</v>
      </c>
    </row>
    <row r="31" spans="1:30" ht="16.5" customHeight="1">
      <c r="A31" s="544" t="s">
        <v>71</v>
      </c>
      <c r="B31" s="584" t="s">
        <v>72</v>
      </c>
      <c r="C31" s="588">
        <v>0.10800000000000001</v>
      </c>
      <c r="D31" s="589">
        <v>9.5000000000000001E-2</v>
      </c>
      <c r="E31" s="589">
        <v>9.4E-2</v>
      </c>
      <c r="F31" s="589">
        <v>8.8000000000000009E-2</v>
      </c>
      <c r="G31" s="589">
        <v>9.1999999999999998E-2</v>
      </c>
      <c r="H31" s="589">
        <v>0.10400000000000001</v>
      </c>
      <c r="I31" s="589">
        <v>0.10099999999999999</v>
      </c>
      <c r="J31" s="589">
        <v>0.10199999999999999</v>
      </c>
      <c r="K31" s="589">
        <v>0.111</v>
      </c>
      <c r="L31" s="589">
        <v>0.11</v>
      </c>
      <c r="M31" s="589">
        <v>0.113</v>
      </c>
      <c r="N31" s="589">
        <v>0.11199999999999999</v>
      </c>
      <c r="O31" s="590">
        <f t="shared" si="0"/>
        <v>0.11900000000000001</v>
      </c>
      <c r="P31" s="585"/>
      <c r="Q31" s="578">
        <v>2704</v>
      </c>
      <c r="R31" s="579">
        <v>2243</v>
      </c>
      <c r="S31" s="579">
        <v>2223</v>
      </c>
      <c r="T31" s="579">
        <v>2095</v>
      </c>
      <c r="U31" s="579">
        <v>2229</v>
      </c>
      <c r="V31" s="579">
        <v>2547</v>
      </c>
      <c r="W31" s="579">
        <v>2508</v>
      </c>
      <c r="X31" s="579">
        <v>2499</v>
      </c>
      <c r="Y31" s="579">
        <v>2768</v>
      </c>
      <c r="Z31" s="579">
        <v>2748</v>
      </c>
      <c r="AA31" s="579">
        <v>2850</v>
      </c>
      <c r="AB31" s="579">
        <v>2839</v>
      </c>
      <c r="AC31" s="580">
        <v>3249</v>
      </c>
      <c r="AD31" s="573">
        <v>27302.521008403361</v>
      </c>
    </row>
    <row r="32" spans="1:30" ht="16.5" customHeight="1">
      <c r="A32" s="544" t="s">
        <v>73</v>
      </c>
      <c r="B32" s="584" t="s">
        <v>74</v>
      </c>
      <c r="C32" s="588">
        <v>0.14599999999999999</v>
      </c>
      <c r="D32" s="589">
        <v>0.121</v>
      </c>
      <c r="E32" s="589">
        <v>0.122</v>
      </c>
      <c r="F32" s="589">
        <v>0.113</v>
      </c>
      <c r="G32" s="589">
        <v>0.124</v>
      </c>
      <c r="H32" s="589">
        <v>0.126</v>
      </c>
      <c r="I32" s="589">
        <v>0.11699999999999999</v>
      </c>
      <c r="J32" s="589">
        <v>0.126</v>
      </c>
      <c r="K32" s="589">
        <v>0.124</v>
      </c>
      <c r="L32" s="589">
        <v>0.121</v>
      </c>
      <c r="M32" s="589">
        <v>0.13</v>
      </c>
      <c r="N32" s="589">
        <v>0.13300000000000001</v>
      </c>
      <c r="O32" s="590">
        <f t="shared" si="0"/>
        <v>0.14099999999999999</v>
      </c>
      <c r="P32" s="585"/>
      <c r="Q32" s="578">
        <v>1338</v>
      </c>
      <c r="R32" s="579">
        <v>1194</v>
      </c>
      <c r="S32" s="579">
        <v>1195</v>
      </c>
      <c r="T32" s="579">
        <v>1121</v>
      </c>
      <c r="U32" s="579">
        <v>1264</v>
      </c>
      <c r="V32" s="579">
        <v>1286</v>
      </c>
      <c r="W32" s="579">
        <v>1211</v>
      </c>
      <c r="X32" s="579">
        <v>1291</v>
      </c>
      <c r="Y32" s="579">
        <v>1294</v>
      </c>
      <c r="Z32" s="579">
        <v>1295</v>
      </c>
      <c r="AA32" s="579">
        <v>1412</v>
      </c>
      <c r="AB32" s="579">
        <v>1459</v>
      </c>
      <c r="AC32" s="580">
        <v>1553</v>
      </c>
      <c r="AD32" s="573">
        <v>11014.184397163121</v>
      </c>
    </row>
    <row r="33" spans="1:30" ht="16.5" customHeight="1">
      <c r="A33" s="544" t="s">
        <v>75</v>
      </c>
      <c r="B33" s="584" t="s">
        <v>363</v>
      </c>
      <c r="C33" s="588">
        <v>4.6799999999999994E-2</v>
      </c>
      <c r="D33" s="589">
        <v>4.3799999999999999E-2</v>
      </c>
      <c r="E33" s="589">
        <v>4.0999999999999995E-2</v>
      </c>
      <c r="F33" s="589">
        <v>4.3899999999999995E-2</v>
      </c>
      <c r="G33" s="589">
        <v>0.05</v>
      </c>
      <c r="H33" s="589">
        <v>5.7599999999999998E-2</v>
      </c>
      <c r="I33" s="589">
        <v>5.2699999999999997E-2</v>
      </c>
      <c r="J33" s="589">
        <v>5.0799999999999998E-2</v>
      </c>
      <c r="K33" s="589">
        <v>5.1799999999999999E-2</v>
      </c>
      <c r="L33" s="589">
        <v>4.8899999999999999E-2</v>
      </c>
      <c r="M33" s="589">
        <v>4.8899999999999999E-2</v>
      </c>
      <c r="N33" s="589">
        <v>5.5999999999999994E-2</v>
      </c>
      <c r="O33" s="590">
        <f t="shared" si="0"/>
        <v>5.8925506050903943E-2</v>
      </c>
      <c r="P33" s="585"/>
      <c r="Q33" s="578">
        <v>45818</v>
      </c>
      <c r="R33" s="579">
        <v>43389</v>
      </c>
      <c r="S33" s="579">
        <v>42235</v>
      </c>
      <c r="T33" s="579">
        <v>44521</v>
      </c>
      <c r="U33" s="579">
        <v>51470</v>
      </c>
      <c r="V33" s="579">
        <v>59756</v>
      </c>
      <c r="W33" s="579">
        <v>54921</v>
      </c>
      <c r="X33" s="579">
        <v>52050</v>
      </c>
      <c r="Y33" s="579">
        <v>53870</v>
      </c>
      <c r="Z33" s="579">
        <v>50909</v>
      </c>
      <c r="AA33" s="579">
        <v>50622</v>
      </c>
      <c r="AB33" s="579">
        <v>59537</v>
      </c>
      <c r="AC33" s="580">
        <v>65890</v>
      </c>
      <c r="AD33" s="573">
        <v>1118191.500011551</v>
      </c>
    </row>
    <row r="34" spans="1:30" ht="16.5" customHeight="1">
      <c r="A34" s="544" t="s">
        <v>77</v>
      </c>
      <c r="B34" s="584" t="s">
        <v>78</v>
      </c>
      <c r="C34" s="588">
        <v>6.2E-2</v>
      </c>
      <c r="D34" s="589">
        <v>5.7000000000000002E-2</v>
      </c>
      <c r="E34" s="589">
        <v>5.4000000000000006E-2</v>
      </c>
      <c r="F34" s="589">
        <v>0.05</v>
      </c>
      <c r="G34" s="589">
        <v>5.2999999999999999E-2</v>
      </c>
      <c r="H34" s="589">
        <v>5.7999999999999996E-2</v>
      </c>
      <c r="I34" s="589">
        <v>5.7999999999999996E-2</v>
      </c>
      <c r="J34" s="589">
        <v>5.2000000000000005E-2</v>
      </c>
      <c r="K34" s="589">
        <v>5.2999999999999999E-2</v>
      </c>
      <c r="L34" s="589">
        <v>5.7000000000000002E-2</v>
      </c>
      <c r="M34" s="589">
        <v>6.0999999999999999E-2</v>
      </c>
      <c r="N34" s="589">
        <v>5.9000000000000004E-2</v>
      </c>
      <c r="O34" s="590">
        <f t="shared" si="0"/>
        <v>7.4999999999999997E-2</v>
      </c>
      <c r="P34" s="585"/>
      <c r="Q34" s="578">
        <v>3433</v>
      </c>
      <c r="R34" s="579">
        <v>3111</v>
      </c>
      <c r="S34" s="579">
        <v>3072</v>
      </c>
      <c r="T34" s="579">
        <v>2928</v>
      </c>
      <c r="U34" s="579">
        <v>3249</v>
      </c>
      <c r="V34" s="579">
        <v>3642</v>
      </c>
      <c r="W34" s="579">
        <v>3741</v>
      </c>
      <c r="X34" s="579">
        <v>3360</v>
      </c>
      <c r="Y34" s="579">
        <v>3484</v>
      </c>
      <c r="Z34" s="579">
        <v>3736</v>
      </c>
      <c r="AA34" s="579">
        <v>4048</v>
      </c>
      <c r="AB34" s="579">
        <v>4003</v>
      </c>
      <c r="AC34" s="580">
        <v>4839</v>
      </c>
      <c r="AD34" s="573">
        <v>64520</v>
      </c>
    </row>
    <row r="35" spans="1:30" ht="16.5" customHeight="1">
      <c r="A35" s="544" t="s">
        <v>79</v>
      </c>
      <c r="B35" s="584" t="s">
        <v>80</v>
      </c>
      <c r="C35" s="588">
        <v>0.12</v>
      </c>
      <c r="D35" s="589">
        <v>0.10400000000000001</v>
      </c>
      <c r="E35" s="589">
        <v>0.106</v>
      </c>
      <c r="F35" s="589">
        <v>0.105</v>
      </c>
      <c r="G35" s="589">
        <v>0.111</v>
      </c>
      <c r="H35" s="589">
        <v>0.114</v>
      </c>
      <c r="I35" s="589">
        <v>0.109</v>
      </c>
      <c r="J35" s="589">
        <v>0.12300000000000001</v>
      </c>
      <c r="K35" s="589">
        <v>0.13400000000000001</v>
      </c>
      <c r="L35" s="589">
        <v>0.129</v>
      </c>
      <c r="M35" s="589">
        <v>0.11900000000000001</v>
      </c>
      <c r="N35" s="589">
        <v>0.15</v>
      </c>
      <c r="O35" s="590">
        <f t="shared" si="0"/>
        <v>0.13599999999999998</v>
      </c>
      <c r="P35" s="585"/>
      <c r="Q35" s="578">
        <v>1615</v>
      </c>
      <c r="R35" s="579">
        <v>1452</v>
      </c>
      <c r="S35" s="579">
        <v>1491</v>
      </c>
      <c r="T35" s="579">
        <v>1499</v>
      </c>
      <c r="U35" s="579">
        <v>1593</v>
      </c>
      <c r="V35" s="579">
        <v>1649</v>
      </c>
      <c r="W35" s="579">
        <v>1598</v>
      </c>
      <c r="X35" s="579">
        <v>1788</v>
      </c>
      <c r="Y35" s="579">
        <v>1975</v>
      </c>
      <c r="Z35" s="579">
        <v>1883</v>
      </c>
      <c r="AA35" s="579">
        <v>1751</v>
      </c>
      <c r="AB35" s="579">
        <v>2236</v>
      </c>
      <c r="AC35" s="580">
        <v>2066</v>
      </c>
      <c r="AD35" s="573">
        <v>15191.176470588236</v>
      </c>
    </row>
    <row r="36" spans="1:30" ht="16.5" customHeight="1">
      <c r="A36" s="544" t="s">
        <v>81</v>
      </c>
      <c r="B36" s="584" t="s">
        <v>82</v>
      </c>
      <c r="C36" s="588">
        <v>7.2000000000000008E-2</v>
      </c>
      <c r="D36" s="589">
        <v>6.0999999999999999E-2</v>
      </c>
      <c r="E36" s="589">
        <v>6.5000000000000002E-2</v>
      </c>
      <c r="F36" s="589">
        <v>6.0999999999999999E-2</v>
      </c>
      <c r="G36" s="589">
        <v>6.8000000000000005E-2</v>
      </c>
      <c r="H36" s="589">
        <v>6.6000000000000003E-2</v>
      </c>
      <c r="I36" s="589">
        <v>6.2E-2</v>
      </c>
      <c r="J36" s="589">
        <v>7.8E-2</v>
      </c>
      <c r="K36" s="589">
        <v>6.7000000000000004E-2</v>
      </c>
      <c r="L36" s="589">
        <v>7.0000000000000007E-2</v>
      </c>
      <c r="M36" s="589">
        <v>6.7000000000000004E-2</v>
      </c>
      <c r="N36" s="589">
        <v>7.2000000000000008E-2</v>
      </c>
      <c r="O36" s="590">
        <f t="shared" si="0"/>
        <v>7.2999999999999995E-2</v>
      </c>
      <c r="P36" s="585"/>
      <c r="Q36" s="578">
        <v>1423</v>
      </c>
      <c r="R36" s="579">
        <v>1172</v>
      </c>
      <c r="S36" s="579">
        <v>1307</v>
      </c>
      <c r="T36" s="579">
        <v>1287</v>
      </c>
      <c r="U36" s="579">
        <v>1498</v>
      </c>
      <c r="V36" s="579">
        <v>1499</v>
      </c>
      <c r="W36" s="579">
        <v>1477</v>
      </c>
      <c r="X36" s="579">
        <v>1834</v>
      </c>
      <c r="Y36" s="579">
        <v>1597</v>
      </c>
      <c r="Z36" s="579">
        <v>1674</v>
      </c>
      <c r="AA36" s="579">
        <v>1624</v>
      </c>
      <c r="AB36" s="579">
        <v>1747</v>
      </c>
      <c r="AC36" s="580">
        <v>1784</v>
      </c>
      <c r="AD36" s="573">
        <v>24438.356164383564</v>
      </c>
    </row>
    <row r="37" spans="1:30" ht="16.5" customHeight="1">
      <c r="A37" s="544" t="s">
        <v>85</v>
      </c>
      <c r="B37" s="584" t="s">
        <v>86</v>
      </c>
      <c r="C37" s="588">
        <v>0.113</v>
      </c>
      <c r="D37" s="589">
        <v>9.6999999999999989E-2</v>
      </c>
      <c r="E37" s="589">
        <v>0.1</v>
      </c>
      <c r="F37" s="589">
        <v>0.10099999999999999</v>
      </c>
      <c r="G37" s="589">
        <v>0.113</v>
      </c>
      <c r="H37" s="589">
        <v>0.115</v>
      </c>
      <c r="I37" s="589">
        <v>0.109</v>
      </c>
      <c r="J37" s="589">
        <v>0.105</v>
      </c>
      <c r="K37" s="589">
        <v>0.106</v>
      </c>
      <c r="L37" s="589">
        <v>0.115</v>
      </c>
      <c r="M37" s="589">
        <v>0.13200000000000001</v>
      </c>
      <c r="N37" s="589">
        <v>0.14000000000000001</v>
      </c>
      <c r="O37" s="590">
        <f t="shared" si="0"/>
        <v>0.14400000000000002</v>
      </c>
      <c r="P37" s="585"/>
      <c r="Q37" s="578">
        <v>5061</v>
      </c>
      <c r="R37" s="579">
        <v>4536</v>
      </c>
      <c r="S37" s="579">
        <v>4701</v>
      </c>
      <c r="T37" s="579">
        <v>4813</v>
      </c>
      <c r="U37" s="579">
        <v>5464</v>
      </c>
      <c r="V37" s="579">
        <v>5618</v>
      </c>
      <c r="W37" s="579">
        <v>5402</v>
      </c>
      <c r="X37" s="579">
        <v>5187</v>
      </c>
      <c r="Y37" s="579">
        <v>5254</v>
      </c>
      <c r="Z37" s="579">
        <v>5704</v>
      </c>
      <c r="AA37" s="579">
        <v>6610</v>
      </c>
      <c r="AB37" s="579">
        <v>7043</v>
      </c>
      <c r="AC37" s="580">
        <v>7844</v>
      </c>
      <c r="AD37" s="573">
        <v>54472.222222222219</v>
      </c>
    </row>
    <row r="38" spans="1:30" ht="16.5" customHeight="1">
      <c r="A38" s="544" t="s">
        <v>87</v>
      </c>
      <c r="B38" s="584" t="s">
        <v>88</v>
      </c>
      <c r="C38" s="588">
        <v>7.400000000000001E-2</v>
      </c>
      <c r="D38" s="589">
        <v>6.6000000000000003E-2</v>
      </c>
      <c r="E38" s="589">
        <v>6.0999999999999999E-2</v>
      </c>
      <c r="F38" s="589">
        <v>0.06</v>
      </c>
      <c r="G38" s="589">
        <v>6.4000000000000001E-2</v>
      </c>
      <c r="H38" s="589">
        <v>6.7000000000000004E-2</v>
      </c>
      <c r="I38" s="589">
        <v>5.7999999999999996E-2</v>
      </c>
      <c r="J38" s="589">
        <v>6.5000000000000002E-2</v>
      </c>
      <c r="K38" s="589">
        <v>7.0999999999999994E-2</v>
      </c>
      <c r="L38" s="589">
        <v>6.6000000000000003E-2</v>
      </c>
      <c r="M38" s="589">
        <v>7.2999999999999995E-2</v>
      </c>
      <c r="N38" s="589">
        <v>9.1999999999999998E-2</v>
      </c>
      <c r="O38" s="590">
        <f t="shared" si="0"/>
        <v>7.3999999999999996E-2</v>
      </c>
      <c r="P38" s="585"/>
      <c r="Q38" s="578">
        <v>4224</v>
      </c>
      <c r="R38" s="579">
        <v>3884</v>
      </c>
      <c r="S38" s="579">
        <v>3719</v>
      </c>
      <c r="T38" s="579">
        <v>3714</v>
      </c>
      <c r="U38" s="579">
        <v>4114</v>
      </c>
      <c r="V38" s="579">
        <v>4446</v>
      </c>
      <c r="W38" s="579">
        <v>3989</v>
      </c>
      <c r="X38" s="579">
        <v>4429</v>
      </c>
      <c r="Y38" s="579">
        <v>5012</v>
      </c>
      <c r="Z38" s="579">
        <v>4736</v>
      </c>
      <c r="AA38" s="579">
        <v>5310</v>
      </c>
      <c r="AB38" s="579">
        <v>6796</v>
      </c>
      <c r="AC38" s="580">
        <v>5756</v>
      </c>
      <c r="AD38" s="573">
        <v>77783.783783783787</v>
      </c>
    </row>
    <row r="39" spans="1:30" ht="16.5" customHeight="1">
      <c r="A39" s="544" t="s">
        <v>93</v>
      </c>
      <c r="B39" s="584" t="s">
        <v>94</v>
      </c>
      <c r="C39" s="588">
        <v>0.11599999999999999</v>
      </c>
      <c r="D39" s="589">
        <v>9.5000000000000001E-2</v>
      </c>
      <c r="E39" s="589">
        <v>9.5000000000000001E-2</v>
      </c>
      <c r="F39" s="589">
        <v>9.6000000000000002E-2</v>
      </c>
      <c r="G39" s="589">
        <v>0.10400000000000001</v>
      </c>
      <c r="H39" s="589">
        <v>0.10800000000000001</v>
      </c>
      <c r="I39" s="589">
        <v>0.10300000000000001</v>
      </c>
      <c r="J39" s="589">
        <v>0.122</v>
      </c>
      <c r="K39" s="589">
        <v>0.11</v>
      </c>
      <c r="L39" s="589">
        <v>0.114</v>
      </c>
      <c r="M39" s="589">
        <v>0.125</v>
      </c>
      <c r="N39" s="589">
        <v>0.13100000000000001</v>
      </c>
      <c r="O39" s="590">
        <f t="shared" si="0"/>
        <v>0.13399999999999998</v>
      </c>
      <c r="P39" s="585"/>
      <c r="Q39" s="578">
        <v>1923</v>
      </c>
      <c r="R39" s="579">
        <v>1593</v>
      </c>
      <c r="S39" s="579">
        <v>1611</v>
      </c>
      <c r="T39" s="579">
        <v>1612</v>
      </c>
      <c r="U39" s="579">
        <v>1771</v>
      </c>
      <c r="V39" s="579">
        <v>1837</v>
      </c>
      <c r="W39" s="579">
        <v>1770</v>
      </c>
      <c r="X39" s="579">
        <v>2068</v>
      </c>
      <c r="Y39" s="579">
        <v>1896</v>
      </c>
      <c r="Z39" s="579">
        <v>1953</v>
      </c>
      <c r="AA39" s="579">
        <v>2149</v>
      </c>
      <c r="AB39" s="579">
        <v>2255</v>
      </c>
      <c r="AC39" s="580">
        <v>2292</v>
      </c>
      <c r="AD39" s="573">
        <v>17104.4776119403</v>
      </c>
    </row>
    <row r="40" spans="1:30" ht="16.5" customHeight="1">
      <c r="A40" s="544" t="s">
        <v>95</v>
      </c>
      <c r="B40" s="584" t="s">
        <v>96</v>
      </c>
      <c r="C40" s="588">
        <v>9.8000000000000004E-2</v>
      </c>
      <c r="D40" s="589">
        <v>8.5999999999999993E-2</v>
      </c>
      <c r="E40" s="589">
        <v>8.3000000000000004E-2</v>
      </c>
      <c r="F40" s="589">
        <v>7.8E-2</v>
      </c>
      <c r="G40" s="589">
        <v>8.5999999999999993E-2</v>
      </c>
      <c r="H40" s="589">
        <v>0.09</v>
      </c>
      <c r="I40" s="589">
        <v>8.6999999999999994E-2</v>
      </c>
      <c r="J40" s="589">
        <v>8.8000000000000009E-2</v>
      </c>
      <c r="K40" s="589">
        <v>9.6000000000000002E-2</v>
      </c>
      <c r="L40" s="589">
        <v>8.4000000000000005E-2</v>
      </c>
      <c r="M40" s="589">
        <v>9.0999999999999998E-2</v>
      </c>
      <c r="N40" s="589">
        <v>9.5000000000000001E-2</v>
      </c>
      <c r="O40" s="590">
        <f t="shared" si="0"/>
        <v>9.9000000000000005E-2</v>
      </c>
      <c r="P40" s="585"/>
      <c r="Q40" s="578">
        <v>3516</v>
      </c>
      <c r="R40" s="579">
        <v>2976</v>
      </c>
      <c r="S40" s="579">
        <v>2911</v>
      </c>
      <c r="T40" s="579">
        <v>2787</v>
      </c>
      <c r="U40" s="579">
        <v>3150</v>
      </c>
      <c r="V40" s="579">
        <v>3349</v>
      </c>
      <c r="W40" s="579">
        <v>3285</v>
      </c>
      <c r="X40" s="579">
        <v>3292</v>
      </c>
      <c r="Y40" s="579">
        <v>3621</v>
      </c>
      <c r="Z40" s="579">
        <v>3179</v>
      </c>
      <c r="AA40" s="579">
        <v>3487</v>
      </c>
      <c r="AB40" s="579">
        <v>3704</v>
      </c>
      <c r="AC40" s="580">
        <v>3603</v>
      </c>
      <c r="AD40" s="573">
        <v>36393.939393939392</v>
      </c>
    </row>
    <row r="41" spans="1:30" ht="16.5" customHeight="1">
      <c r="A41" s="544" t="s">
        <v>97</v>
      </c>
      <c r="B41" s="584" t="s">
        <v>98</v>
      </c>
      <c r="C41" s="588">
        <v>7.2999999999999995E-2</v>
      </c>
      <c r="D41" s="589">
        <v>7.0999999999999994E-2</v>
      </c>
      <c r="E41" s="589">
        <v>6.7000000000000004E-2</v>
      </c>
      <c r="F41" s="589">
        <v>5.7000000000000002E-2</v>
      </c>
      <c r="G41" s="589">
        <v>6.5000000000000002E-2</v>
      </c>
      <c r="H41" s="589">
        <v>7.2000000000000008E-2</v>
      </c>
      <c r="I41" s="589">
        <v>6.9000000000000006E-2</v>
      </c>
      <c r="J41" s="589">
        <v>6.7000000000000004E-2</v>
      </c>
      <c r="K41" s="589">
        <v>6.3E-2</v>
      </c>
      <c r="L41" s="589">
        <v>8.5000000000000006E-2</v>
      </c>
      <c r="M41" s="589">
        <v>6.4000000000000001E-2</v>
      </c>
      <c r="N41" s="589">
        <v>6.6000000000000003E-2</v>
      </c>
      <c r="O41" s="590">
        <f t="shared" si="0"/>
        <v>7.7000000000000013E-2</v>
      </c>
      <c r="P41" s="585"/>
      <c r="Q41" s="578">
        <v>1218</v>
      </c>
      <c r="R41" s="579">
        <v>1114</v>
      </c>
      <c r="S41" s="579">
        <v>1071</v>
      </c>
      <c r="T41" s="582">
        <v>925</v>
      </c>
      <c r="U41" s="579">
        <v>1098</v>
      </c>
      <c r="V41" s="579">
        <v>1263</v>
      </c>
      <c r="W41" s="579">
        <v>1252</v>
      </c>
      <c r="X41" s="579">
        <v>1192</v>
      </c>
      <c r="Y41" s="579">
        <v>1176</v>
      </c>
      <c r="Z41" s="579">
        <v>1620</v>
      </c>
      <c r="AA41" s="579">
        <v>1240</v>
      </c>
      <c r="AB41" s="579">
        <v>1298</v>
      </c>
      <c r="AC41" s="580">
        <v>1566</v>
      </c>
      <c r="AD41" s="573">
        <v>20337.662337662336</v>
      </c>
    </row>
    <row r="42" spans="1:30" ht="16.5" customHeight="1">
      <c r="A42" s="544" t="s">
        <v>99</v>
      </c>
      <c r="B42" s="584" t="s">
        <v>100</v>
      </c>
      <c r="C42" s="588">
        <v>0.151</v>
      </c>
      <c r="D42" s="589">
        <v>0.13100000000000001</v>
      </c>
      <c r="E42" s="589">
        <v>0.13500000000000001</v>
      </c>
      <c r="F42" s="589">
        <v>0.13900000000000001</v>
      </c>
      <c r="G42" s="589">
        <v>0.15</v>
      </c>
      <c r="H42" s="589">
        <v>0.14899999999999999</v>
      </c>
      <c r="I42" s="589">
        <v>0.14300000000000002</v>
      </c>
      <c r="J42" s="589">
        <v>0.16699999999999998</v>
      </c>
      <c r="K42" s="589">
        <v>0.159</v>
      </c>
      <c r="L42" s="589">
        <v>0.17600000000000002</v>
      </c>
      <c r="M42" s="589">
        <v>0.17699999999999999</v>
      </c>
      <c r="N42" s="589">
        <v>0.16500000000000001</v>
      </c>
      <c r="O42" s="590">
        <f t="shared" si="0"/>
        <v>0.17100000000000001</v>
      </c>
      <c r="P42" s="585"/>
      <c r="Q42" s="578">
        <v>2499</v>
      </c>
      <c r="R42" s="579">
        <v>2202</v>
      </c>
      <c r="S42" s="579">
        <v>2230</v>
      </c>
      <c r="T42" s="579">
        <v>2302</v>
      </c>
      <c r="U42" s="579">
        <v>2478</v>
      </c>
      <c r="V42" s="579">
        <v>2448</v>
      </c>
      <c r="W42" s="579">
        <v>2339</v>
      </c>
      <c r="X42" s="579">
        <v>2710</v>
      </c>
      <c r="Y42" s="579">
        <v>2546</v>
      </c>
      <c r="Z42" s="579">
        <v>2801</v>
      </c>
      <c r="AA42" s="579">
        <v>2790</v>
      </c>
      <c r="AB42" s="579">
        <v>2574</v>
      </c>
      <c r="AC42" s="580">
        <v>2617</v>
      </c>
      <c r="AD42" s="573">
        <v>15304.093567251461</v>
      </c>
    </row>
    <row r="43" spans="1:30" ht="16.5" customHeight="1">
      <c r="A43" s="544" t="s">
        <v>101</v>
      </c>
      <c r="B43" s="584" t="s">
        <v>102</v>
      </c>
      <c r="C43" s="588">
        <v>0.1</v>
      </c>
      <c r="D43" s="589">
        <v>7.400000000000001E-2</v>
      </c>
      <c r="E43" s="589">
        <v>7.0999999999999994E-2</v>
      </c>
      <c r="F43" s="589">
        <v>6.9000000000000006E-2</v>
      </c>
      <c r="G43" s="589">
        <v>7.400000000000001E-2</v>
      </c>
      <c r="H43" s="589">
        <v>7.9000000000000001E-2</v>
      </c>
      <c r="I43" s="589">
        <v>7.8E-2</v>
      </c>
      <c r="J43" s="589">
        <v>0.08</v>
      </c>
      <c r="K43" s="589">
        <v>7.6999999999999999E-2</v>
      </c>
      <c r="L43" s="589">
        <v>7.400000000000001E-2</v>
      </c>
      <c r="M43" s="589">
        <v>7.2999999999999995E-2</v>
      </c>
      <c r="N43" s="589">
        <v>8.5999999999999993E-2</v>
      </c>
      <c r="O43" s="590">
        <f t="shared" si="0"/>
        <v>9.7000000000000003E-2</v>
      </c>
      <c r="P43" s="585"/>
      <c r="Q43" s="578">
        <v>1496</v>
      </c>
      <c r="R43" s="579">
        <v>1132</v>
      </c>
      <c r="S43" s="579">
        <v>1121</v>
      </c>
      <c r="T43" s="579">
        <v>1124</v>
      </c>
      <c r="U43" s="579">
        <v>1244</v>
      </c>
      <c r="V43" s="579">
        <v>1342</v>
      </c>
      <c r="W43" s="579">
        <v>1355</v>
      </c>
      <c r="X43" s="579">
        <v>1369</v>
      </c>
      <c r="Y43" s="579">
        <v>1343</v>
      </c>
      <c r="Z43" s="579">
        <v>1309</v>
      </c>
      <c r="AA43" s="579">
        <v>1294</v>
      </c>
      <c r="AB43" s="579">
        <v>1568</v>
      </c>
      <c r="AC43" s="580">
        <v>1774</v>
      </c>
      <c r="AD43" s="573">
        <v>18288.659793814433</v>
      </c>
    </row>
    <row r="44" spans="1:30" ht="16.5" customHeight="1">
      <c r="A44" s="544" t="s">
        <v>103</v>
      </c>
      <c r="B44" s="584" t="s">
        <v>329</v>
      </c>
      <c r="C44" s="588">
        <v>0.19420000000000001</v>
      </c>
      <c r="D44" s="589">
        <v>0.16070000000000001</v>
      </c>
      <c r="E44" s="589">
        <v>0.17</v>
      </c>
      <c r="F44" s="589">
        <v>0.18280000000000002</v>
      </c>
      <c r="G44" s="589">
        <v>0.19070000000000001</v>
      </c>
      <c r="H44" s="589">
        <v>0.16339999999999999</v>
      </c>
      <c r="I44" s="589">
        <v>0.16500000000000001</v>
      </c>
      <c r="J44" s="589">
        <v>0.18809999999999999</v>
      </c>
      <c r="K44" s="589">
        <v>0.18760000000000002</v>
      </c>
      <c r="L44" s="589">
        <v>0.1948</v>
      </c>
      <c r="M44" s="589">
        <v>0.22699999999999998</v>
      </c>
      <c r="N44" s="589">
        <v>0.23089999999999999</v>
      </c>
      <c r="O44" s="590">
        <f t="shared" si="0"/>
        <v>0.23464616256133752</v>
      </c>
      <c r="P44" s="585"/>
      <c r="Q44" s="578">
        <v>2690</v>
      </c>
      <c r="R44" s="579">
        <v>2266</v>
      </c>
      <c r="S44" s="579">
        <v>2389</v>
      </c>
      <c r="T44" s="579">
        <v>2561</v>
      </c>
      <c r="U44" s="579">
        <v>2682</v>
      </c>
      <c r="V44" s="579">
        <v>2277</v>
      </c>
      <c r="W44" s="579">
        <v>2312</v>
      </c>
      <c r="X44" s="579">
        <v>2595</v>
      </c>
      <c r="Y44" s="579">
        <v>2602</v>
      </c>
      <c r="Z44" s="579">
        <v>2716</v>
      </c>
      <c r="AA44" s="579">
        <v>3193</v>
      </c>
      <c r="AB44" s="579">
        <v>3240</v>
      </c>
      <c r="AC44" s="580">
        <v>3375</v>
      </c>
      <c r="AD44" s="573">
        <v>14383.359025178008</v>
      </c>
    </row>
    <row r="45" spans="1:30" ht="16.5" customHeight="1">
      <c r="A45" s="544" t="s">
        <v>105</v>
      </c>
      <c r="B45" s="584" t="s">
        <v>106</v>
      </c>
      <c r="C45" s="588">
        <v>0.16</v>
      </c>
      <c r="D45" s="589">
        <v>0.14099999999999999</v>
      </c>
      <c r="E45" s="589">
        <v>0.14599999999999999</v>
      </c>
      <c r="F45" s="589">
        <v>0.14800000000000002</v>
      </c>
      <c r="G45" s="589">
        <v>0.16699999999999998</v>
      </c>
      <c r="H45" s="589">
        <v>0.16399999999999998</v>
      </c>
      <c r="I45" s="589">
        <v>0.16</v>
      </c>
      <c r="J45" s="589">
        <v>0.156</v>
      </c>
      <c r="K45" s="589">
        <v>0.184</v>
      </c>
      <c r="L45" s="589">
        <v>0.18600000000000003</v>
      </c>
      <c r="M45" s="589">
        <v>0.19500000000000001</v>
      </c>
      <c r="N45" s="589">
        <v>0.19800000000000001</v>
      </c>
      <c r="O45" s="590">
        <f t="shared" si="0"/>
        <v>0.193</v>
      </c>
      <c r="P45" s="585"/>
      <c r="Q45" s="578">
        <v>5898</v>
      </c>
      <c r="R45" s="579">
        <v>5183</v>
      </c>
      <c r="S45" s="579">
        <v>5297</v>
      </c>
      <c r="T45" s="579">
        <v>5345</v>
      </c>
      <c r="U45" s="579">
        <v>6015</v>
      </c>
      <c r="V45" s="579">
        <v>5875</v>
      </c>
      <c r="W45" s="579">
        <v>5715</v>
      </c>
      <c r="X45" s="579">
        <v>5506</v>
      </c>
      <c r="Y45" s="579">
        <v>6507</v>
      </c>
      <c r="Z45" s="579">
        <v>6462</v>
      </c>
      <c r="AA45" s="579">
        <v>6732</v>
      </c>
      <c r="AB45" s="579">
        <v>6819</v>
      </c>
      <c r="AC45" s="580">
        <v>6833</v>
      </c>
      <c r="AD45" s="573">
        <v>35404.145077720204</v>
      </c>
    </row>
    <row r="46" spans="1:30" ht="16.5" customHeight="1">
      <c r="A46" s="544" t="s">
        <v>109</v>
      </c>
      <c r="B46" s="584" t="s">
        <v>110</v>
      </c>
      <c r="C46" s="588">
        <v>4.4000000000000004E-2</v>
      </c>
      <c r="D46" s="589">
        <v>4.2000000000000003E-2</v>
      </c>
      <c r="E46" s="589">
        <v>4.0999999999999995E-2</v>
      </c>
      <c r="F46" s="589">
        <v>0.04</v>
      </c>
      <c r="G46" s="589">
        <v>4.5999999999999999E-2</v>
      </c>
      <c r="H46" s="589">
        <v>5.2999999999999999E-2</v>
      </c>
      <c r="I46" s="589">
        <v>5.0999999999999997E-2</v>
      </c>
      <c r="J46" s="589">
        <v>4.8000000000000001E-2</v>
      </c>
      <c r="K46" s="589">
        <v>4.0999999999999995E-2</v>
      </c>
      <c r="L46" s="589">
        <v>5.0999999999999997E-2</v>
      </c>
      <c r="M46" s="589">
        <v>4.5999999999999999E-2</v>
      </c>
      <c r="N46" s="589">
        <v>4.9000000000000002E-2</v>
      </c>
      <c r="O46" s="590">
        <f t="shared" si="0"/>
        <v>5.2999999999999999E-2</v>
      </c>
      <c r="P46" s="585"/>
      <c r="Q46" s="578">
        <v>3780</v>
      </c>
      <c r="R46" s="579">
        <v>3530</v>
      </c>
      <c r="S46" s="579">
        <v>3611</v>
      </c>
      <c r="T46" s="579">
        <v>3637</v>
      </c>
      <c r="U46" s="579">
        <v>4303</v>
      </c>
      <c r="V46" s="579">
        <v>5030</v>
      </c>
      <c r="W46" s="579">
        <v>4938</v>
      </c>
      <c r="X46" s="579">
        <v>4542</v>
      </c>
      <c r="Y46" s="579">
        <v>3965</v>
      </c>
      <c r="Z46" s="579">
        <v>4909</v>
      </c>
      <c r="AA46" s="579">
        <v>4518</v>
      </c>
      <c r="AB46" s="579">
        <v>4747</v>
      </c>
      <c r="AC46" s="580">
        <v>5218</v>
      </c>
      <c r="AD46" s="573">
        <v>98452.830188679247</v>
      </c>
    </row>
    <row r="47" spans="1:30" ht="16.5" customHeight="1">
      <c r="A47" s="544" t="s">
        <v>111</v>
      </c>
      <c r="B47" s="584" t="s">
        <v>112</v>
      </c>
      <c r="C47" s="588">
        <v>7.400000000000001E-2</v>
      </c>
      <c r="D47" s="589">
        <v>6.7000000000000004E-2</v>
      </c>
      <c r="E47" s="589">
        <v>6.2E-2</v>
      </c>
      <c r="F47" s="589">
        <v>6.3E-2</v>
      </c>
      <c r="G47" s="589">
        <v>7.0000000000000007E-2</v>
      </c>
      <c r="H47" s="589">
        <v>7.9000000000000001E-2</v>
      </c>
      <c r="I47" s="589">
        <v>7.8E-2</v>
      </c>
      <c r="J47" s="589">
        <v>7.9000000000000001E-2</v>
      </c>
      <c r="K47" s="589">
        <v>7.9000000000000001E-2</v>
      </c>
      <c r="L47" s="589">
        <v>8.5000000000000006E-2</v>
      </c>
      <c r="M47" s="589">
        <v>8.4000000000000005E-2</v>
      </c>
      <c r="N47" s="589">
        <v>0.1</v>
      </c>
      <c r="O47" s="590">
        <f t="shared" si="0"/>
        <v>9.8000000000000004E-2</v>
      </c>
      <c r="P47" s="585"/>
      <c r="Q47" s="578">
        <v>18165</v>
      </c>
      <c r="R47" s="579">
        <v>17530</v>
      </c>
      <c r="S47" s="579">
        <v>16209</v>
      </c>
      <c r="T47" s="579">
        <v>16609</v>
      </c>
      <c r="U47" s="579">
        <v>18976</v>
      </c>
      <c r="V47" s="579">
        <v>21631</v>
      </c>
      <c r="W47" s="579">
        <v>21612</v>
      </c>
      <c r="X47" s="579">
        <v>21858</v>
      </c>
      <c r="Y47" s="579">
        <v>22038</v>
      </c>
      <c r="Z47" s="579">
        <v>24163</v>
      </c>
      <c r="AA47" s="579">
        <v>24078</v>
      </c>
      <c r="AB47" s="579">
        <v>29165</v>
      </c>
      <c r="AC47" s="580">
        <v>29987</v>
      </c>
      <c r="AD47" s="573">
        <v>305989.79591836734</v>
      </c>
    </row>
    <row r="48" spans="1:30" ht="16.5" customHeight="1">
      <c r="A48" s="544" t="s">
        <v>113</v>
      </c>
      <c r="B48" s="584" t="s">
        <v>367</v>
      </c>
      <c r="C48" s="588">
        <v>0.12839999999999999</v>
      </c>
      <c r="D48" s="589">
        <v>0.1186</v>
      </c>
      <c r="E48" s="589">
        <v>0.12179999999999999</v>
      </c>
      <c r="F48" s="589">
        <v>0.1265</v>
      </c>
      <c r="G48" s="589">
        <v>0.14000000000000001</v>
      </c>
      <c r="H48" s="589">
        <v>0.14419999999999999</v>
      </c>
      <c r="I48" s="589">
        <v>0.1444</v>
      </c>
      <c r="J48" s="589">
        <v>0.16</v>
      </c>
      <c r="K48" s="589">
        <v>0.15590000000000001</v>
      </c>
      <c r="L48" s="589">
        <v>0.16949999999999998</v>
      </c>
      <c r="M48" s="589">
        <v>0.17499999999999999</v>
      </c>
      <c r="N48" s="589">
        <v>0.18659999999999999</v>
      </c>
      <c r="O48" s="590">
        <f t="shared" si="0"/>
        <v>0.18966798312007913</v>
      </c>
      <c r="P48" s="585"/>
      <c r="Q48" s="578">
        <v>9183</v>
      </c>
      <c r="R48" s="579">
        <v>8605</v>
      </c>
      <c r="S48" s="579">
        <v>8798</v>
      </c>
      <c r="T48" s="579">
        <v>9061</v>
      </c>
      <c r="U48" s="579">
        <v>10017</v>
      </c>
      <c r="V48" s="579">
        <v>10271</v>
      </c>
      <c r="W48" s="579">
        <v>10210</v>
      </c>
      <c r="X48" s="579">
        <v>11198</v>
      </c>
      <c r="Y48" s="579">
        <v>10877</v>
      </c>
      <c r="Z48" s="579">
        <v>11653</v>
      </c>
      <c r="AA48" s="579">
        <v>12089</v>
      </c>
      <c r="AB48" s="579">
        <v>12724</v>
      </c>
      <c r="AC48" s="580">
        <v>12671</v>
      </c>
      <c r="AD48" s="573">
        <v>66806.214689265544</v>
      </c>
    </row>
    <row r="49" spans="1:30" ht="16.5" customHeight="1">
      <c r="A49" s="544" t="s">
        <v>115</v>
      </c>
      <c r="B49" s="584" t="s">
        <v>116</v>
      </c>
      <c r="C49" s="588">
        <v>0.13500000000000001</v>
      </c>
      <c r="D49" s="589">
        <v>0.11</v>
      </c>
      <c r="E49" s="589">
        <v>0.11900000000000001</v>
      </c>
      <c r="F49" s="589">
        <v>0.12</v>
      </c>
      <c r="G49" s="589">
        <v>0.121</v>
      </c>
      <c r="H49" s="589">
        <v>0.11599999999999999</v>
      </c>
      <c r="I49" s="589">
        <v>0.10800000000000001</v>
      </c>
      <c r="J49" s="589">
        <v>0.128</v>
      </c>
      <c r="K49" s="589">
        <v>0.129</v>
      </c>
      <c r="L49" s="589">
        <v>0.128</v>
      </c>
      <c r="M49" s="589">
        <v>0.128</v>
      </c>
      <c r="N49" s="589">
        <v>0.13800000000000001</v>
      </c>
      <c r="O49" s="590">
        <f t="shared" si="0"/>
        <v>0.14400000000000002</v>
      </c>
      <c r="P49" s="585"/>
      <c r="Q49" s="581">
        <v>343</v>
      </c>
      <c r="R49" s="582">
        <v>280</v>
      </c>
      <c r="S49" s="582">
        <v>300</v>
      </c>
      <c r="T49" s="582">
        <v>298</v>
      </c>
      <c r="U49" s="582">
        <v>304</v>
      </c>
      <c r="V49" s="582">
        <v>290</v>
      </c>
      <c r="W49" s="582">
        <v>270</v>
      </c>
      <c r="X49" s="582">
        <v>316</v>
      </c>
      <c r="Y49" s="582">
        <v>324</v>
      </c>
      <c r="Z49" s="582">
        <v>313</v>
      </c>
      <c r="AA49" s="579">
        <v>311</v>
      </c>
      <c r="AB49" s="579">
        <v>323</v>
      </c>
      <c r="AC49" s="580">
        <v>330</v>
      </c>
      <c r="AD49" s="573">
        <v>2291.6666666666665</v>
      </c>
    </row>
    <row r="50" spans="1:30" ht="16.5" customHeight="1">
      <c r="A50" s="544" t="s">
        <v>119</v>
      </c>
      <c r="B50" s="584" t="s">
        <v>283</v>
      </c>
      <c r="C50" s="588">
        <v>0.10400000000000001</v>
      </c>
      <c r="D50" s="589">
        <v>8.8000000000000009E-2</v>
      </c>
      <c r="E50" s="589">
        <v>8.6999999999999994E-2</v>
      </c>
      <c r="F50" s="589">
        <v>0.08</v>
      </c>
      <c r="G50" s="589">
        <v>8.5000000000000006E-2</v>
      </c>
      <c r="H50" s="589">
        <v>9.3000000000000013E-2</v>
      </c>
      <c r="I50" s="589">
        <v>9.1999999999999998E-2</v>
      </c>
      <c r="J50" s="589">
        <v>8.5999999999999993E-2</v>
      </c>
      <c r="K50" s="589">
        <v>8.199999999999999E-2</v>
      </c>
      <c r="L50" s="589">
        <v>8.3000000000000004E-2</v>
      </c>
      <c r="M50" s="589">
        <v>7.8E-2</v>
      </c>
      <c r="N50" s="589">
        <v>0.10099999999999999</v>
      </c>
      <c r="O50" s="590">
        <f t="shared" si="0"/>
        <v>8.7999999999999995E-2</v>
      </c>
      <c r="P50" s="585"/>
      <c r="Q50" s="578">
        <v>3131</v>
      </c>
      <c r="R50" s="579">
        <v>2633</v>
      </c>
      <c r="S50" s="579">
        <v>2640</v>
      </c>
      <c r="T50" s="579">
        <v>2463</v>
      </c>
      <c r="U50" s="579">
        <v>2727</v>
      </c>
      <c r="V50" s="579">
        <v>3052</v>
      </c>
      <c r="W50" s="579">
        <v>3070</v>
      </c>
      <c r="X50" s="579">
        <v>2842</v>
      </c>
      <c r="Y50" s="579">
        <v>2829</v>
      </c>
      <c r="Z50" s="579">
        <v>2902</v>
      </c>
      <c r="AA50" s="579">
        <v>2740</v>
      </c>
      <c r="AB50" s="579">
        <v>3612</v>
      </c>
      <c r="AC50" s="580">
        <v>3082</v>
      </c>
      <c r="AD50" s="573">
        <v>35022.727272727272</v>
      </c>
    </row>
    <row r="51" spans="1:30" ht="16.5" customHeight="1">
      <c r="A51" s="544" t="s">
        <v>121</v>
      </c>
      <c r="B51" s="584" t="s">
        <v>122</v>
      </c>
      <c r="C51" s="588">
        <v>7.0000000000000007E-2</v>
      </c>
      <c r="D51" s="589">
        <v>6.7000000000000004E-2</v>
      </c>
      <c r="E51" s="589">
        <v>5.7999999999999996E-2</v>
      </c>
      <c r="F51" s="589">
        <v>5.9000000000000004E-2</v>
      </c>
      <c r="G51" s="589">
        <v>6.4000000000000001E-2</v>
      </c>
      <c r="H51" s="589">
        <v>7.2000000000000008E-2</v>
      </c>
      <c r="I51" s="589">
        <v>6.6000000000000003E-2</v>
      </c>
      <c r="J51" s="589">
        <v>6.0999999999999999E-2</v>
      </c>
      <c r="K51" s="589">
        <v>6.4000000000000001E-2</v>
      </c>
      <c r="L51" s="589">
        <v>5.7000000000000002E-2</v>
      </c>
      <c r="M51" s="589">
        <v>0.06</v>
      </c>
      <c r="N51" s="589">
        <v>7.0999999999999994E-2</v>
      </c>
      <c r="O51" s="590">
        <f t="shared" si="0"/>
        <v>7.7000000000000013E-2</v>
      </c>
      <c r="P51" s="585"/>
      <c r="Q51" s="578">
        <v>3248</v>
      </c>
      <c r="R51" s="579">
        <v>3163</v>
      </c>
      <c r="S51" s="579">
        <v>2805</v>
      </c>
      <c r="T51" s="579">
        <v>2962</v>
      </c>
      <c r="U51" s="579">
        <v>3406</v>
      </c>
      <c r="V51" s="579">
        <v>3922</v>
      </c>
      <c r="W51" s="579">
        <v>3780</v>
      </c>
      <c r="X51" s="579">
        <v>3445</v>
      </c>
      <c r="Y51" s="579">
        <v>3771</v>
      </c>
      <c r="Z51" s="579">
        <v>3440</v>
      </c>
      <c r="AA51" s="579">
        <v>3706</v>
      </c>
      <c r="AB51" s="579">
        <v>4449</v>
      </c>
      <c r="AC51" s="580">
        <v>5067</v>
      </c>
      <c r="AD51" s="573">
        <v>65805.194805194798</v>
      </c>
    </row>
    <row r="52" spans="1:30" ht="16.5" customHeight="1">
      <c r="A52" s="544" t="s">
        <v>123</v>
      </c>
      <c r="B52" s="584" t="s">
        <v>351</v>
      </c>
      <c r="C52" s="588">
        <v>0.14599999999999999</v>
      </c>
      <c r="D52" s="589">
        <v>0.11199999999999999</v>
      </c>
      <c r="E52" s="589">
        <v>0.11900000000000001</v>
      </c>
      <c r="F52" s="589">
        <v>0.11699999999999999</v>
      </c>
      <c r="G52" s="589">
        <v>0.121</v>
      </c>
      <c r="H52" s="589">
        <v>0.11599999999999999</v>
      </c>
      <c r="I52" s="589">
        <v>0.11199999999999999</v>
      </c>
      <c r="J52" s="589">
        <v>0.13400000000000001</v>
      </c>
      <c r="K52" s="589">
        <v>0.122</v>
      </c>
      <c r="L52" s="589">
        <v>0.121</v>
      </c>
      <c r="M52" s="589">
        <v>0.12300000000000001</v>
      </c>
      <c r="N52" s="589">
        <v>0.13200000000000001</v>
      </c>
      <c r="O52" s="590">
        <f t="shared" si="0"/>
        <v>0.128</v>
      </c>
      <c r="P52" s="585"/>
      <c r="Q52" s="581">
        <v>966</v>
      </c>
      <c r="R52" s="582">
        <v>746</v>
      </c>
      <c r="S52" s="582">
        <v>786</v>
      </c>
      <c r="T52" s="582">
        <v>771</v>
      </c>
      <c r="U52" s="582">
        <v>798</v>
      </c>
      <c r="V52" s="582">
        <v>787</v>
      </c>
      <c r="W52" s="582">
        <v>761</v>
      </c>
      <c r="X52" s="582">
        <v>905</v>
      </c>
      <c r="Y52" s="582">
        <v>839</v>
      </c>
      <c r="Z52" s="582">
        <v>829</v>
      </c>
      <c r="AA52" s="579">
        <v>840</v>
      </c>
      <c r="AB52" s="579">
        <v>895</v>
      </c>
      <c r="AC52" s="580">
        <v>888</v>
      </c>
      <c r="AD52" s="573">
        <v>6937.5</v>
      </c>
    </row>
    <row r="53" spans="1:30" ht="16.5" customHeight="1">
      <c r="A53" s="544" t="s">
        <v>125</v>
      </c>
      <c r="B53" s="584" t="s">
        <v>126</v>
      </c>
      <c r="C53" s="588">
        <v>8.1000000000000003E-2</v>
      </c>
      <c r="D53" s="589">
        <v>7.5999999999999998E-2</v>
      </c>
      <c r="E53" s="589">
        <v>7.0000000000000007E-2</v>
      </c>
      <c r="F53" s="589">
        <v>6.3E-2</v>
      </c>
      <c r="G53" s="589">
        <v>6.5000000000000002E-2</v>
      </c>
      <c r="H53" s="589">
        <v>7.0000000000000007E-2</v>
      </c>
      <c r="I53" s="589">
        <v>6.6000000000000003E-2</v>
      </c>
      <c r="J53" s="589">
        <v>6.2E-2</v>
      </c>
      <c r="K53" s="589">
        <v>0.06</v>
      </c>
      <c r="L53" s="589">
        <v>6.2E-2</v>
      </c>
      <c r="M53" s="589">
        <v>6.2E-2</v>
      </c>
      <c r="N53" s="589">
        <v>7.0000000000000007E-2</v>
      </c>
      <c r="O53" s="590">
        <f t="shared" si="0"/>
        <v>6.9000000000000006E-2</v>
      </c>
      <c r="P53" s="585"/>
      <c r="Q53" s="578">
        <v>1428</v>
      </c>
      <c r="R53" s="579">
        <v>1247</v>
      </c>
      <c r="S53" s="579">
        <v>1176</v>
      </c>
      <c r="T53" s="579">
        <v>1088</v>
      </c>
      <c r="U53" s="579">
        <v>1157</v>
      </c>
      <c r="V53" s="579">
        <v>1336</v>
      </c>
      <c r="W53" s="579">
        <v>1338</v>
      </c>
      <c r="X53" s="579">
        <v>1259</v>
      </c>
      <c r="Y53" s="579">
        <v>1276</v>
      </c>
      <c r="Z53" s="579">
        <v>1384</v>
      </c>
      <c r="AA53" s="579">
        <v>1399</v>
      </c>
      <c r="AB53" s="579">
        <v>1614</v>
      </c>
      <c r="AC53" s="580">
        <v>1609</v>
      </c>
      <c r="AD53" s="573">
        <v>23318.840579710144</v>
      </c>
    </row>
    <row r="54" spans="1:30" ht="16.5" customHeight="1">
      <c r="A54" s="544" t="s">
        <v>127</v>
      </c>
      <c r="B54" s="584" t="s">
        <v>128</v>
      </c>
      <c r="C54" s="588">
        <v>8.1000000000000003E-2</v>
      </c>
      <c r="D54" s="589">
        <v>6.4000000000000001E-2</v>
      </c>
      <c r="E54" s="589">
        <v>6.6000000000000003E-2</v>
      </c>
      <c r="F54" s="589">
        <v>6.3E-2</v>
      </c>
      <c r="G54" s="589">
        <v>6.5000000000000002E-2</v>
      </c>
      <c r="H54" s="589">
        <v>7.0999999999999994E-2</v>
      </c>
      <c r="I54" s="589">
        <v>6.8000000000000005E-2</v>
      </c>
      <c r="J54" s="589">
        <v>6.8000000000000005E-2</v>
      </c>
      <c r="K54" s="589">
        <v>6.9000000000000006E-2</v>
      </c>
      <c r="L54" s="589">
        <v>6.3E-2</v>
      </c>
      <c r="M54" s="589">
        <v>6.5000000000000002E-2</v>
      </c>
      <c r="N54" s="589">
        <v>7.2000000000000008E-2</v>
      </c>
      <c r="O54" s="590">
        <f t="shared" si="0"/>
        <v>7.6999999999999999E-2</v>
      </c>
      <c r="P54" s="585"/>
      <c r="Q54" s="578">
        <v>1072</v>
      </c>
      <c r="R54" s="582">
        <v>842</v>
      </c>
      <c r="S54" s="582">
        <v>894</v>
      </c>
      <c r="T54" s="582">
        <v>872</v>
      </c>
      <c r="U54" s="582">
        <v>921</v>
      </c>
      <c r="V54" s="579">
        <v>1014</v>
      </c>
      <c r="W54" s="579">
        <v>1007</v>
      </c>
      <c r="X54" s="582">
        <v>994</v>
      </c>
      <c r="Y54" s="579">
        <v>1060</v>
      </c>
      <c r="Z54" s="582">
        <v>981</v>
      </c>
      <c r="AA54" s="579">
        <v>1033</v>
      </c>
      <c r="AB54" s="579">
        <v>1158</v>
      </c>
      <c r="AC54" s="580">
        <v>1230</v>
      </c>
      <c r="AD54" s="573">
        <v>15974.025974025973</v>
      </c>
    </row>
    <row r="55" spans="1:30" ht="16.5" customHeight="1">
      <c r="A55" s="544" t="s">
        <v>129</v>
      </c>
      <c r="B55" s="584" t="s">
        <v>130</v>
      </c>
      <c r="C55" s="588">
        <v>0.153</v>
      </c>
      <c r="D55" s="589">
        <v>0.13100000000000001</v>
      </c>
      <c r="E55" s="589">
        <v>0.129</v>
      </c>
      <c r="F55" s="589">
        <v>0.125</v>
      </c>
      <c r="G55" s="589">
        <v>0.13400000000000001</v>
      </c>
      <c r="H55" s="589">
        <v>0.13300000000000001</v>
      </c>
      <c r="I55" s="589">
        <v>0.12300000000000001</v>
      </c>
      <c r="J55" s="589">
        <v>0.13600000000000001</v>
      </c>
      <c r="K55" s="589">
        <v>0.13500000000000001</v>
      </c>
      <c r="L55" s="589">
        <v>0.129</v>
      </c>
      <c r="M55" s="589">
        <v>0.13200000000000001</v>
      </c>
      <c r="N55" s="589">
        <v>0.127</v>
      </c>
      <c r="O55" s="590">
        <f t="shared" si="0"/>
        <v>0.13900000000000001</v>
      </c>
      <c r="P55" s="585"/>
      <c r="Q55" s="578">
        <v>1736</v>
      </c>
      <c r="R55" s="579">
        <v>1475</v>
      </c>
      <c r="S55" s="579">
        <v>1435</v>
      </c>
      <c r="T55" s="579">
        <v>1399</v>
      </c>
      <c r="U55" s="579">
        <v>1513</v>
      </c>
      <c r="V55" s="579">
        <v>1498</v>
      </c>
      <c r="W55" s="579">
        <v>1395</v>
      </c>
      <c r="X55" s="579">
        <v>1518</v>
      </c>
      <c r="Y55" s="579">
        <v>1507</v>
      </c>
      <c r="Z55" s="579">
        <v>1434</v>
      </c>
      <c r="AA55" s="579">
        <v>1463</v>
      </c>
      <c r="AB55" s="579">
        <v>1379</v>
      </c>
      <c r="AC55" s="580">
        <v>1557</v>
      </c>
      <c r="AD55" s="573">
        <v>11201.438848920863</v>
      </c>
    </row>
    <row r="56" spans="1:30" ht="16.5" customHeight="1">
      <c r="A56" s="544" t="s">
        <v>131</v>
      </c>
      <c r="B56" s="584" t="s">
        <v>132</v>
      </c>
      <c r="C56" s="588">
        <v>0.254</v>
      </c>
      <c r="D56" s="589">
        <v>0.21199999999999999</v>
      </c>
      <c r="E56" s="589">
        <v>0.223</v>
      </c>
      <c r="F56" s="589">
        <v>0.21199999999999999</v>
      </c>
      <c r="G56" s="589">
        <v>0.23300000000000001</v>
      </c>
      <c r="H56" s="589">
        <v>0.21600000000000003</v>
      </c>
      <c r="I56" s="589">
        <v>0.21100000000000002</v>
      </c>
      <c r="J56" s="589">
        <v>0.26400000000000001</v>
      </c>
      <c r="K56" s="589">
        <v>0.22399999999999998</v>
      </c>
      <c r="L56" s="589">
        <v>0.22899999999999998</v>
      </c>
      <c r="M56" s="589">
        <v>0.23300000000000001</v>
      </c>
      <c r="N56" s="589">
        <v>0.26100000000000001</v>
      </c>
      <c r="O56" s="590">
        <f t="shared" si="0"/>
        <v>0.255</v>
      </c>
      <c r="P56" s="585"/>
      <c r="Q56" s="578">
        <v>6117</v>
      </c>
      <c r="R56" s="579">
        <v>5005</v>
      </c>
      <c r="S56" s="579">
        <v>5171</v>
      </c>
      <c r="T56" s="579">
        <v>4988</v>
      </c>
      <c r="U56" s="579">
        <v>5547</v>
      </c>
      <c r="V56" s="579">
        <v>5144</v>
      </c>
      <c r="W56" s="579">
        <v>4987</v>
      </c>
      <c r="X56" s="579">
        <v>6163</v>
      </c>
      <c r="Y56" s="579">
        <v>5285</v>
      </c>
      <c r="Z56" s="579">
        <v>5343</v>
      </c>
      <c r="AA56" s="579">
        <v>5433</v>
      </c>
      <c r="AB56" s="579">
        <v>6079</v>
      </c>
      <c r="AC56" s="580">
        <v>6087</v>
      </c>
      <c r="AD56" s="573">
        <v>23870.588235294119</v>
      </c>
    </row>
    <row r="57" spans="1:30" ht="16.5" customHeight="1">
      <c r="A57" s="544" t="s">
        <v>133</v>
      </c>
      <c r="B57" s="584" t="s">
        <v>134</v>
      </c>
      <c r="C57" s="588">
        <v>3.2000000000000001E-2</v>
      </c>
      <c r="D57" s="589">
        <v>0.03</v>
      </c>
      <c r="E57" s="589">
        <v>2.7999999999999997E-2</v>
      </c>
      <c r="F57" s="589">
        <v>2.8999999999999998E-2</v>
      </c>
      <c r="G57" s="589">
        <v>3.2000000000000001E-2</v>
      </c>
      <c r="H57" s="589">
        <v>3.6000000000000004E-2</v>
      </c>
      <c r="I57" s="589">
        <v>3.4000000000000002E-2</v>
      </c>
      <c r="J57" s="589">
        <v>2.7000000000000003E-2</v>
      </c>
      <c r="K57" s="589">
        <v>2.8999999999999998E-2</v>
      </c>
      <c r="L57" s="589">
        <v>0.03</v>
      </c>
      <c r="M57" s="589">
        <v>3.1E-2</v>
      </c>
      <c r="N57" s="589">
        <v>3.4000000000000002E-2</v>
      </c>
      <c r="O57" s="590">
        <f t="shared" si="0"/>
        <v>3.7000000000000005E-2</v>
      </c>
      <c r="P57" s="585"/>
      <c r="Q57" s="578">
        <v>5150</v>
      </c>
      <c r="R57" s="579">
        <v>5035</v>
      </c>
      <c r="S57" s="579">
        <v>5340</v>
      </c>
      <c r="T57" s="579">
        <v>5869</v>
      </c>
      <c r="U57" s="579">
        <v>7055</v>
      </c>
      <c r="V57" s="579">
        <v>8721</v>
      </c>
      <c r="W57" s="579">
        <v>8788</v>
      </c>
      <c r="X57" s="579">
        <v>6966</v>
      </c>
      <c r="Y57" s="579">
        <v>7794</v>
      </c>
      <c r="Z57" s="579">
        <v>8284</v>
      </c>
      <c r="AA57" s="579">
        <v>9033</v>
      </c>
      <c r="AB57" s="579">
        <v>10069</v>
      </c>
      <c r="AC57" s="580">
        <v>11525</v>
      </c>
      <c r="AD57" s="573">
        <v>311486.48648648645</v>
      </c>
    </row>
    <row r="58" spans="1:30" ht="16.5" customHeight="1">
      <c r="A58" s="544" t="s">
        <v>135</v>
      </c>
      <c r="B58" s="584" t="s">
        <v>136</v>
      </c>
      <c r="C58" s="588">
        <v>0.10300000000000001</v>
      </c>
      <c r="D58" s="589">
        <v>0.09</v>
      </c>
      <c r="E58" s="589">
        <v>9.1999999999999998E-2</v>
      </c>
      <c r="F58" s="589">
        <v>9.0999999999999998E-2</v>
      </c>
      <c r="G58" s="589">
        <v>0.1</v>
      </c>
      <c r="H58" s="589">
        <v>0.10199999999999999</v>
      </c>
      <c r="I58" s="589">
        <v>9.6999999999999989E-2</v>
      </c>
      <c r="J58" s="589">
        <v>0.113</v>
      </c>
      <c r="K58" s="589">
        <v>9.9000000000000005E-2</v>
      </c>
      <c r="L58" s="589">
        <v>9.6999999999999989E-2</v>
      </c>
      <c r="M58" s="589">
        <v>9.6000000000000002E-2</v>
      </c>
      <c r="N58" s="589">
        <v>0.11699999999999999</v>
      </c>
      <c r="O58" s="590">
        <f t="shared" si="0"/>
        <v>9.9000000000000019E-2</v>
      </c>
      <c r="P58" s="585"/>
      <c r="Q58" s="578">
        <v>2617</v>
      </c>
      <c r="R58" s="579">
        <v>2319</v>
      </c>
      <c r="S58" s="579">
        <v>2411</v>
      </c>
      <c r="T58" s="579">
        <v>2456</v>
      </c>
      <c r="U58" s="579">
        <v>2793</v>
      </c>
      <c r="V58" s="579">
        <v>2928</v>
      </c>
      <c r="W58" s="579">
        <v>2911</v>
      </c>
      <c r="X58" s="579">
        <v>3364</v>
      </c>
      <c r="Y58" s="579">
        <v>3054</v>
      </c>
      <c r="Z58" s="579">
        <v>3080</v>
      </c>
      <c r="AA58" s="579">
        <v>3119</v>
      </c>
      <c r="AB58" s="579">
        <v>3828</v>
      </c>
      <c r="AC58" s="580">
        <v>3259</v>
      </c>
      <c r="AD58" s="573">
        <v>32919.191919191915</v>
      </c>
    </row>
    <row r="59" spans="1:30" ht="16.5" customHeight="1">
      <c r="A59" s="544" t="s">
        <v>137</v>
      </c>
      <c r="B59" s="584" t="s">
        <v>138</v>
      </c>
      <c r="C59" s="588">
        <v>0.184</v>
      </c>
      <c r="D59" s="589">
        <v>0.153</v>
      </c>
      <c r="E59" s="589">
        <v>0.16300000000000001</v>
      </c>
      <c r="F59" s="589">
        <v>0.16600000000000001</v>
      </c>
      <c r="G59" s="589">
        <v>0.18</v>
      </c>
      <c r="H59" s="589">
        <v>0.17300000000000001</v>
      </c>
      <c r="I59" s="589">
        <v>0.17100000000000001</v>
      </c>
      <c r="J59" s="589">
        <v>0.22800000000000001</v>
      </c>
      <c r="K59" s="589">
        <v>0.19800000000000001</v>
      </c>
      <c r="L59" s="589">
        <v>0.193</v>
      </c>
      <c r="M59" s="589">
        <v>0.215</v>
      </c>
      <c r="N59" s="589">
        <v>0.22500000000000001</v>
      </c>
      <c r="O59" s="590">
        <f t="shared" si="0"/>
        <v>0.20499999999999999</v>
      </c>
      <c r="P59" s="585"/>
      <c r="Q59" s="578">
        <v>2010</v>
      </c>
      <c r="R59" s="579">
        <v>1843</v>
      </c>
      <c r="S59" s="579">
        <v>1965</v>
      </c>
      <c r="T59" s="579">
        <v>1986</v>
      </c>
      <c r="U59" s="579">
        <v>2164</v>
      </c>
      <c r="V59" s="579">
        <v>2061</v>
      </c>
      <c r="W59" s="579">
        <v>2055</v>
      </c>
      <c r="X59" s="579">
        <v>2718</v>
      </c>
      <c r="Y59" s="579">
        <v>2368</v>
      </c>
      <c r="Z59" s="579">
        <v>2276</v>
      </c>
      <c r="AA59" s="579">
        <v>2516</v>
      </c>
      <c r="AB59" s="579">
        <v>2597</v>
      </c>
      <c r="AC59" s="580">
        <v>2396</v>
      </c>
      <c r="AD59" s="573">
        <v>11687.804878048781</v>
      </c>
    </row>
    <row r="60" spans="1:30" ht="16.5" customHeight="1">
      <c r="A60" s="544" t="s">
        <v>141</v>
      </c>
      <c r="B60" s="584" t="s">
        <v>142</v>
      </c>
      <c r="C60" s="588">
        <v>0.113</v>
      </c>
      <c r="D60" s="589">
        <v>9.3000000000000013E-2</v>
      </c>
      <c r="E60" s="589">
        <v>9.8000000000000004E-2</v>
      </c>
      <c r="F60" s="589">
        <v>8.900000000000001E-2</v>
      </c>
      <c r="G60" s="589">
        <v>9.4E-2</v>
      </c>
      <c r="H60" s="589">
        <v>9.5000000000000001E-2</v>
      </c>
      <c r="I60" s="589">
        <v>9.0999999999999998E-2</v>
      </c>
      <c r="J60" s="589">
        <v>9.8000000000000004E-2</v>
      </c>
      <c r="K60" s="589">
        <v>0.10199999999999999</v>
      </c>
      <c r="L60" s="589">
        <v>9.8000000000000004E-2</v>
      </c>
      <c r="M60" s="589">
        <v>0.107</v>
      </c>
      <c r="N60" s="589">
        <v>0.10800000000000001</v>
      </c>
      <c r="O60" s="590">
        <f t="shared" si="0"/>
        <v>0.11699999999999999</v>
      </c>
      <c r="P60" s="585"/>
      <c r="Q60" s="578">
        <v>1430</v>
      </c>
      <c r="R60" s="579">
        <v>1157</v>
      </c>
      <c r="S60" s="579">
        <v>1235</v>
      </c>
      <c r="T60" s="579">
        <v>1141</v>
      </c>
      <c r="U60" s="579">
        <v>1221</v>
      </c>
      <c r="V60" s="579">
        <v>1231</v>
      </c>
      <c r="W60" s="579">
        <v>1209</v>
      </c>
      <c r="X60" s="579">
        <v>1293</v>
      </c>
      <c r="Y60" s="579">
        <v>1369</v>
      </c>
      <c r="Z60" s="579">
        <v>1319</v>
      </c>
      <c r="AA60" s="579">
        <v>1434</v>
      </c>
      <c r="AB60" s="579">
        <v>1456</v>
      </c>
      <c r="AC60" s="580">
        <v>1544</v>
      </c>
      <c r="AD60" s="573">
        <v>13196.581196581197</v>
      </c>
    </row>
    <row r="61" spans="1:30" ht="16.5" customHeight="1">
      <c r="A61" s="544" t="s">
        <v>147</v>
      </c>
      <c r="B61" s="584" t="s">
        <v>148</v>
      </c>
      <c r="C61" s="588">
        <v>0.10199999999999999</v>
      </c>
      <c r="D61" s="589">
        <v>7.9000000000000001E-2</v>
      </c>
      <c r="E61" s="589">
        <v>8.6999999999999994E-2</v>
      </c>
      <c r="F61" s="589">
        <v>8.5999999999999993E-2</v>
      </c>
      <c r="G61" s="589">
        <v>8.900000000000001E-2</v>
      </c>
      <c r="H61" s="589">
        <v>8.6999999999999994E-2</v>
      </c>
      <c r="I61" s="589">
        <v>8.3000000000000004E-2</v>
      </c>
      <c r="J61" s="589">
        <v>8.1000000000000003E-2</v>
      </c>
      <c r="K61" s="589">
        <v>8.3000000000000004E-2</v>
      </c>
      <c r="L61" s="589">
        <v>8.1000000000000003E-2</v>
      </c>
      <c r="M61" s="589">
        <v>8.6999999999999994E-2</v>
      </c>
      <c r="N61" s="589">
        <v>9.6999999999999989E-2</v>
      </c>
      <c r="O61" s="590">
        <f t="shared" si="0"/>
        <v>0.10199999999999999</v>
      </c>
      <c r="P61" s="585"/>
      <c r="Q61" s="581">
        <v>963</v>
      </c>
      <c r="R61" s="582">
        <v>723</v>
      </c>
      <c r="S61" s="582">
        <v>799</v>
      </c>
      <c r="T61" s="582">
        <v>785</v>
      </c>
      <c r="U61" s="582">
        <v>819</v>
      </c>
      <c r="V61" s="582">
        <v>800</v>
      </c>
      <c r="W61" s="582">
        <v>766</v>
      </c>
      <c r="X61" s="582">
        <v>735</v>
      </c>
      <c r="Y61" s="582">
        <v>756</v>
      </c>
      <c r="Z61" s="582">
        <v>723</v>
      </c>
      <c r="AA61" s="579">
        <v>777</v>
      </c>
      <c r="AB61" s="579">
        <v>860</v>
      </c>
      <c r="AC61" s="580">
        <v>903</v>
      </c>
      <c r="AD61" s="573">
        <v>8852.9411764705892</v>
      </c>
    </row>
    <row r="62" spans="1:30" ht="16.5" customHeight="1">
      <c r="A62" s="544" t="s">
        <v>149</v>
      </c>
      <c r="B62" s="584" t="s">
        <v>150</v>
      </c>
      <c r="C62" s="588">
        <v>0.14699999999999999</v>
      </c>
      <c r="D62" s="589">
        <v>0.128</v>
      </c>
      <c r="E62" s="589">
        <v>0.13400000000000001</v>
      </c>
      <c r="F62" s="589">
        <v>0.13300000000000001</v>
      </c>
      <c r="G62" s="589">
        <v>0.153</v>
      </c>
      <c r="H62" s="589">
        <v>0.154</v>
      </c>
      <c r="I62" s="589">
        <v>0.14800000000000002</v>
      </c>
      <c r="J62" s="589">
        <v>0.16399999999999998</v>
      </c>
      <c r="K62" s="589">
        <v>0.14800000000000002</v>
      </c>
      <c r="L62" s="589">
        <v>0.16</v>
      </c>
      <c r="M62" s="589">
        <v>0.17399999999999999</v>
      </c>
      <c r="N62" s="589">
        <v>0.188</v>
      </c>
      <c r="O62" s="590">
        <f t="shared" si="0"/>
        <v>0.20199999999999999</v>
      </c>
      <c r="P62" s="585"/>
      <c r="Q62" s="578">
        <v>4501</v>
      </c>
      <c r="R62" s="579">
        <v>3973</v>
      </c>
      <c r="S62" s="579">
        <v>4156</v>
      </c>
      <c r="T62" s="579">
        <v>4113</v>
      </c>
      <c r="U62" s="579">
        <v>4773</v>
      </c>
      <c r="V62" s="579">
        <v>4779</v>
      </c>
      <c r="W62" s="579">
        <v>4609</v>
      </c>
      <c r="X62" s="579">
        <v>5062</v>
      </c>
      <c r="Y62" s="579">
        <v>4570</v>
      </c>
      <c r="Z62" s="579">
        <v>4889</v>
      </c>
      <c r="AA62" s="579">
        <v>5331</v>
      </c>
      <c r="AB62" s="579">
        <v>5731</v>
      </c>
      <c r="AC62" s="580">
        <v>6241</v>
      </c>
      <c r="AD62" s="573">
        <v>30896.039603960398</v>
      </c>
    </row>
    <row r="63" spans="1:30" ht="16.5" customHeight="1">
      <c r="A63" s="544" t="s">
        <v>151</v>
      </c>
      <c r="B63" s="584" t="s">
        <v>152</v>
      </c>
      <c r="C63" s="588">
        <v>0.121</v>
      </c>
      <c r="D63" s="589">
        <v>0.11199999999999999</v>
      </c>
      <c r="E63" s="589">
        <v>0.115</v>
      </c>
      <c r="F63" s="589">
        <v>0.11199999999999999</v>
      </c>
      <c r="G63" s="589">
        <v>0.11800000000000001</v>
      </c>
      <c r="H63" s="589">
        <v>0.11599999999999999</v>
      </c>
      <c r="I63" s="589">
        <v>0.11599999999999999</v>
      </c>
      <c r="J63" s="589">
        <v>0.13300000000000001</v>
      </c>
      <c r="K63" s="589">
        <v>0.127</v>
      </c>
      <c r="L63" s="589">
        <v>0.122</v>
      </c>
      <c r="M63" s="589">
        <v>0.124</v>
      </c>
      <c r="N63" s="589">
        <v>0.13800000000000001</v>
      </c>
      <c r="O63" s="590">
        <f t="shared" si="0"/>
        <v>0.13599999999999998</v>
      </c>
      <c r="P63" s="585"/>
      <c r="Q63" s="578">
        <v>1169</v>
      </c>
      <c r="R63" s="579">
        <v>1088</v>
      </c>
      <c r="S63" s="579">
        <v>1117</v>
      </c>
      <c r="T63" s="579">
        <v>1103</v>
      </c>
      <c r="U63" s="579">
        <v>1189</v>
      </c>
      <c r="V63" s="579">
        <v>1193</v>
      </c>
      <c r="W63" s="579">
        <v>1190</v>
      </c>
      <c r="X63" s="579">
        <v>1354</v>
      </c>
      <c r="Y63" s="579">
        <v>1307</v>
      </c>
      <c r="Z63" s="579">
        <v>1259</v>
      </c>
      <c r="AA63" s="579">
        <v>1272</v>
      </c>
      <c r="AB63" s="579">
        <v>1435</v>
      </c>
      <c r="AC63" s="580">
        <v>1442</v>
      </c>
      <c r="AD63" s="573">
        <v>10602.941176470589</v>
      </c>
    </row>
    <row r="64" spans="1:30" ht="16.5" customHeight="1">
      <c r="A64" s="544" t="s">
        <v>153</v>
      </c>
      <c r="B64" s="584" t="s">
        <v>154</v>
      </c>
      <c r="C64" s="588">
        <v>0.128</v>
      </c>
      <c r="D64" s="589">
        <v>0.11800000000000001</v>
      </c>
      <c r="E64" s="589">
        <v>0.125</v>
      </c>
      <c r="F64" s="589">
        <v>0.128</v>
      </c>
      <c r="G64" s="589">
        <v>0.14000000000000001</v>
      </c>
      <c r="H64" s="589">
        <v>0.152</v>
      </c>
      <c r="I64" s="589">
        <v>0.14899999999999999</v>
      </c>
      <c r="J64" s="589">
        <v>0.20899999999999999</v>
      </c>
      <c r="K64" s="589">
        <v>0.20300000000000001</v>
      </c>
      <c r="L64" s="589">
        <v>0.19899999999999998</v>
      </c>
      <c r="M64" s="589">
        <v>0.20600000000000002</v>
      </c>
      <c r="N64" s="589">
        <v>0.19</v>
      </c>
      <c r="O64" s="590">
        <f t="shared" si="0"/>
        <v>0.20500000000000002</v>
      </c>
      <c r="P64" s="585"/>
      <c r="Q64" s="578">
        <v>8975</v>
      </c>
      <c r="R64" s="579">
        <v>8849</v>
      </c>
      <c r="S64" s="579">
        <v>9453</v>
      </c>
      <c r="T64" s="579">
        <v>9761</v>
      </c>
      <c r="U64" s="579">
        <v>10779</v>
      </c>
      <c r="V64" s="579">
        <v>11417</v>
      </c>
      <c r="W64" s="579">
        <v>11267</v>
      </c>
      <c r="X64" s="579">
        <v>15671</v>
      </c>
      <c r="Y64" s="579">
        <v>15296</v>
      </c>
      <c r="Z64" s="579">
        <v>15836</v>
      </c>
      <c r="AA64" s="579">
        <v>16498</v>
      </c>
      <c r="AB64" s="579">
        <v>15475</v>
      </c>
      <c r="AC64" s="580">
        <v>17470</v>
      </c>
      <c r="AD64" s="573">
        <v>85219.512195121948</v>
      </c>
    </row>
    <row r="65" spans="1:30" ht="16.5" customHeight="1">
      <c r="A65" s="544" t="s">
        <v>155</v>
      </c>
      <c r="B65" s="584" t="s">
        <v>156</v>
      </c>
      <c r="C65" s="588">
        <v>0.11800000000000001</v>
      </c>
      <c r="D65" s="589">
        <v>0.10300000000000001</v>
      </c>
      <c r="E65" s="589">
        <v>0.10300000000000001</v>
      </c>
      <c r="F65" s="589">
        <v>0.10199999999999999</v>
      </c>
      <c r="G65" s="589">
        <v>0.109</v>
      </c>
      <c r="H65" s="589">
        <v>0.11199999999999999</v>
      </c>
      <c r="I65" s="589">
        <v>0.10400000000000001</v>
      </c>
      <c r="J65" s="589">
        <v>0.11900000000000001</v>
      </c>
      <c r="K65" s="589">
        <v>0.113</v>
      </c>
      <c r="L65" s="589">
        <v>0.114</v>
      </c>
      <c r="M65" s="589">
        <v>0.13200000000000001</v>
      </c>
      <c r="N65" s="589">
        <v>0.127</v>
      </c>
      <c r="O65" s="590">
        <f t="shared" si="0"/>
        <v>0.13100000000000001</v>
      </c>
      <c r="P65" s="585"/>
      <c r="Q65" s="578">
        <v>1699</v>
      </c>
      <c r="R65" s="579">
        <v>1491</v>
      </c>
      <c r="S65" s="579">
        <v>1493</v>
      </c>
      <c r="T65" s="579">
        <v>1495</v>
      </c>
      <c r="U65" s="579">
        <v>1638</v>
      </c>
      <c r="V65" s="579">
        <v>1674</v>
      </c>
      <c r="W65" s="579">
        <v>1574</v>
      </c>
      <c r="X65" s="579">
        <v>1770</v>
      </c>
      <c r="Y65" s="579">
        <v>1704</v>
      </c>
      <c r="Z65" s="579">
        <v>1730</v>
      </c>
      <c r="AA65" s="579">
        <v>2009</v>
      </c>
      <c r="AB65" s="579">
        <v>1960</v>
      </c>
      <c r="AC65" s="580">
        <v>1956</v>
      </c>
      <c r="AD65" s="573">
        <v>14931.297709923665</v>
      </c>
    </row>
    <row r="66" spans="1:30" ht="16.5" customHeight="1">
      <c r="A66" s="544" t="s">
        <v>157</v>
      </c>
      <c r="B66" s="584" t="s">
        <v>158</v>
      </c>
      <c r="C66" s="588">
        <v>5.5999999999999994E-2</v>
      </c>
      <c r="D66" s="589">
        <v>5.0999999999999997E-2</v>
      </c>
      <c r="E66" s="589">
        <v>5.0999999999999997E-2</v>
      </c>
      <c r="F66" s="589">
        <v>5.2000000000000005E-2</v>
      </c>
      <c r="G66" s="589">
        <v>5.7000000000000002E-2</v>
      </c>
      <c r="H66" s="589">
        <v>5.5999999999999994E-2</v>
      </c>
      <c r="I66" s="589">
        <v>5.5E-2</v>
      </c>
      <c r="J66" s="589">
        <v>5.2000000000000005E-2</v>
      </c>
      <c r="K66" s="589">
        <v>5.5E-2</v>
      </c>
      <c r="L66" s="589">
        <v>5.2999999999999999E-2</v>
      </c>
      <c r="M66" s="589">
        <v>5.5999999999999994E-2</v>
      </c>
      <c r="N66" s="589">
        <v>5.5999999999999994E-2</v>
      </c>
      <c r="O66" s="590">
        <f t="shared" si="0"/>
        <v>5.7999999999999996E-2</v>
      </c>
      <c r="P66" s="585"/>
      <c r="Q66" s="581">
        <v>729</v>
      </c>
      <c r="R66" s="582">
        <v>676</v>
      </c>
      <c r="S66" s="582">
        <v>683</v>
      </c>
      <c r="T66" s="582">
        <v>720</v>
      </c>
      <c r="U66" s="582">
        <v>823</v>
      </c>
      <c r="V66" s="582">
        <v>858</v>
      </c>
      <c r="W66" s="582">
        <v>864</v>
      </c>
      <c r="X66" s="582">
        <v>821</v>
      </c>
      <c r="Y66" s="582">
        <v>905</v>
      </c>
      <c r="Z66" s="582">
        <v>880</v>
      </c>
      <c r="AA66" s="579">
        <v>959</v>
      </c>
      <c r="AB66" s="579">
        <v>981</v>
      </c>
      <c r="AC66" s="580">
        <v>1037</v>
      </c>
      <c r="AD66" s="573">
        <v>17879.310344827587</v>
      </c>
    </row>
    <row r="67" spans="1:30" ht="16.5" customHeight="1">
      <c r="A67" s="544" t="s">
        <v>163</v>
      </c>
      <c r="B67" s="584" t="s">
        <v>164</v>
      </c>
      <c r="C67" s="588">
        <v>0.23399999999999999</v>
      </c>
      <c r="D67" s="589">
        <v>0.18600000000000003</v>
      </c>
      <c r="E67" s="589">
        <v>0.18600000000000003</v>
      </c>
      <c r="F67" s="589">
        <v>0.17600000000000002</v>
      </c>
      <c r="G67" s="589">
        <v>0.184</v>
      </c>
      <c r="H67" s="589">
        <v>0.18100000000000002</v>
      </c>
      <c r="I67" s="589">
        <v>0.17600000000000002</v>
      </c>
      <c r="J67" s="589">
        <v>0.19899999999999998</v>
      </c>
      <c r="K67" s="589">
        <v>0.18899999999999997</v>
      </c>
      <c r="L67" s="589">
        <v>0.20800000000000002</v>
      </c>
      <c r="M67" s="589">
        <v>0.19500000000000001</v>
      </c>
      <c r="N67" s="589">
        <v>0.20600000000000002</v>
      </c>
      <c r="O67" s="590">
        <f t="shared" si="0"/>
        <v>0.18699999999999997</v>
      </c>
      <c r="P67" s="585"/>
      <c r="Q67" s="578">
        <v>2987</v>
      </c>
      <c r="R67" s="579">
        <v>2407</v>
      </c>
      <c r="S67" s="579">
        <v>2377</v>
      </c>
      <c r="T67" s="579">
        <v>2271</v>
      </c>
      <c r="U67" s="579">
        <v>2426</v>
      </c>
      <c r="V67" s="579">
        <v>2380</v>
      </c>
      <c r="W67" s="579">
        <v>2359</v>
      </c>
      <c r="X67" s="579">
        <v>2614</v>
      </c>
      <c r="Y67" s="579">
        <v>2527</v>
      </c>
      <c r="Z67" s="579">
        <v>2732</v>
      </c>
      <c r="AA67" s="579">
        <v>2560</v>
      </c>
      <c r="AB67" s="579">
        <v>2723</v>
      </c>
      <c r="AC67" s="580">
        <v>2258</v>
      </c>
      <c r="AD67" s="573">
        <v>12074.866310160429</v>
      </c>
    </row>
    <row r="68" spans="1:30" ht="16.5" customHeight="1">
      <c r="A68" s="544" t="s">
        <v>165</v>
      </c>
      <c r="B68" s="584" t="s">
        <v>166</v>
      </c>
      <c r="C68" s="588">
        <v>0.128</v>
      </c>
      <c r="D68" s="589">
        <v>0.109</v>
      </c>
      <c r="E68" s="589">
        <v>0.11800000000000001</v>
      </c>
      <c r="F68" s="589">
        <v>0.11699999999999999</v>
      </c>
      <c r="G68" s="589">
        <v>0.13</v>
      </c>
      <c r="H68" s="589">
        <v>0.12300000000000001</v>
      </c>
      <c r="I68" s="589">
        <v>0.11800000000000001</v>
      </c>
      <c r="J68" s="589">
        <v>0.124</v>
      </c>
      <c r="K68" s="589">
        <v>0.13400000000000001</v>
      </c>
      <c r="L68" s="589">
        <v>0.13600000000000001</v>
      </c>
      <c r="M68" s="589">
        <v>0.13</v>
      </c>
      <c r="N68" s="589">
        <v>0.13600000000000001</v>
      </c>
      <c r="O68" s="590">
        <f t="shared" si="0"/>
        <v>0.14399999999999999</v>
      </c>
      <c r="P68" s="585"/>
      <c r="Q68" s="578">
        <v>1506</v>
      </c>
      <c r="R68" s="579">
        <v>1342</v>
      </c>
      <c r="S68" s="579">
        <v>1458</v>
      </c>
      <c r="T68" s="579">
        <v>1477</v>
      </c>
      <c r="U68" s="579">
        <v>1666</v>
      </c>
      <c r="V68" s="579">
        <v>1592</v>
      </c>
      <c r="W68" s="579">
        <v>1523</v>
      </c>
      <c r="X68" s="579">
        <v>1591</v>
      </c>
      <c r="Y68" s="579">
        <v>1709</v>
      </c>
      <c r="Z68" s="579">
        <v>1756</v>
      </c>
      <c r="AA68" s="579">
        <v>1679</v>
      </c>
      <c r="AB68" s="579">
        <v>1766</v>
      </c>
      <c r="AC68" s="580">
        <v>1766</v>
      </c>
      <c r="AD68" s="573">
        <v>12263.888888888889</v>
      </c>
    </row>
    <row r="69" spans="1:30" ht="16.5" customHeight="1">
      <c r="A69" s="544" t="s">
        <v>169</v>
      </c>
      <c r="B69" s="584" t="s">
        <v>170</v>
      </c>
      <c r="C69" s="588">
        <v>0.185</v>
      </c>
      <c r="D69" s="589">
        <v>0.16399999999999998</v>
      </c>
      <c r="E69" s="589">
        <v>0.16399999999999998</v>
      </c>
      <c r="F69" s="589">
        <v>0.156</v>
      </c>
      <c r="G69" s="589">
        <v>0.17</v>
      </c>
      <c r="H69" s="589">
        <v>0.17300000000000001</v>
      </c>
      <c r="I69" s="589">
        <v>0.16800000000000001</v>
      </c>
      <c r="J69" s="589">
        <v>0.19399999999999998</v>
      </c>
      <c r="K69" s="589">
        <v>0.193</v>
      </c>
      <c r="L69" s="589">
        <v>0.19899999999999998</v>
      </c>
      <c r="M69" s="589">
        <v>0.20600000000000002</v>
      </c>
      <c r="N69" s="589">
        <v>0.20300000000000001</v>
      </c>
      <c r="O69" s="590">
        <f t="shared" ref="O69:O124" si="1">+AC69/AD69</f>
        <v>0.20799999999999999</v>
      </c>
      <c r="P69" s="585"/>
      <c r="Q69" s="578">
        <v>2538</v>
      </c>
      <c r="R69" s="579">
        <v>2325</v>
      </c>
      <c r="S69" s="579">
        <v>2331</v>
      </c>
      <c r="T69" s="579">
        <v>2210</v>
      </c>
      <c r="U69" s="579">
        <v>2405</v>
      </c>
      <c r="V69" s="579">
        <v>2444</v>
      </c>
      <c r="W69" s="579">
        <v>2367</v>
      </c>
      <c r="X69" s="579">
        <v>2703</v>
      </c>
      <c r="Y69" s="579">
        <v>2702</v>
      </c>
      <c r="Z69" s="579">
        <v>2785</v>
      </c>
      <c r="AA69" s="579">
        <v>2921</v>
      </c>
      <c r="AB69" s="579">
        <v>2880</v>
      </c>
      <c r="AC69" s="580">
        <v>2903</v>
      </c>
      <c r="AD69" s="573">
        <v>13956.73076923077</v>
      </c>
    </row>
    <row r="70" spans="1:30" ht="16.5" customHeight="1">
      <c r="A70" s="544" t="s">
        <v>171</v>
      </c>
      <c r="B70" s="584" t="s">
        <v>172</v>
      </c>
      <c r="C70" s="588">
        <v>8.8000000000000009E-2</v>
      </c>
      <c r="D70" s="589">
        <v>8.900000000000001E-2</v>
      </c>
      <c r="E70" s="589">
        <v>8.900000000000001E-2</v>
      </c>
      <c r="F70" s="589">
        <v>8.6999999999999994E-2</v>
      </c>
      <c r="G70" s="589">
        <v>8.8000000000000009E-2</v>
      </c>
      <c r="H70" s="589">
        <v>8.5999999999999993E-2</v>
      </c>
      <c r="I70" s="589">
        <v>0.08</v>
      </c>
      <c r="J70" s="589">
        <v>8.4000000000000005E-2</v>
      </c>
      <c r="K70" s="589">
        <v>7.8E-2</v>
      </c>
      <c r="L70" s="589">
        <v>8.5999999999999993E-2</v>
      </c>
      <c r="M70" s="589">
        <v>8.199999999999999E-2</v>
      </c>
      <c r="N70" s="589">
        <v>9.5000000000000001E-2</v>
      </c>
      <c r="O70" s="590">
        <f t="shared" si="1"/>
        <v>0.10699999999999998</v>
      </c>
      <c r="P70" s="585"/>
      <c r="Q70" s="578">
        <v>2286</v>
      </c>
      <c r="R70" s="579">
        <v>2279</v>
      </c>
      <c r="S70" s="579">
        <v>2338</v>
      </c>
      <c r="T70" s="579">
        <v>2333</v>
      </c>
      <c r="U70" s="579">
        <v>2447</v>
      </c>
      <c r="V70" s="579">
        <v>2444</v>
      </c>
      <c r="W70" s="579">
        <v>2375</v>
      </c>
      <c r="X70" s="579">
        <v>2490</v>
      </c>
      <c r="Y70" s="579">
        <v>2412</v>
      </c>
      <c r="Z70" s="579">
        <v>2728</v>
      </c>
      <c r="AA70" s="579">
        <v>2677</v>
      </c>
      <c r="AB70" s="579">
        <v>3130</v>
      </c>
      <c r="AC70" s="580">
        <v>3517</v>
      </c>
      <c r="AD70" s="573">
        <v>32869.158878504677</v>
      </c>
    </row>
    <row r="71" spans="1:30" ht="16.5" customHeight="1">
      <c r="A71" s="544" t="s">
        <v>173</v>
      </c>
      <c r="B71" s="584" t="s">
        <v>174</v>
      </c>
      <c r="C71" s="588">
        <v>0.11699999999999999</v>
      </c>
      <c r="D71" s="589">
        <v>0.109</v>
      </c>
      <c r="E71" s="589">
        <v>0.106</v>
      </c>
      <c r="F71" s="589">
        <v>0.10099999999999999</v>
      </c>
      <c r="G71" s="589">
        <v>0.11</v>
      </c>
      <c r="H71" s="589">
        <v>0.12</v>
      </c>
      <c r="I71" s="589">
        <v>0.11599999999999999</v>
      </c>
      <c r="J71" s="589">
        <v>0.13300000000000001</v>
      </c>
      <c r="K71" s="589">
        <v>0.13</v>
      </c>
      <c r="L71" s="589">
        <v>0.122</v>
      </c>
      <c r="M71" s="589">
        <v>0.14199999999999999</v>
      </c>
      <c r="N71" s="589">
        <v>0.125</v>
      </c>
      <c r="O71" s="590">
        <f t="shared" si="1"/>
        <v>0.15699999999999997</v>
      </c>
      <c r="P71" s="585"/>
      <c r="Q71" s="578">
        <v>2731</v>
      </c>
      <c r="R71" s="579">
        <v>2507</v>
      </c>
      <c r="S71" s="579">
        <v>2439</v>
      </c>
      <c r="T71" s="579">
        <v>2339</v>
      </c>
      <c r="U71" s="579">
        <v>2578</v>
      </c>
      <c r="V71" s="579">
        <v>2818</v>
      </c>
      <c r="W71" s="579">
        <v>2752</v>
      </c>
      <c r="X71" s="579">
        <v>3116</v>
      </c>
      <c r="Y71" s="579">
        <v>3093</v>
      </c>
      <c r="Z71" s="579">
        <v>2912</v>
      </c>
      <c r="AA71" s="579">
        <v>3370</v>
      </c>
      <c r="AB71" s="579">
        <v>2964</v>
      </c>
      <c r="AC71" s="580">
        <v>3725</v>
      </c>
      <c r="AD71" s="573">
        <v>23726.114649681531</v>
      </c>
    </row>
    <row r="72" spans="1:30" ht="16.5" customHeight="1">
      <c r="A72" s="544" t="s">
        <v>175</v>
      </c>
      <c r="B72" s="584" t="s">
        <v>176</v>
      </c>
      <c r="C72" s="588">
        <v>0.13500000000000001</v>
      </c>
      <c r="D72" s="589">
        <v>0.11599999999999999</v>
      </c>
      <c r="E72" s="589">
        <v>0.125</v>
      </c>
      <c r="F72" s="589">
        <v>0.129</v>
      </c>
      <c r="G72" s="589">
        <v>0.13600000000000001</v>
      </c>
      <c r="H72" s="589">
        <v>0.14099999999999999</v>
      </c>
      <c r="I72" s="589">
        <v>0.14000000000000001</v>
      </c>
      <c r="J72" s="589">
        <v>0.161</v>
      </c>
      <c r="K72" s="589">
        <v>0.14099999999999999</v>
      </c>
      <c r="L72" s="589">
        <v>0.15</v>
      </c>
      <c r="M72" s="589">
        <v>0.17100000000000001</v>
      </c>
      <c r="N72" s="589">
        <v>0.17600000000000002</v>
      </c>
      <c r="O72" s="590">
        <f t="shared" si="1"/>
        <v>0.187</v>
      </c>
      <c r="P72" s="585"/>
      <c r="Q72" s="578">
        <v>2505</v>
      </c>
      <c r="R72" s="579">
        <v>2247</v>
      </c>
      <c r="S72" s="579">
        <v>2427</v>
      </c>
      <c r="T72" s="579">
        <v>2471</v>
      </c>
      <c r="U72" s="579">
        <v>2610</v>
      </c>
      <c r="V72" s="579">
        <v>2701</v>
      </c>
      <c r="W72" s="579">
        <v>2690</v>
      </c>
      <c r="X72" s="579">
        <v>3039</v>
      </c>
      <c r="Y72" s="579">
        <v>2686</v>
      </c>
      <c r="Z72" s="579">
        <v>2797</v>
      </c>
      <c r="AA72" s="579">
        <v>3185</v>
      </c>
      <c r="AB72" s="579">
        <v>3246</v>
      </c>
      <c r="AC72" s="580">
        <v>3407</v>
      </c>
      <c r="AD72" s="573">
        <v>18219.251336898396</v>
      </c>
    </row>
    <row r="73" spans="1:30" ht="16.5" customHeight="1">
      <c r="A73" s="544" t="s">
        <v>179</v>
      </c>
      <c r="B73" s="584" t="s">
        <v>180</v>
      </c>
      <c r="C73" s="588">
        <v>0.128</v>
      </c>
      <c r="D73" s="589">
        <v>0.11</v>
      </c>
      <c r="E73" s="589">
        <v>0.10099999999999999</v>
      </c>
      <c r="F73" s="589">
        <v>0.10199999999999999</v>
      </c>
      <c r="G73" s="589">
        <v>0.11599999999999999</v>
      </c>
      <c r="H73" s="589">
        <v>0.124</v>
      </c>
      <c r="I73" s="589">
        <v>0.121</v>
      </c>
      <c r="J73" s="589">
        <v>0.14300000000000002</v>
      </c>
      <c r="K73" s="589">
        <v>0.13</v>
      </c>
      <c r="L73" s="589">
        <v>0.121</v>
      </c>
      <c r="M73" s="589">
        <v>0.14400000000000002</v>
      </c>
      <c r="N73" s="589">
        <v>0.156</v>
      </c>
      <c r="O73" s="590">
        <f t="shared" si="1"/>
        <v>0.159</v>
      </c>
      <c r="P73" s="585"/>
      <c r="Q73" s="578">
        <v>7344</v>
      </c>
      <c r="R73" s="579">
        <v>6804</v>
      </c>
      <c r="S73" s="579">
        <v>6252</v>
      </c>
      <c r="T73" s="579">
        <v>6276</v>
      </c>
      <c r="U73" s="579">
        <v>7149</v>
      </c>
      <c r="V73" s="579">
        <v>7661</v>
      </c>
      <c r="W73" s="579">
        <v>7497</v>
      </c>
      <c r="X73" s="579">
        <v>8779</v>
      </c>
      <c r="Y73" s="579">
        <v>7914</v>
      </c>
      <c r="Z73" s="579">
        <v>7281</v>
      </c>
      <c r="AA73" s="579">
        <v>8732</v>
      </c>
      <c r="AB73" s="579">
        <v>9386</v>
      </c>
      <c r="AC73" s="580">
        <v>9951</v>
      </c>
      <c r="AD73" s="573">
        <v>62584.905660377357</v>
      </c>
    </row>
    <row r="74" spans="1:30" ht="16.5" customHeight="1">
      <c r="A74" s="544" t="s">
        <v>183</v>
      </c>
      <c r="B74" s="584" t="s">
        <v>184</v>
      </c>
      <c r="C74" s="588">
        <v>5.5999999999999994E-2</v>
      </c>
      <c r="D74" s="589">
        <v>5.2000000000000005E-2</v>
      </c>
      <c r="E74" s="589">
        <v>5.4000000000000006E-2</v>
      </c>
      <c r="F74" s="589">
        <v>5.2999999999999999E-2</v>
      </c>
      <c r="G74" s="589">
        <v>5.5999999999999994E-2</v>
      </c>
      <c r="H74" s="589">
        <v>5.9000000000000004E-2</v>
      </c>
      <c r="I74" s="589">
        <v>5.7000000000000002E-2</v>
      </c>
      <c r="J74" s="589">
        <v>5.9000000000000004E-2</v>
      </c>
      <c r="K74" s="589">
        <v>5.7999999999999996E-2</v>
      </c>
      <c r="L74" s="589">
        <v>5.7999999999999996E-2</v>
      </c>
      <c r="M74" s="589">
        <v>5.7999999999999996E-2</v>
      </c>
      <c r="N74" s="589">
        <v>6.0999999999999999E-2</v>
      </c>
      <c r="O74" s="590">
        <f t="shared" si="1"/>
        <v>7.1000000000000008E-2</v>
      </c>
      <c r="P74" s="585"/>
      <c r="Q74" s="578">
        <v>1132</v>
      </c>
      <c r="R74" s="579">
        <v>1035</v>
      </c>
      <c r="S74" s="579">
        <v>1116</v>
      </c>
      <c r="T74" s="579">
        <v>1152</v>
      </c>
      <c r="U74" s="579">
        <v>1271</v>
      </c>
      <c r="V74" s="579">
        <v>1383</v>
      </c>
      <c r="W74" s="579">
        <v>1375</v>
      </c>
      <c r="X74" s="579">
        <v>1404</v>
      </c>
      <c r="Y74" s="579">
        <v>1445</v>
      </c>
      <c r="Z74" s="579">
        <v>1451</v>
      </c>
      <c r="AA74" s="579">
        <v>1489</v>
      </c>
      <c r="AB74" s="579">
        <v>1573</v>
      </c>
      <c r="AC74" s="580">
        <v>1821</v>
      </c>
      <c r="AD74" s="573">
        <v>25647.887323943662</v>
      </c>
    </row>
    <row r="75" spans="1:30" ht="16.5" customHeight="1">
      <c r="A75" s="544" t="s">
        <v>185</v>
      </c>
      <c r="B75" s="584" t="s">
        <v>186</v>
      </c>
      <c r="C75" s="588">
        <v>0.192</v>
      </c>
      <c r="D75" s="589">
        <v>0.158</v>
      </c>
      <c r="E75" s="589">
        <v>0.18600000000000003</v>
      </c>
      <c r="F75" s="589">
        <v>0.19699999999999998</v>
      </c>
      <c r="G75" s="589">
        <v>0.221</v>
      </c>
      <c r="H75" s="589">
        <v>0.184</v>
      </c>
      <c r="I75" s="589">
        <v>0.187</v>
      </c>
      <c r="J75" s="589">
        <v>0.222</v>
      </c>
      <c r="K75" s="589">
        <v>0.19600000000000001</v>
      </c>
      <c r="L75" s="589">
        <v>0.20300000000000001</v>
      </c>
      <c r="M75" s="589">
        <v>0.23699999999999999</v>
      </c>
      <c r="N75" s="589">
        <v>0.222</v>
      </c>
      <c r="O75" s="590">
        <f t="shared" si="1"/>
        <v>0.22800000000000001</v>
      </c>
      <c r="P75" s="585"/>
      <c r="Q75" s="578">
        <v>3018</v>
      </c>
      <c r="R75" s="579">
        <v>2554</v>
      </c>
      <c r="S75" s="579">
        <v>2980</v>
      </c>
      <c r="T75" s="579">
        <v>3195</v>
      </c>
      <c r="U75" s="579">
        <v>3635</v>
      </c>
      <c r="V75" s="579">
        <v>3050</v>
      </c>
      <c r="W75" s="579">
        <v>3136</v>
      </c>
      <c r="X75" s="579">
        <v>3653</v>
      </c>
      <c r="Y75" s="579">
        <v>3275</v>
      </c>
      <c r="Z75" s="579">
        <v>3449</v>
      </c>
      <c r="AA75" s="579">
        <v>4105</v>
      </c>
      <c r="AB75" s="579">
        <v>3897</v>
      </c>
      <c r="AC75" s="580">
        <v>4338</v>
      </c>
      <c r="AD75" s="573">
        <v>19026.315789473683</v>
      </c>
    </row>
    <row r="76" spans="1:30" ht="16.5" customHeight="1">
      <c r="A76" s="544" t="s">
        <v>187</v>
      </c>
      <c r="B76" s="584" t="s">
        <v>188</v>
      </c>
      <c r="C76" s="588">
        <v>7.9000000000000001E-2</v>
      </c>
      <c r="D76" s="589">
        <v>7.6999999999999999E-2</v>
      </c>
      <c r="E76" s="589">
        <v>7.5999999999999998E-2</v>
      </c>
      <c r="F76" s="589">
        <v>7.5999999999999998E-2</v>
      </c>
      <c r="G76" s="589">
        <v>8.1000000000000003E-2</v>
      </c>
      <c r="H76" s="589">
        <v>9.1999999999999998E-2</v>
      </c>
      <c r="I76" s="589">
        <v>8.5999999999999993E-2</v>
      </c>
      <c r="J76" s="589">
        <v>9.1999999999999998E-2</v>
      </c>
      <c r="K76" s="589">
        <v>8.5999999999999993E-2</v>
      </c>
      <c r="L76" s="589">
        <v>9.3000000000000013E-2</v>
      </c>
      <c r="M76" s="589">
        <v>0.105</v>
      </c>
      <c r="N76" s="589">
        <v>0.10199999999999999</v>
      </c>
      <c r="O76" s="590">
        <f t="shared" si="1"/>
        <v>9.6999999999999989E-2</v>
      </c>
      <c r="P76" s="585"/>
      <c r="Q76" s="578">
        <v>2061</v>
      </c>
      <c r="R76" s="579">
        <v>2163</v>
      </c>
      <c r="S76" s="579">
        <v>2206</v>
      </c>
      <c r="T76" s="579">
        <v>2201</v>
      </c>
      <c r="U76" s="579">
        <v>2373</v>
      </c>
      <c r="V76" s="579">
        <v>2716</v>
      </c>
      <c r="W76" s="579">
        <v>2557</v>
      </c>
      <c r="X76" s="579">
        <v>2706</v>
      </c>
      <c r="Y76" s="579">
        <v>2498</v>
      </c>
      <c r="Z76" s="579">
        <v>2663</v>
      </c>
      <c r="AA76" s="579">
        <v>3018</v>
      </c>
      <c r="AB76" s="579">
        <v>3025</v>
      </c>
      <c r="AC76" s="580">
        <v>3002</v>
      </c>
      <c r="AD76" s="573">
        <v>30948.453608247426</v>
      </c>
    </row>
    <row r="77" spans="1:30" ht="16.5" customHeight="1">
      <c r="A77" s="544" t="s">
        <v>189</v>
      </c>
      <c r="B77" s="584" t="s">
        <v>190</v>
      </c>
      <c r="C77" s="588">
        <v>5.7000000000000002E-2</v>
      </c>
      <c r="D77" s="589">
        <v>5.2000000000000005E-2</v>
      </c>
      <c r="E77" s="589">
        <v>4.8000000000000001E-2</v>
      </c>
      <c r="F77" s="589">
        <v>4.8000000000000001E-2</v>
      </c>
      <c r="G77" s="589">
        <v>5.5E-2</v>
      </c>
      <c r="H77" s="589">
        <v>0.06</v>
      </c>
      <c r="I77" s="589">
        <v>5.5999999999999994E-2</v>
      </c>
      <c r="J77" s="589">
        <v>0.05</v>
      </c>
      <c r="K77" s="589">
        <v>5.0999999999999997E-2</v>
      </c>
      <c r="L77" s="589">
        <v>0.05</v>
      </c>
      <c r="M77" s="589">
        <v>5.2999999999999999E-2</v>
      </c>
      <c r="N77" s="589">
        <v>0.06</v>
      </c>
      <c r="O77" s="590">
        <f t="shared" si="1"/>
        <v>6.0999999999999999E-2</v>
      </c>
      <c r="P77" s="585"/>
      <c r="Q77" s="578">
        <v>15618</v>
      </c>
      <c r="R77" s="579">
        <v>14641</v>
      </c>
      <c r="S77" s="579">
        <v>14234</v>
      </c>
      <c r="T77" s="579">
        <v>14982</v>
      </c>
      <c r="U77" s="579">
        <v>17871</v>
      </c>
      <c r="V77" s="579">
        <v>20293</v>
      </c>
      <c r="W77" s="579">
        <v>19550</v>
      </c>
      <c r="X77" s="579">
        <v>17235</v>
      </c>
      <c r="Y77" s="579">
        <v>18174</v>
      </c>
      <c r="Z77" s="579">
        <v>17703</v>
      </c>
      <c r="AA77" s="579">
        <v>19016</v>
      </c>
      <c r="AB77" s="579">
        <v>22535</v>
      </c>
      <c r="AC77" s="580">
        <v>24696</v>
      </c>
      <c r="AD77" s="573">
        <v>404852.45901639346</v>
      </c>
    </row>
    <row r="78" spans="1:30" ht="16.5" customHeight="1">
      <c r="A78" s="544" t="s">
        <v>191</v>
      </c>
      <c r="B78" s="584" t="s">
        <v>192</v>
      </c>
      <c r="C78" s="588">
        <v>0.126</v>
      </c>
      <c r="D78" s="589">
        <v>0.109</v>
      </c>
      <c r="E78" s="589">
        <v>0.11199999999999999</v>
      </c>
      <c r="F78" s="589">
        <v>0.113</v>
      </c>
      <c r="G78" s="589">
        <v>0.124</v>
      </c>
      <c r="H78" s="589">
        <v>0.13</v>
      </c>
      <c r="I78" s="589">
        <v>0.13100000000000001</v>
      </c>
      <c r="J78" s="589">
        <v>0.157</v>
      </c>
      <c r="K78" s="589">
        <v>0.14099999999999999</v>
      </c>
      <c r="L78" s="589">
        <v>0.14099999999999999</v>
      </c>
      <c r="M78" s="589">
        <v>0.154</v>
      </c>
      <c r="N78" s="589">
        <v>0.14199999999999999</v>
      </c>
      <c r="O78" s="590">
        <f t="shared" si="1"/>
        <v>0.158</v>
      </c>
      <c r="P78" s="585"/>
      <c r="Q78" s="578">
        <v>4292</v>
      </c>
      <c r="R78" s="579">
        <v>3742</v>
      </c>
      <c r="S78" s="579">
        <v>3813</v>
      </c>
      <c r="T78" s="579">
        <v>3825</v>
      </c>
      <c r="U78" s="579">
        <v>4236</v>
      </c>
      <c r="V78" s="579">
        <v>4427</v>
      </c>
      <c r="W78" s="579">
        <v>4463</v>
      </c>
      <c r="X78" s="579">
        <v>5295</v>
      </c>
      <c r="Y78" s="579">
        <v>4751</v>
      </c>
      <c r="Z78" s="579">
        <v>4753</v>
      </c>
      <c r="AA78" s="579">
        <v>5193</v>
      </c>
      <c r="AB78" s="579">
        <v>4766</v>
      </c>
      <c r="AC78" s="580">
        <v>5355</v>
      </c>
      <c r="AD78" s="573">
        <v>33892.405063291139</v>
      </c>
    </row>
    <row r="79" spans="1:30" ht="16.5" customHeight="1">
      <c r="A79" s="544" t="s">
        <v>195</v>
      </c>
      <c r="B79" s="584" t="s">
        <v>196</v>
      </c>
      <c r="C79" s="588">
        <v>9.3000000000000013E-2</v>
      </c>
      <c r="D79" s="589">
        <v>7.400000000000001E-2</v>
      </c>
      <c r="E79" s="589">
        <v>7.9000000000000001E-2</v>
      </c>
      <c r="F79" s="589">
        <v>7.5999999999999998E-2</v>
      </c>
      <c r="G79" s="589">
        <v>7.5999999999999998E-2</v>
      </c>
      <c r="H79" s="589">
        <v>7.400000000000001E-2</v>
      </c>
      <c r="I79" s="589">
        <v>6.6000000000000003E-2</v>
      </c>
      <c r="J79" s="589">
        <v>7.0999999999999994E-2</v>
      </c>
      <c r="K79" s="589">
        <v>7.8E-2</v>
      </c>
      <c r="L79" s="589">
        <v>7.8E-2</v>
      </c>
      <c r="M79" s="589">
        <v>8.199999999999999E-2</v>
      </c>
      <c r="N79" s="589">
        <v>9.1999999999999998E-2</v>
      </c>
      <c r="O79" s="590">
        <f t="shared" si="1"/>
        <v>9.8000000000000004E-2</v>
      </c>
      <c r="P79" s="585"/>
      <c r="Q79" s="581">
        <v>697</v>
      </c>
      <c r="R79" s="582">
        <v>519</v>
      </c>
      <c r="S79" s="582">
        <v>557</v>
      </c>
      <c r="T79" s="582">
        <v>541</v>
      </c>
      <c r="U79" s="582">
        <v>542</v>
      </c>
      <c r="V79" s="582">
        <v>532</v>
      </c>
      <c r="W79" s="582">
        <v>482</v>
      </c>
      <c r="X79" s="582">
        <v>515</v>
      </c>
      <c r="Y79" s="582">
        <v>555</v>
      </c>
      <c r="Z79" s="582">
        <v>561</v>
      </c>
      <c r="AA79" s="579">
        <v>581</v>
      </c>
      <c r="AB79" s="579">
        <v>644</v>
      </c>
      <c r="AC79" s="580">
        <v>720</v>
      </c>
      <c r="AD79" s="573">
        <v>7346.9387755102034</v>
      </c>
    </row>
    <row r="80" spans="1:30" ht="16.5" customHeight="1">
      <c r="A80" s="544" t="s">
        <v>199</v>
      </c>
      <c r="B80" s="584" t="s">
        <v>285</v>
      </c>
      <c r="C80" s="588">
        <v>0.16699999999999998</v>
      </c>
      <c r="D80" s="589">
        <v>0.14300000000000002</v>
      </c>
      <c r="E80" s="589">
        <v>0.157</v>
      </c>
      <c r="F80" s="589">
        <v>0.16</v>
      </c>
      <c r="G80" s="589">
        <v>0.16800000000000001</v>
      </c>
      <c r="H80" s="589">
        <v>0.156</v>
      </c>
      <c r="I80" s="589">
        <v>0.158</v>
      </c>
      <c r="J80" s="589">
        <v>0.17</v>
      </c>
      <c r="K80" s="589">
        <v>0.16500000000000001</v>
      </c>
      <c r="L80" s="589">
        <v>0.17699999999999999</v>
      </c>
      <c r="M80" s="589">
        <v>0.184</v>
      </c>
      <c r="N80" s="589">
        <v>0.193</v>
      </c>
      <c r="O80" s="590">
        <f t="shared" si="1"/>
        <v>0.185</v>
      </c>
      <c r="P80" s="585"/>
      <c r="Q80" s="578">
        <v>1204</v>
      </c>
      <c r="R80" s="579">
        <v>1017</v>
      </c>
      <c r="S80" s="579">
        <v>1110</v>
      </c>
      <c r="T80" s="579">
        <v>1144</v>
      </c>
      <c r="U80" s="579">
        <v>1216</v>
      </c>
      <c r="V80" s="579">
        <v>1120</v>
      </c>
      <c r="W80" s="579">
        <v>1141</v>
      </c>
      <c r="X80" s="579">
        <v>1219</v>
      </c>
      <c r="Y80" s="579">
        <v>1192</v>
      </c>
      <c r="Z80" s="579">
        <v>1272</v>
      </c>
      <c r="AA80" s="579">
        <v>1315</v>
      </c>
      <c r="AB80" s="579">
        <v>1342</v>
      </c>
      <c r="AC80" s="580">
        <v>1377</v>
      </c>
      <c r="AD80" s="573">
        <v>7443.2432432432433</v>
      </c>
    </row>
    <row r="81" spans="1:30" ht="16.5" customHeight="1">
      <c r="A81" s="544" t="s">
        <v>203</v>
      </c>
      <c r="B81" s="584" t="s">
        <v>368</v>
      </c>
      <c r="C81" s="588">
        <v>6.1399999999999996E-2</v>
      </c>
      <c r="D81" s="589">
        <v>5.7699999999999994E-2</v>
      </c>
      <c r="E81" s="589">
        <v>5.2900000000000003E-2</v>
      </c>
      <c r="F81" s="589">
        <v>5.7000000000000002E-2</v>
      </c>
      <c r="G81" s="589">
        <v>6.5299999999999997E-2</v>
      </c>
      <c r="H81" s="589">
        <v>7.2300000000000003E-2</v>
      </c>
      <c r="I81" s="589">
        <v>6.8699999999999997E-2</v>
      </c>
      <c r="J81" s="589">
        <v>6.3E-2</v>
      </c>
      <c r="K81" s="589">
        <v>6.1500000000000006E-2</v>
      </c>
      <c r="L81" s="589">
        <v>6.480000000000001E-2</v>
      </c>
      <c r="M81" s="589">
        <v>7.0800000000000002E-2</v>
      </c>
      <c r="N81" s="589">
        <v>6.8199999999999997E-2</v>
      </c>
      <c r="O81" s="590">
        <f t="shared" si="1"/>
        <v>7.553320643060675E-2</v>
      </c>
      <c r="P81" s="585"/>
      <c r="Q81" s="578">
        <v>6371</v>
      </c>
      <c r="R81" s="579">
        <v>6172</v>
      </c>
      <c r="S81" s="579">
        <v>5681</v>
      </c>
      <c r="T81" s="579">
        <v>6098</v>
      </c>
      <c r="U81" s="579">
        <v>7107</v>
      </c>
      <c r="V81" s="579">
        <v>7856</v>
      </c>
      <c r="W81" s="579">
        <v>7558</v>
      </c>
      <c r="X81" s="579">
        <v>6809</v>
      </c>
      <c r="Y81" s="579">
        <v>6852</v>
      </c>
      <c r="Z81" s="579">
        <v>7238</v>
      </c>
      <c r="AA81" s="579">
        <v>7950</v>
      </c>
      <c r="AB81" s="579">
        <v>7619</v>
      </c>
      <c r="AC81" s="580">
        <v>8538</v>
      </c>
      <c r="AD81" s="573">
        <v>113036.37702503681</v>
      </c>
    </row>
    <row r="82" spans="1:30" ht="16.5" customHeight="1">
      <c r="A82" s="544" t="s">
        <v>205</v>
      </c>
      <c r="B82" s="584" t="s">
        <v>359</v>
      </c>
      <c r="C82" s="588">
        <v>0.1225</v>
      </c>
      <c r="D82" s="589">
        <v>0.10289999999999999</v>
      </c>
      <c r="E82" s="589">
        <v>0.1038</v>
      </c>
      <c r="F82" s="589">
        <v>0.10199999999999999</v>
      </c>
      <c r="G82" s="589">
        <v>0.1124</v>
      </c>
      <c r="H82" s="589">
        <v>0.1109</v>
      </c>
      <c r="I82" s="589">
        <v>0.10630000000000001</v>
      </c>
      <c r="J82" s="589">
        <v>0.12130000000000001</v>
      </c>
      <c r="K82" s="589">
        <v>0.13339999999999999</v>
      </c>
      <c r="L82" s="589">
        <v>0.1273</v>
      </c>
      <c r="M82" s="589">
        <v>0.1346</v>
      </c>
      <c r="N82" s="589">
        <v>0.1338</v>
      </c>
      <c r="O82" s="590">
        <f t="shared" si="1"/>
        <v>0.14077673638184915</v>
      </c>
      <c r="P82" s="585"/>
      <c r="Q82" s="578">
        <v>3795</v>
      </c>
      <c r="R82" s="579">
        <v>3255</v>
      </c>
      <c r="S82" s="579">
        <v>3255</v>
      </c>
      <c r="T82" s="579">
        <v>3202</v>
      </c>
      <c r="U82" s="579">
        <v>3574</v>
      </c>
      <c r="V82" s="579">
        <v>3517</v>
      </c>
      <c r="W82" s="579">
        <v>3365</v>
      </c>
      <c r="X82" s="579">
        <v>3820</v>
      </c>
      <c r="Y82" s="579">
        <v>4213</v>
      </c>
      <c r="Z82" s="579">
        <v>4049</v>
      </c>
      <c r="AA82" s="579">
        <v>4265</v>
      </c>
      <c r="AB82" s="579">
        <v>4221</v>
      </c>
      <c r="AC82" s="580">
        <v>4625</v>
      </c>
      <c r="AD82" s="573">
        <v>32853.439558755941</v>
      </c>
    </row>
    <row r="83" spans="1:30" ht="16.5" customHeight="1">
      <c r="A83" s="544" t="s">
        <v>207</v>
      </c>
      <c r="B83" s="584" t="s">
        <v>360</v>
      </c>
      <c r="C83" s="588">
        <v>0.11460000000000001</v>
      </c>
      <c r="D83" s="589">
        <v>0.1191</v>
      </c>
      <c r="E83" s="589">
        <v>0.11710000000000001</v>
      </c>
      <c r="F83" s="589">
        <v>0.11119999999999999</v>
      </c>
      <c r="G83" s="589">
        <v>0.1217</v>
      </c>
      <c r="H83" s="589">
        <v>0.1188</v>
      </c>
      <c r="I83" s="589">
        <v>0.11539999999999999</v>
      </c>
      <c r="J83" s="589">
        <v>0.14130000000000001</v>
      </c>
      <c r="K83" s="589">
        <v>0.14990000000000001</v>
      </c>
      <c r="L83" s="589">
        <v>0.1454</v>
      </c>
      <c r="M83" s="589">
        <v>0.158</v>
      </c>
      <c r="N83" s="589">
        <v>0.15340000000000001</v>
      </c>
      <c r="O83" s="590">
        <f t="shared" si="1"/>
        <v>0.17707606256042166</v>
      </c>
      <c r="P83" s="585"/>
      <c r="Q83" s="578">
        <v>10380</v>
      </c>
      <c r="R83" s="579">
        <v>11951</v>
      </c>
      <c r="S83" s="579">
        <v>11774</v>
      </c>
      <c r="T83" s="579">
        <v>11332</v>
      </c>
      <c r="U83" s="579">
        <v>12457</v>
      </c>
      <c r="V83" s="579">
        <v>12312</v>
      </c>
      <c r="W83" s="579">
        <v>12047</v>
      </c>
      <c r="X83" s="579">
        <v>14559</v>
      </c>
      <c r="Y83" s="579">
        <v>15701</v>
      </c>
      <c r="Z83" s="579">
        <v>15770</v>
      </c>
      <c r="AA83" s="579">
        <v>17273</v>
      </c>
      <c r="AB83" s="579">
        <v>17133</v>
      </c>
      <c r="AC83" s="580">
        <v>20566</v>
      </c>
      <c r="AD83" s="573">
        <v>116142.18038636644</v>
      </c>
    </row>
    <row r="84" spans="1:30" ht="16.5" customHeight="1">
      <c r="A84" s="544" t="s">
        <v>209</v>
      </c>
      <c r="B84" s="584" t="s">
        <v>210</v>
      </c>
      <c r="C84" s="588">
        <v>0.19399999999999998</v>
      </c>
      <c r="D84" s="589">
        <v>0.161</v>
      </c>
      <c r="E84" s="589">
        <v>0.16699999999999998</v>
      </c>
      <c r="F84" s="589">
        <v>0.159</v>
      </c>
      <c r="G84" s="589">
        <v>0.17600000000000002</v>
      </c>
      <c r="H84" s="589">
        <v>0.16800000000000001</v>
      </c>
      <c r="I84" s="589">
        <v>0.16500000000000001</v>
      </c>
      <c r="J84" s="589">
        <v>0.193</v>
      </c>
      <c r="K84" s="589">
        <v>0.17399999999999999</v>
      </c>
      <c r="L84" s="589">
        <v>0.184</v>
      </c>
      <c r="M84" s="589">
        <v>0.19399999999999998</v>
      </c>
      <c r="N84" s="589">
        <v>0.191</v>
      </c>
      <c r="O84" s="590">
        <f t="shared" si="1"/>
        <v>0.18100000000000002</v>
      </c>
      <c r="P84" s="585"/>
      <c r="Q84" s="578">
        <v>5666</v>
      </c>
      <c r="R84" s="579">
        <v>4688</v>
      </c>
      <c r="S84" s="579">
        <v>4793</v>
      </c>
      <c r="T84" s="579">
        <v>4565</v>
      </c>
      <c r="U84" s="579">
        <v>5059</v>
      </c>
      <c r="V84" s="579">
        <v>4823</v>
      </c>
      <c r="W84" s="579">
        <v>4762</v>
      </c>
      <c r="X84" s="579">
        <v>5492</v>
      </c>
      <c r="Y84" s="579">
        <v>4932</v>
      </c>
      <c r="Z84" s="579">
        <v>5243</v>
      </c>
      <c r="AA84" s="579">
        <v>5516</v>
      </c>
      <c r="AB84" s="579">
        <v>5527</v>
      </c>
      <c r="AC84" s="580">
        <v>5173</v>
      </c>
      <c r="AD84" s="573">
        <v>28580.110497237565</v>
      </c>
    </row>
    <row r="85" spans="1:30" ht="16.5" customHeight="1">
      <c r="A85" s="544" t="s">
        <v>211</v>
      </c>
      <c r="B85" s="584" t="s">
        <v>212</v>
      </c>
      <c r="C85" s="588">
        <v>0.16500000000000001</v>
      </c>
      <c r="D85" s="589">
        <v>0.13900000000000001</v>
      </c>
      <c r="E85" s="589">
        <v>0.14099999999999999</v>
      </c>
      <c r="F85" s="589">
        <v>0.13900000000000001</v>
      </c>
      <c r="G85" s="589">
        <v>0.14599999999999999</v>
      </c>
      <c r="H85" s="589">
        <v>0.153</v>
      </c>
      <c r="I85" s="589">
        <v>0.14899999999999999</v>
      </c>
      <c r="J85" s="589">
        <v>0.17899999999999999</v>
      </c>
      <c r="K85" s="589">
        <v>0.17699999999999999</v>
      </c>
      <c r="L85" s="589">
        <v>0.18100000000000002</v>
      </c>
      <c r="M85" s="589">
        <v>0.17300000000000001</v>
      </c>
      <c r="N85" s="589">
        <v>0.192</v>
      </c>
      <c r="O85" s="590">
        <f t="shared" si="1"/>
        <v>0.189</v>
      </c>
      <c r="P85" s="585"/>
      <c r="Q85" s="578">
        <v>3769</v>
      </c>
      <c r="R85" s="579">
        <v>3241</v>
      </c>
      <c r="S85" s="579">
        <v>3268</v>
      </c>
      <c r="T85" s="579">
        <v>3183</v>
      </c>
      <c r="U85" s="579">
        <v>3348</v>
      </c>
      <c r="V85" s="579">
        <v>3508</v>
      </c>
      <c r="W85" s="579">
        <v>3402</v>
      </c>
      <c r="X85" s="579">
        <v>4040</v>
      </c>
      <c r="Y85" s="579">
        <v>4000</v>
      </c>
      <c r="Z85" s="579">
        <v>4033</v>
      </c>
      <c r="AA85" s="579">
        <v>3856</v>
      </c>
      <c r="AB85" s="579">
        <v>4220</v>
      </c>
      <c r="AC85" s="580">
        <v>4248</v>
      </c>
      <c r="AD85" s="573">
        <v>22476.190476190477</v>
      </c>
    </row>
    <row r="86" spans="1:30" ht="16.5" customHeight="1">
      <c r="A86" s="544" t="s">
        <v>213</v>
      </c>
      <c r="B86" s="584" t="s">
        <v>214</v>
      </c>
      <c r="C86" s="588">
        <v>9.8000000000000004E-2</v>
      </c>
      <c r="D86" s="589">
        <v>8.3000000000000004E-2</v>
      </c>
      <c r="E86" s="589">
        <v>0.08</v>
      </c>
      <c r="F86" s="589">
        <v>8.1000000000000003E-2</v>
      </c>
      <c r="G86" s="589">
        <v>8.3000000000000004E-2</v>
      </c>
      <c r="H86" s="589">
        <v>8.900000000000001E-2</v>
      </c>
      <c r="I86" s="589">
        <v>8.5999999999999993E-2</v>
      </c>
      <c r="J86" s="589">
        <v>8.4000000000000005E-2</v>
      </c>
      <c r="K86" s="589">
        <v>8.3000000000000004E-2</v>
      </c>
      <c r="L86" s="589">
        <v>0.09</v>
      </c>
      <c r="M86" s="589">
        <v>9.8000000000000004E-2</v>
      </c>
      <c r="N86" s="589">
        <v>0.10400000000000001</v>
      </c>
      <c r="O86" s="590">
        <f t="shared" si="1"/>
        <v>0.11700000000000001</v>
      </c>
      <c r="P86" s="585"/>
      <c r="Q86" s="578">
        <v>3476</v>
      </c>
      <c r="R86" s="579">
        <v>2899</v>
      </c>
      <c r="S86" s="579">
        <v>2849</v>
      </c>
      <c r="T86" s="579">
        <v>2927</v>
      </c>
      <c r="U86" s="579">
        <v>3072</v>
      </c>
      <c r="V86" s="579">
        <v>3357</v>
      </c>
      <c r="W86" s="579">
        <v>3349</v>
      </c>
      <c r="X86" s="579">
        <v>3235</v>
      </c>
      <c r="Y86" s="579">
        <v>3297</v>
      </c>
      <c r="Z86" s="579">
        <v>3602</v>
      </c>
      <c r="AA86" s="579">
        <v>3934</v>
      </c>
      <c r="AB86" s="579">
        <v>4206</v>
      </c>
      <c r="AC86" s="580">
        <v>4862</v>
      </c>
      <c r="AD86" s="573">
        <v>41555.555555555555</v>
      </c>
    </row>
    <row r="87" spans="1:30" ht="16.5" customHeight="1">
      <c r="A87" s="544" t="s">
        <v>215</v>
      </c>
      <c r="B87" s="584" t="s">
        <v>216</v>
      </c>
      <c r="C87" s="588">
        <v>0.156</v>
      </c>
      <c r="D87" s="589">
        <v>0.129</v>
      </c>
      <c r="E87" s="589">
        <v>0.13100000000000001</v>
      </c>
      <c r="F87" s="589">
        <v>0.13300000000000001</v>
      </c>
      <c r="G87" s="589">
        <v>0.14300000000000002</v>
      </c>
      <c r="H87" s="589">
        <v>0.14800000000000002</v>
      </c>
      <c r="I87" s="589">
        <v>0.14000000000000001</v>
      </c>
      <c r="J87" s="589">
        <v>0.13300000000000001</v>
      </c>
      <c r="K87" s="589">
        <v>0.155</v>
      </c>
      <c r="L87" s="589">
        <v>0.17100000000000001</v>
      </c>
      <c r="M87" s="589">
        <v>0.18100000000000002</v>
      </c>
      <c r="N87" s="589">
        <v>0.17800000000000002</v>
      </c>
      <c r="O87" s="590">
        <f t="shared" si="1"/>
        <v>0.187</v>
      </c>
      <c r="P87" s="585"/>
      <c r="Q87" s="578">
        <v>5035</v>
      </c>
      <c r="R87" s="579">
        <v>4199</v>
      </c>
      <c r="S87" s="579">
        <v>4212</v>
      </c>
      <c r="T87" s="579">
        <v>4289</v>
      </c>
      <c r="U87" s="579">
        <v>4596</v>
      </c>
      <c r="V87" s="579">
        <v>4737</v>
      </c>
      <c r="W87" s="579">
        <v>4505</v>
      </c>
      <c r="X87" s="579">
        <v>4166</v>
      </c>
      <c r="Y87" s="579">
        <v>4930</v>
      </c>
      <c r="Z87" s="579">
        <v>5338</v>
      </c>
      <c r="AA87" s="579">
        <v>5626</v>
      </c>
      <c r="AB87" s="579">
        <v>5516</v>
      </c>
      <c r="AC87" s="580">
        <v>5874</v>
      </c>
      <c r="AD87" s="573">
        <v>31411.764705882353</v>
      </c>
    </row>
    <row r="88" spans="1:30" ht="16.5" customHeight="1">
      <c r="A88" s="544" t="s">
        <v>217</v>
      </c>
      <c r="B88" s="584" t="s">
        <v>218</v>
      </c>
      <c r="C88" s="588">
        <v>0.151</v>
      </c>
      <c r="D88" s="589">
        <v>0.13</v>
      </c>
      <c r="E88" s="589">
        <v>0.14000000000000001</v>
      </c>
      <c r="F88" s="589">
        <v>0.13100000000000001</v>
      </c>
      <c r="G88" s="589">
        <v>0.13800000000000001</v>
      </c>
      <c r="H88" s="589">
        <v>0.14000000000000001</v>
      </c>
      <c r="I88" s="589">
        <v>0.13500000000000001</v>
      </c>
      <c r="J88" s="589">
        <v>0.151</v>
      </c>
      <c r="K88" s="589">
        <v>0.154</v>
      </c>
      <c r="L88" s="589">
        <v>0.15</v>
      </c>
      <c r="M88" s="589">
        <v>0.17499999999999999</v>
      </c>
      <c r="N88" s="589">
        <v>0.159</v>
      </c>
      <c r="O88" s="590">
        <f t="shared" si="1"/>
        <v>0.16400000000000001</v>
      </c>
      <c r="P88" s="585"/>
      <c r="Q88" s="578">
        <v>2496</v>
      </c>
      <c r="R88" s="579">
        <v>2081</v>
      </c>
      <c r="S88" s="579">
        <v>2211</v>
      </c>
      <c r="T88" s="579">
        <v>2053</v>
      </c>
      <c r="U88" s="579">
        <v>2186</v>
      </c>
      <c r="V88" s="579">
        <v>2240</v>
      </c>
      <c r="W88" s="579">
        <v>2194</v>
      </c>
      <c r="X88" s="579">
        <v>2433</v>
      </c>
      <c r="Y88" s="579">
        <v>2504</v>
      </c>
      <c r="Z88" s="579">
        <v>2431</v>
      </c>
      <c r="AA88" s="579">
        <v>2843</v>
      </c>
      <c r="AB88" s="579">
        <v>2561</v>
      </c>
      <c r="AC88" s="580">
        <v>2789</v>
      </c>
      <c r="AD88" s="573">
        <v>17006.09756097561</v>
      </c>
    </row>
    <row r="89" spans="1:30" ht="16.5" customHeight="1">
      <c r="A89" s="544" t="s">
        <v>219</v>
      </c>
      <c r="B89" s="584" t="s">
        <v>220</v>
      </c>
      <c r="C89" s="588">
        <v>5.9000000000000004E-2</v>
      </c>
      <c r="D89" s="589">
        <v>5.5E-2</v>
      </c>
      <c r="E89" s="589">
        <v>5.2999999999999999E-2</v>
      </c>
      <c r="F89" s="589">
        <v>5.2000000000000005E-2</v>
      </c>
      <c r="G89" s="589">
        <v>5.7000000000000002E-2</v>
      </c>
      <c r="H89" s="589">
        <v>5.9000000000000004E-2</v>
      </c>
      <c r="I89" s="589">
        <v>5.7000000000000002E-2</v>
      </c>
      <c r="J89" s="589">
        <v>5.5E-2</v>
      </c>
      <c r="K89" s="589">
        <v>5.5999999999999994E-2</v>
      </c>
      <c r="L89" s="589">
        <v>0.06</v>
      </c>
      <c r="M89" s="589">
        <v>6.4000000000000001E-2</v>
      </c>
      <c r="N89" s="589">
        <v>7.5999999999999998E-2</v>
      </c>
      <c r="O89" s="590">
        <f t="shared" si="1"/>
        <v>7.9000000000000001E-2</v>
      </c>
      <c r="P89" s="585"/>
      <c r="Q89" s="578">
        <v>5234</v>
      </c>
      <c r="R89" s="579">
        <v>4956</v>
      </c>
      <c r="S89" s="579">
        <v>5080</v>
      </c>
      <c r="T89" s="579">
        <v>5342</v>
      </c>
      <c r="U89" s="579">
        <v>6138</v>
      </c>
      <c r="V89" s="579">
        <v>6655</v>
      </c>
      <c r="W89" s="579">
        <v>6611</v>
      </c>
      <c r="X89" s="579">
        <v>6346</v>
      </c>
      <c r="Y89" s="579">
        <v>6591</v>
      </c>
      <c r="Z89" s="579">
        <v>7118</v>
      </c>
      <c r="AA89" s="579">
        <v>7586</v>
      </c>
      <c r="AB89" s="579">
        <v>9132</v>
      </c>
      <c r="AC89" s="580">
        <v>9645</v>
      </c>
      <c r="AD89" s="573">
        <v>122088.60759493671</v>
      </c>
    </row>
    <row r="90" spans="1:30" ht="16.5" customHeight="1">
      <c r="A90" s="544" t="s">
        <v>221</v>
      </c>
      <c r="B90" s="584" t="s">
        <v>222</v>
      </c>
      <c r="C90" s="588">
        <v>5.0999999999999997E-2</v>
      </c>
      <c r="D90" s="589">
        <v>4.5999999999999999E-2</v>
      </c>
      <c r="E90" s="589">
        <v>4.4000000000000004E-2</v>
      </c>
      <c r="F90" s="589">
        <v>4.2999999999999997E-2</v>
      </c>
      <c r="G90" s="589">
        <v>4.4999999999999998E-2</v>
      </c>
      <c r="H90" s="589">
        <v>0.05</v>
      </c>
      <c r="I90" s="589">
        <v>4.9000000000000002E-2</v>
      </c>
      <c r="J90" s="589">
        <v>4.5999999999999999E-2</v>
      </c>
      <c r="K90" s="589">
        <v>4.4000000000000004E-2</v>
      </c>
      <c r="L90" s="589">
        <v>4.2000000000000003E-2</v>
      </c>
      <c r="M90" s="589">
        <v>4.8000000000000001E-2</v>
      </c>
      <c r="N90" s="589">
        <v>4.7E-2</v>
      </c>
      <c r="O90" s="590">
        <f t="shared" si="1"/>
        <v>5.1999999999999998E-2</v>
      </c>
      <c r="P90" s="585"/>
      <c r="Q90" s="578">
        <v>4714</v>
      </c>
      <c r="R90" s="579">
        <v>4227</v>
      </c>
      <c r="S90" s="579">
        <v>4307</v>
      </c>
      <c r="T90" s="579">
        <v>4394</v>
      </c>
      <c r="U90" s="579">
        <v>4901</v>
      </c>
      <c r="V90" s="579">
        <v>5671</v>
      </c>
      <c r="W90" s="579">
        <v>5772</v>
      </c>
      <c r="X90" s="579">
        <v>5366</v>
      </c>
      <c r="Y90" s="579">
        <v>5152</v>
      </c>
      <c r="Z90" s="579">
        <v>4954</v>
      </c>
      <c r="AA90" s="579">
        <v>5713</v>
      </c>
      <c r="AB90" s="579">
        <v>5764</v>
      </c>
      <c r="AC90" s="580">
        <v>6531</v>
      </c>
      <c r="AD90" s="573">
        <v>125596.15384615384</v>
      </c>
    </row>
    <row r="91" spans="1:30" ht="16.5" customHeight="1">
      <c r="A91" s="544" t="s">
        <v>225</v>
      </c>
      <c r="B91" s="584" t="s">
        <v>226</v>
      </c>
      <c r="C91" s="588">
        <v>0.14300000000000002</v>
      </c>
      <c r="D91" s="589">
        <v>0.114</v>
      </c>
      <c r="E91" s="589">
        <v>0.11599999999999999</v>
      </c>
      <c r="F91" s="589">
        <v>0.10800000000000001</v>
      </c>
      <c r="G91" s="589">
        <v>0.11199999999999999</v>
      </c>
      <c r="H91" s="589">
        <v>0.109</v>
      </c>
      <c r="I91" s="589">
        <v>0.107</v>
      </c>
      <c r="J91" s="589">
        <v>0.11900000000000001</v>
      </c>
      <c r="K91" s="589">
        <v>0.107</v>
      </c>
      <c r="L91" s="589">
        <v>0.11</v>
      </c>
      <c r="M91" s="589">
        <v>0.11599999999999999</v>
      </c>
      <c r="N91" s="589">
        <v>0.11699999999999999</v>
      </c>
      <c r="O91" s="590">
        <f t="shared" si="1"/>
        <v>0.123</v>
      </c>
      <c r="P91" s="585"/>
      <c r="Q91" s="581">
        <v>941</v>
      </c>
      <c r="R91" s="582">
        <v>783</v>
      </c>
      <c r="S91" s="582">
        <v>810</v>
      </c>
      <c r="T91" s="582">
        <v>755</v>
      </c>
      <c r="U91" s="582">
        <v>792</v>
      </c>
      <c r="V91" s="582">
        <v>764</v>
      </c>
      <c r="W91" s="582">
        <v>753</v>
      </c>
      <c r="X91" s="582">
        <v>829</v>
      </c>
      <c r="Y91" s="582">
        <v>758</v>
      </c>
      <c r="Z91" s="582">
        <v>775</v>
      </c>
      <c r="AA91" s="579">
        <v>823</v>
      </c>
      <c r="AB91" s="579">
        <v>827</v>
      </c>
      <c r="AC91" s="580">
        <v>871</v>
      </c>
      <c r="AD91" s="573">
        <v>7081.3008130081298</v>
      </c>
    </row>
    <row r="92" spans="1:30" ht="16.5" customHeight="1">
      <c r="A92" s="544" t="s">
        <v>227</v>
      </c>
      <c r="B92" s="584" t="s">
        <v>228</v>
      </c>
      <c r="C92" s="588">
        <v>0.20100000000000001</v>
      </c>
      <c r="D92" s="589">
        <v>0.154</v>
      </c>
      <c r="E92" s="589">
        <v>0.17199999999999999</v>
      </c>
      <c r="F92" s="589">
        <v>0.16899999999999998</v>
      </c>
      <c r="G92" s="589">
        <v>0.17899999999999999</v>
      </c>
      <c r="H92" s="589">
        <v>0.17199999999999999</v>
      </c>
      <c r="I92" s="589">
        <v>0.17699999999999999</v>
      </c>
      <c r="J92" s="589">
        <v>0.19500000000000001</v>
      </c>
      <c r="K92" s="589">
        <v>0.23499999999999999</v>
      </c>
      <c r="L92" s="589">
        <v>0.20399999999999999</v>
      </c>
      <c r="M92" s="589">
        <v>0.20699999999999999</v>
      </c>
      <c r="N92" s="589">
        <v>0.184</v>
      </c>
      <c r="O92" s="590">
        <f t="shared" si="1"/>
        <v>0.22500000000000001</v>
      </c>
      <c r="P92" s="585"/>
      <c r="Q92" s="578">
        <v>1991</v>
      </c>
      <c r="R92" s="579">
        <v>1548</v>
      </c>
      <c r="S92" s="579">
        <v>1694</v>
      </c>
      <c r="T92" s="579">
        <v>1651</v>
      </c>
      <c r="U92" s="579">
        <v>1728</v>
      </c>
      <c r="V92" s="579">
        <v>1647</v>
      </c>
      <c r="W92" s="579">
        <v>1678</v>
      </c>
      <c r="X92" s="579">
        <v>1832</v>
      </c>
      <c r="Y92" s="579">
        <v>2257</v>
      </c>
      <c r="Z92" s="579">
        <v>1947</v>
      </c>
      <c r="AA92" s="579">
        <v>1973</v>
      </c>
      <c r="AB92" s="579">
        <v>1742</v>
      </c>
      <c r="AC92" s="580">
        <v>2132</v>
      </c>
      <c r="AD92" s="573">
        <v>9475.5555555555547</v>
      </c>
    </row>
    <row r="93" spans="1:30" ht="16.5" customHeight="1">
      <c r="A93" s="544" t="s">
        <v>229</v>
      </c>
      <c r="B93" s="584" t="s">
        <v>230</v>
      </c>
      <c r="C93" s="588">
        <v>0.17399999999999999</v>
      </c>
      <c r="D93" s="589">
        <v>0.14499999999999999</v>
      </c>
      <c r="E93" s="589">
        <v>0.155</v>
      </c>
      <c r="F93" s="589">
        <v>0.15</v>
      </c>
      <c r="G93" s="589">
        <v>0.16600000000000001</v>
      </c>
      <c r="H93" s="589">
        <v>0.156</v>
      </c>
      <c r="I93" s="589">
        <v>0.157</v>
      </c>
      <c r="J93" s="589">
        <v>0.17300000000000001</v>
      </c>
      <c r="K93" s="589">
        <v>0.16500000000000001</v>
      </c>
      <c r="L93" s="589">
        <v>0.17800000000000002</v>
      </c>
      <c r="M93" s="589">
        <v>0.17600000000000002</v>
      </c>
      <c r="N93" s="589">
        <v>0.159</v>
      </c>
      <c r="O93" s="590">
        <f t="shared" si="1"/>
        <v>0.185</v>
      </c>
      <c r="P93" s="585"/>
      <c r="Q93" s="578">
        <v>8113</v>
      </c>
      <c r="R93" s="579">
        <v>6415</v>
      </c>
      <c r="S93" s="579">
        <v>6733</v>
      </c>
      <c r="T93" s="579">
        <v>6533</v>
      </c>
      <c r="U93" s="579">
        <v>7281</v>
      </c>
      <c r="V93" s="579">
        <v>6895</v>
      </c>
      <c r="W93" s="579">
        <v>6960</v>
      </c>
      <c r="X93" s="579">
        <v>7559</v>
      </c>
      <c r="Y93" s="579">
        <v>7195</v>
      </c>
      <c r="Z93" s="579">
        <v>7640</v>
      </c>
      <c r="AA93" s="579">
        <v>7561</v>
      </c>
      <c r="AB93" s="579">
        <v>6852</v>
      </c>
      <c r="AC93" s="580">
        <v>8035</v>
      </c>
      <c r="AD93" s="573">
        <v>43432.432432432433</v>
      </c>
    </row>
    <row r="94" spans="1:30" ht="16.5" customHeight="1">
      <c r="A94" s="544" t="s">
        <v>233</v>
      </c>
      <c r="B94" s="584" t="s">
        <v>234</v>
      </c>
      <c r="C94" s="588">
        <v>9.8000000000000004E-2</v>
      </c>
      <c r="D94" s="589">
        <v>8.8000000000000009E-2</v>
      </c>
      <c r="E94" s="589">
        <v>8.5999999999999993E-2</v>
      </c>
      <c r="F94" s="589">
        <v>8.3000000000000004E-2</v>
      </c>
      <c r="G94" s="589">
        <v>8.6999999999999994E-2</v>
      </c>
      <c r="H94" s="589">
        <v>9.5000000000000001E-2</v>
      </c>
      <c r="I94" s="589">
        <v>8.900000000000001E-2</v>
      </c>
      <c r="J94" s="589">
        <v>9.8000000000000004E-2</v>
      </c>
      <c r="K94" s="589">
        <v>9.6000000000000002E-2</v>
      </c>
      <c r="L94" s="589">
        <v>0.09</v>
      </c>
      <c r="M94" s="589">
        <v>0.10099999999999999</v>
      </c>
      <c r="N94" s="589">
        <v>9.8000000000000004E-2</v>
      </c>
      <c r="O94" s="590">
        <f t="shared" si="1"/>
        <v>0.10300000000000002</v>
      </c>
      <c r="P94" s="585"/>
      <c r="Q94" s="578">
        <v>3002</v>
      </c>
      <c r="R94" s="579">
        <v>2741</v>
      </c>
      <c r="S94" s="579">
        <v>2737</v>
      </c>
      <c r="T94" s="579">
        <v>2697</v>
      </c>
      <c r="U94" s="579">
        <v>2908</v>
      </c>
      <c r="V94" s="579">
        <v>3236</v>
      </c>
      <c r="W94" s="579">
        <v>3114</v>
      </c>
      <c r="X94" s="579">
        <v>3399</v>
      </c>
      <c r="Y94" s="579">
        <v>3382</v>
      </c>
      <c r="Z94" s="579">
        <v>3180</v>
      </c>
      <c r="AA94" s="579">
        <v>3625</v>
      </c>
      <c r="AB94" s="579">
        <v>3519</v>
      </c>
      <c r="AC94" s="580">
        <v>3812</v>
      </c>
      <c r="AD94" s="573">
        <v>37009.708737864072</v>
      </c>
    </row>
    <row r="95" spans="1:30" ht="16.5" customHeight="1">
      <c r="A95" s="544" t="s">
        <v>235</v>
      </c>
      <c r="B95" s="584" t="s">
        <v>236</v>
      </c>
      <c r="C95" s="588">
        <v>0.13500000000000001</v>
      </c>
      <c r="D95" s="589">
        <v>0.11199999999999999</v>
      </c>
      <c r="E95" s="589">
        <v>0.114</v>
      </c>
      <c r="F95" s="589">
        <v>0.111</v>
      </c>
      <c r="G95" s="589">
        <v>0.12</v>
      </c>
      <c r="H95" s="589">
        <v>0.122</v>
      </c>
      <c r="I95" s="589">
        <v>0.12300000000000001</v>
      </c>
      <c r="J95" s="589">
        <v>0.11</v>
      </c>
      <c r="K95" s="589">
        <v>0.129</v>
      </c>
      <c r="L95" s="589">
        <v>0.14800000000000002</v>
      </c>
      <c r="M95" s="589">
        <v>0.14199999999999999</v>
      </c>
      <c r="N95" s="589">
        <v>0.13900000000000001</v>
      </c>
      <c r="O95" s="590">
        <f t="shared" si="1"/>
        <v>0.14099999999999999</v>
      </c>
      <c r="P95" s="585"/>
      <c r="Q95" s="578">
        <v>6677</v>
      </c>
      <c r="R95" s="579">
        <v>5666</v>
      </c>
      <c r="S95" s="579">
        <v>5761</v>
      </c>
      <c r="T95" s="579">
        <v>5609</v>
      </c>
      <c r="U95" s="579">
        <v>6108</v>
      </c>
      <c r="V95" s="579">
        <v>6265</v>
      </c>
      <c r="W95" s="579">
        <v>6344</v>
      </c>
      <c r="X95" s="579">
        <v>5561</v>
      </c>
      <c r="Y95" s="579">
        <v>6576</v>
      </c>
      <c r="Z95" s="579">
        <v>7589</v>
      </c>
      <c r="AA95" s="579">
        <v>7302</v>
      </c>
      <c r="AB95" s="579">
        <v>7165</v>
      </c>
      <c r="AC95" s="580">
        <v>7500</v>
      </c>
      <c r="AD95" s="573">
        <v>53191.48936170213</v>
      </c>
    </row>
    <row r="96" spans="1:30" ht="16.5" customHeight="1">
      <c r="A96" s="544" t="s">
        <v>237</v>
      </c>
      <c r="B96" s="584" t="s">
        <v>238</v>
      </c>
      <c r="C96" s="588">
        <v>0.14899999999999999</v>
      </c>
      <c r="D96" s="589">
        <v>0.13100000000000001</v>
      </c>
      <c r="E96" s="589">
        <v>0.13400000000000001</v>
      </c>
      <c r="F96" s="589">
        <v>0.13</v>
      </c>
      <c r="G96" s="589">
        <v>0.13800000000000001</v>
      </c>
      <c r="H96" s="589">
        <v>0.13800000000000001</v>
      </c>
      <c r="I96" s="589">
        <v>0.13300000000000001</v>
      </c>
      <c r="J96" s="589">
        <v>0.16</v>
      </c>
      <c r="K96" s="589">
        <v>0.14499999999999999</v>
      </c>
      <c r="L96" s="589">
        <v>0.124</v>
      </c>
      <c r="M96" s="589">
        <v>0.14699999999999999</v>
      </c>
      <c r="N96" s="589">
        <v>0.14099999999999999</v>
      </c>
      <c r="O96" s="590">
        <f t="shared" si="1"/>
        <v>0.14699999999999999</v>
      </c>
      <c r="P96" s="585"/>
      <c r="Q96" s="578">
        <v>2482</v>
      </c>
      <c r="R96" s="579">
        <v>2186</v>
      </c>
      <c r="S96" s="579">
        <v>2218</v>
      </c>
      <c r="T96" s="579">
        <v>2171</v>
      </c>
      <c r="U96" s="579">
        <v>2347</v>
      </c>
      <c r="V96" s="579">
        <v>2355</v>
      </c>
      <c r="W96" s="579">
        <v>2293</v>
      </c>
      <c r="X96" s="579">
        <v>2736</v>
      </c>
      <c r="Y96" s="579">
        <v>2476</v>
      </c>
      <c r="Z96" s="579">
        <v>2118</v>
      </c>
      <c r="AA96" s="579">
        <v>2546</v>
      </c>
      <c r="AB96" s="579">
        <v>2472</v>
      </c>
      <c r="AC96" s="580">
        <v>2555</v>
      </c>
      <c r="AD96" s="573">
        <v>17380.952380952382</v>
      </c>
    </row>
    <row r="97" spans="1:30" ht="16.5" customHeight="1">
      <c r="A97" s="544" t="s">
        <v>243</v>
      </c>
      <c r="B97" s="584" t="s">
        <v>244</v>
      </c>
      <c r="C97" s="588">
        <v>0.21</v>
      </c>
      <c r="D97" s="589">
        <v>0.17800000000000002</v>
      </c>
      <c r="E97" s="589">
        <v>0.193</v>
      </c>
      <c r="F97" s="589">
        <v>0.183</v>
      </c>
      <c r="G97" s="589">
        <v>0.20199999999999999</v>
      </c>
      <c r="H97" s="589">
        <v>0.19500000000000001</v>
      </c>
      <c r="I97" s="589">
        <v>0.192</v>
      </c>
      <c r="J97" s="589">
        <v>0.23300000000000001</v>
      </c>
      <c r="K97" s="589">
        <v>0.20100000000000001</v>
      </c>
      <c r="L97" s="589">
        <v>0.21600000000000003</v>
      </c>
      <c r="M97" s="589">
        <v>0.215</v>
      </c>
      <c r="N97" s="589">
        <v>0.193</v>
      </c>
      <c r="O97" s="590">
        <f t="shared" si="1"/>
        <v>0.222</v>
      </c>
      <c r="P97" s="585"/>
      <c r="Q97" s="578">
        <v>8269</v>
      </c>
      <c r="R97" s="579">
        <v>7031</v>
      </c>
      <c r="S97" s="579">
        <v>7550</v>
      </c>
      <c r="T97" s="579">
        <v>7157</v>
      </c>
      <c r="U97" s="579">
        <v>7942</v>
      </c>
      <c r="V97" s="579">
        <v>7607</v>
      </c>
      <c r="W97" s="579">
        <v>7545</v>
      </c>
      <c r="X97" s="579">
        <v>9005</v>
      </c>
      <c r="Y97" s="579">
        <v>7809</v>
      </c>
      <c r="Z97" s="579">
        <v>8333</v>
      </c>
      <c r="AA97" s="579">
        <v>8287</v>
      </c>
      <c r="AB97" s="579">
        <v>7453</v>
      </c>
      <c r="AC97" s="580">
        <v>8524</v>
      </c>
      <c r="AD97" s="573">
        <v>38396.396396396398</v>
      </c>
    </row>
    <row r="98" spans="1:30" ht="16.5" customHeight="1">
      <c r="A98" s="544" t="s">
        <v>245</v>
      </c>
      <c r="B98" s="584" t="s">
        <v>246</v>
      </c>
      <c r="C98" s="588">
        <v>0.14499999999999999</v>
      </c>
      <c r="D98" s="589">
        <v>0.114</v>
      </c>
      <c r="E98" s="589">
        <v>0.11800000000000001</v>
      </c>
      <c r="F98" s="589">
        <v>0.122</v>
      </c>
      <c r="G98" s="589">
        <v>0.13699999999999998</v>
      </c>
      <c r="H98" s="589">
        <v>0.128</v>
      </c>
      <c r="I98" s="589">
        <v>0.11900000000000001</v>
      </c>
      <c r="J98" s="589">
        <v>0.13699999999999998</v>
      </c>
      <c r="K98" s="589">
        <v>0.14599999999999999</v>
      </c>
      <c r="L98" s="589">
        <v>0.122</v>
      </c>
      <c r="M98" s="589">
        <v>0.14000000000000001</v>
      </c>
      <c r="N98" s="589">
        <v>0.14300000000000002</v>
      </c>
      <c r="O98" s="590">
        <f t="shared" si="1"/>
        <v>0.158</v>
      </c>
      <c r="P98" s="585"/>
      <c r="Q98" s="578">
        <v>3866</v>
      </c>
      <c r="R98" s="579">
        <v>3134</v>
      </c>
      <c r="S98" s="579">
        <v>3228</v>
      </c>
      <c r="T98" s="579">
        <v>3351</v>
      </c>
      <c r="U98" s="579">
        <v>3806</v>
      </c>
      <c r="V98" s="579">
        <v>3543</v>
      </c>
      <c r="W98" s="579">
        <v>3366</v>
      </c>
      <c r="X98" s="579">
        <v>3825</v>
      </c>
      <c r="Y98" s="579">
        <v>4130</v>
      </c>
      <c r="Z98" s="579">
        <v>3421</v>
      </c>
      <c r="AA98" s="579">
        <v>3967</v>
      </c>
      <c r="AB98" s="579">
        <v>4058</v>
      </c>
      <c r="AC98" s="580">
        <v>4578</v>
      </c>
      <c r="AD98" s="573">
        <v>28974.683544303796</v>
      </c>
    </row>
    <row r="99" spans="1:30" ht="16.5" customHeight="1">
      <c r="A99" s="544" t="s">
        <v>247</v>
      </c>
      <c r="B99" s="584" t="s">
        <v>248</v>
      </c>
      <c r="C99" s="588">
        <v>5.1200000000000002E-2</v>
      </c>
      <c r="D99" s="589">
        <v>4.4699999999999997E-2</v>
      </c>
      <c r="E99" s="589">
        <v>4.2800000000000005E-2</v>
      </c>
      <c r="F99" s="589">
        <v>4.2699999999999995E-2</v>
      </c>
      <c r="G99" s="589">
        <v>4.4400000000000002E-2</v>
      </c>
      <c r="H99" s="589">
        <v>4.9699999999999994E-2</v>
      </c>
      <c r="I99" s="589">
        <v>4.7699999999999992E-2</v>
      </c>
      <c r="J99" s="589">
        <v>4.2599999999999999E-2</v>
      </c>
      <c r="K99" s="589">
        <v>4.4000000000000004E-2</v>
      </c>
      <c r="L99" s="589">
        <v>4.2000000000000003E-2</v>
      </c>
      <c r="M99" s="589">
        <v>4.4000000000000004E-2</v>
      </c>
      <c r="N99" s="589">
        <v>4.7300000000000002E-2</v>
      </c>
      <c r="O99" s="590">
        <f t="shared" si="1"/>
        <v>5.3157922199184374E-2</v>
      </c>
      <c r="P99" s="585"/>
      <c r="Q99" s="578">
        <v>3629</v>
      </c>
      <c r="R99" s="579">
        <v>3052</v>
      </c>
      <c r="S99" s="579">
        <v>2965</v>
      </c>
      <c r="T99" s="579">
        <v>3035</v>
      </c>
      <c r="U99" s="579">
        <v>3230</v>
      </c>
      <c r="V99" s="579">
        <v>3589</v>
      </c>
      <c r="W99" s="579">
        <v>3510</v>
      </c>
      <c r="X99" s="579">
        <v>3102</v>
      </c>
      <c r="Y99" s="579">
        <v>3228</v>
      </c>
      <c r="Z99" s="579">
        <v>3067</v>
      </c>
      <c r="AA99" s="579">
        <v>3172</v>
      </c>
      <c r="AB99" s="579">
        <v>3402</v>
      </c>
      <c r="AC99" s="580">
        <v>4058</v>
      </c>
      <c r="AD99" s="573">
        <v>76338.57442348008</v>
      </c>
    </row>
    <row r="100" spans="1:30" ht="16.5" customHeight="1">
      <c r="A100" s="544" t="s">
        <v>14</v>
      </c>
      <c r="B100" s="584" t="s">
        <v>15</v>
      </c>
      <c r="C100" s="588">
        <v>8.6999999999999994E-2</v>
      </c>
      <c r="D100" s="589">
        <v>7.9000000000000001E-2</v>
      </c>
      <c r="E100" s="589">
        <v>7.4999999999999997E-2</v>
      </c>
      <c r="F100" s="589">
        <v>7.2000000000000008E-2</v>
      </c>
      <c r="G100" s="589">
        <v>7.8E-2</v>
      </c>
      <c r="H100" s="589">
        <v>8.8000000000000009E-2</v>
      </c>
      <c r="I100" s="589">
        <v>8.3000000000000004E-2</v>
      </c>
      <c r="J100" s="589">
        <v>7.6999999999999999E-2</v>
      </c>
      <c r="K100" s="589">
        <v>7.2000000000000008E-2</v>
      </c>
      <c r="L100" s="589">
        <v>8.3000000000000004E-2</v>
      </c>
      <c r="M100" s="589">
        <v>0.08</v>
      </c>
      <c r="N100" s="589">
        <v>9.0999999999999998E-2</v>
      </c>
      <c r="O100" s="590">
        <f t="shared" si="1"/>
        <v>9.3000000000000013E-2</v>
      </c>
      <c r="P100" s="585"/>
      <c r="Q100" s="578">
        <v>10258</v>
      </c>
      <c r="R100" s="579">
        <v>10116</v>
      </c>
      <c r="S100" s="579">
        <v>9744</v>
      </c>
      <c r="T100" s="579">
        <v>9285</v>
      </c>
      <c r="U100" s="579">
        <v>10067</v>
      </c>
      <c r="V100" s="579">
        <v>11271</v>
      </c>
      <c r="W100" s="579">
        <v>11165</v>
      </c>
      <c r="X100" s="579">
        <v>10320</v>
      </c>
      <c r="Y100" s="579">
        <v>9685</v>
      </c>
      <c r="Z100" s="579">
        <v>11450</v>
      </c>
      <c r="AA100" s="579">
        <v>11398</v>
      </c>
      <c r="AB100" s="579">
        <v>13486</v>
      </c>
      <c r="AC100" s="580">
        <v>12898</v>
      </c>
      <c r="AD100" s="573">
        <v>138688.17204301074</v>
      </c>
    </row>
    <row r="101" spans="1:30" ht="16.5" customHeight="1">
      <c r="A101" s="544" t="s">
        <v>35</v>
      </c>
      <c r="B101" s="584" t="s">
        <v>36</v>
      </c>
      <c r="C101" s="588">
        <v>0.183</v>
      </c>
      <c r="D101" s="589">
        <v>0.14599999999999999</v>
      </c>
      <c r="E101" s="589">
        <v>0.154</v>
      </c>
      <c r="F101" s="589">
        <v>0.156</v>
      </c>
      <c r="G101" s="589">
        <v>0.17100000000000001</v>
      </c>
      <c r="H101" s="589">
        <v>0.16399999999999998</v>
      </c>
      <c r="I101" s="589">
        <v>0.16800000000000001</v>
      </c>
      <c r="J101" s="589">
        <v>0.182</v>
      </c>
      <c r="K101" s="589">
        <v>0.214</v>
      </c>
      <c r="L101" s="589">
        <v>0.183</v>
      </c>
      <c r="M101" s="589">
        <v>0.21299999999999999</v>
      </c>
      <c r="N101" s="589">
        <v>0.20199999999999999</v>
      </c>
      <c r="O101" s="590">
        <f t="shared" si="1"/>
        <v>0.21500000000000002</v>
      </c>
      <c r="P101" s="585"/>
      <c r="Q101" s="578">
        <v>3010</v>
      </c>
      <c r="R101" s="579">
        <v>2471</v>
      </c>
      <c r="S101" s="579">
        <v>2597</v>
      </c>
      <c r="T101" s="579">
        <v>2577</v>
      </c>
      <c r="U101" s="579">
        <v>2861</v>
      </c>
      <c r="V101" s="579">
        <v>2763</v>
      </c>
      <c r="W101" s="579">
        <v>2805</v>
      </c>
      <c r="X101" s="579">
        <v>2999</v>
      </c>
      <c r="Y101" s="579">
        <v>3584</v>
      </c>
      <c r="Z101" s="579">
        <v>3098</v>
      </c>
      <c r="AA101" s="579">
        <v>3605</v>
      </c>
      <c r="AB101" s="579">
        <v>3458</v>
      </c>
      <c r="AC101" s="580">
        <v>3744</v>
      </c>
      <c r="AD101" s="573">
        <v>17413.953488372092</v>
      </c>
    </row>
    <row r="102" spans="1:30" ht="16.5" customHeight="1">
      <c r="A102" s="544" t="s">
        <v>53</v>
      </c>
      <c r="B102" s="584" t="s">
        <v>54</v>
      </c>
      <c r="C102" s="588">
        <v>0.16699999999999998</v>
      </c>
      <c r="D102" s="589">
        <v>0.15</v>
      </c>
      <c r="E102" s="589">
        <v>0.16800000000000001</v>
      </c>
      <c r="F102" s="589">
        <v>0.14599999999999999</v>
      </c>
      <c r="G102" s="589">
        <v>0.16399999999999998</v>
      </c>
      <c r="H102" s="589">
        <v>0.18</v>
      </c>
      <c r="I102" s="589">
        <v>0.17199999999999999</v>
      </c>
      <c r="J102" s="589">
        <v>0.23699999999999999</v>
      </c>
      <c r="K102" s="589">
        <v>0.24</v>
      </c>
      <c r="L102" s="589">
        <v>0.23600000000000002</v>
      </c>
      <c r="M102" s="589">
        <v>0.218</v>
      </c>
      <c r="N102" s="589">
        <v>0.214</v>
      </c>
      <c r="O102" s="590">
        <f t="shared" si="1"/>
        <v>0.20200000000000001</v>
      </c>
      <c r="P102" s="585"/>
      <c r="Q102" s="578">
        <v>5885</v>
      </c>
      <c r="R102" s="579">
        <v>5804</v>
      </c>
      <c r="S102" s="579">
        <v>6470</v>
      </c>
      <c r="T102" s="579">
        <v>5556</v>
      </c>
      <c r="U102" s="579">
        <v>6184</v>
      </c>
      <c r="V102" s="579">
        <v>6295</v>
      </c>
      <c r="W102" s="579">
        <v>6720</v>
      </c>
      <c r="X102" s="579">
        <v>9101</v>
      </c>
      <c r="Y102" s="579">
        <v>9240</v>
      </c>
      <c r="Z102" s="579">
        <v>9299</v>
      </c>
      <c r="AA102" s="579">
        <v>8640</v>
      </c>
      <c r="AB102" s="579">
        <v>8666</v>
      </c>
      <c r="AC102" s="580">
        <v>8387</v>
      </c>
      <c r="AD102" s="573">
        <v>41519.801980198019</v>
      </c>
    </row>
    <row r="103" spans="1:30" ht="16.5" customHeight="1">
      <c r="A103" s="544" t="s">
        <v>55</v>
      </c>
      <c r="B103" s="584" t="s">
        <v>56</v>
      </c>
      <c r="C103" s="588">
        <v>0.09</v>
      </c>
      <c r="D103" s="589">
        <v>0.08</v>
      </c>
      <c r="E103" s="589">
        <v>7.6999999999999999E-2</v>
      </c>
      <c r="F103" s="589">
        <v>7.5999999999999998E-2</v>
      </c>
      <c r="G103" s="589">
        <v>8.3000000000000004E-2</v>
      </c>
      <c r="H103" s="589">
        <v>9.0999999999999998E-2</v>
      </c>
      <c r="I103" s="589">
        <v>8.6999999999999994E-2</v>
      </c>
      <c r="J103" s="589">
        <v>6.8000000000000005E-2</v>
      </c>
      <c r="K103" s="589">
        <v>6.8000000000000005E-2</v>
      </c>
      <c r="L103" s="589">
        <v>0.08</v>
      </c>
      <c r="M103" s="589">
        <v>7.9000000000000001E-2</v>
      </c>
      <c r="N103" s="589">
        <v>7.2999999999999995E-2</v>
      </c>
      <c r="O103" s="590">
        <f t="shared" si="1"/>
        <v>0.08</v>
      </c>
      <c r="P103" s="585"/>
      <c r="Q103" s="578">
        <v>18260</v>
      </c>
      <c r="R103" s="579">
        <v>15778</v>
      </c>
      <c r="S103" s="579">
        <v>15364</v>
      </c>
      <c r="T103" s="579">
        <v>15393</v>
      </c>
      <c r="U103" s="579">
        <v>17353</v>
      </c>
      <c r="V103" s="579">
        <v>19330</v>
      </c>
      <c r="W103" s="579">
        <v>18815</v>
      </c>
      <c r="X103" s="579">
        <v>14571</v>
      </c>
      <c r="Y103" s="579">
        <v>14811</v>
      </c>
      <c r="Z103" s="579">
        <v>17246</v>
      </c>
      <c r="AA103" s="579">
        <v>17088</v>
      </c>
      <c r="AB103" s="579">
        <v>15859</v>
      </c>
      <c r="AC103" s="580">
        <v>17468</v>
      </c>
      <c r="AD103" s="573">
        <v>218350</v>
      </c>
    </row>
    <row r="104" spans="1:30" ht="16.5" customHeight="1">
      <c r="A104" s="544" t="s">
        <v>67</v>
      </c>
      <c r="B104" s="584" t="s">
        <v>68</v>
      </c>
      <c r="C104" s="588">
        <v>0.17899999999999999</v>
      </c>
      <c r="D104" s="589">
        <v>0.16</v>
      </c>
      <c r="E104" s="589">
        <v>0.17100000000000001</v>
      </c>
      <c r="F104" s="589">
        <v>0.17300000000000001</v>
      </c>
      <c r="G104" s="589">
        <v>0.192</v>
      </c>
      <c r="H104" s="589">
        <v>0.19399999999999998</v>
      </c>
      <c r="I104" s="589">
        <v>0.19399999999999998</v>
      </c>
      <c r="J104" s="589">
        <v>0.24299999999999999</v>
      </c>
      <c r="K104" s="589">
        <v>0.223</v>
      </c>
      <c r="L104" s="589">
        <v>0.22800000000000001</v>
      </c>
      <c r="M104" s="589">
        <v>0.20800000000000002</v>
      </c>
      <c r="N104" s="589">
        <v>0.251</v>
      </c>
      <c r="O104" s="590">
        <f t="shared" si="1"/>
        <v>0.26600000000000001</v>
      </c>
      <c r="P104" s="585"/>
      <c r="Q104" s="578">
        <v>9072</v>
      </c>
      <c r="R104" s="579">
        <v>7554</v>
      </c>
      <c r="S104" s="579">
        <v>7972</v>
      </c>
      <c r="T104" s="579">
        <v>7971</v>
      </c>
      <c r="U104" s="579">
        <v>8821</v>
      </c>
      <c r="V104" s="579">
        <v>8796</v>
      </c>
      <c r="W104" s="579">
        <v>8715</v>
      </c>
      <c r="X104" s="579">
        <v>10779</v>
      </c>
      <c r="Y104" s="579">
        <v>9838</v>
      </c>
      <c r="Z104" s="579">
        <v>9930</v>
      </c>
      <c r="AA104" s="579">
        <v>8991</v>
      </c>
      <c r="AB104" s="579">
        <v>10764</v>
      </c>
      <c r="AC104" s="580">
        <v>11032</v>
      </c>
      <c r="AD104" s="573">
        <v>41473.684210526313</v>
      </c>
    </row>
    <row r="105" spans="1:30" ht="16.5" customHeight="1">
      <c r="A105" s="544" t="s">
        <v>83</v>
      </c>
      <c r="B105" s="584" t="s">
        <v>84</v>
      </c>
      <c r="C105" s="588">
        <v>0.21</v>
      </c>
      <c r="D105" s="589">
        <v>0.182</v>
      </c>
      <c r="E105" s="589">
        <v>0.17499999999999999</v>
      </c>
      <c r="F105" s="589">
        <v>0.156</v>
      </c>
      <c r="G105" s="589">
        <v>0.17100000000000001</v>
      </c>
      <c r="H105" s="589">
        <v>0.17399999999999999</v>
      </c>
      <c r="I105" s="589">
        <v>0.16600000000000001</v>
      </c>
      <c r="J105" s="589">
        <v>0.20100000000000001</v>
      </c>
      <c r="K105" s="589">
        <v>0.185</v>
      </c>
      <c r="L105" s="589">
        <v>0.184</v>
      </c>
      <c r="M105" s="589">
        <v>0.19399999999999998</v>
      </c>
      <c r="N105" s="589">
        <v>0.17699999999999999</v>
      </c>
      <c r="O105" s="590">
        <f t="shared" si="1"/>
        <v>0.216</v>
      </c>
      <c r="P105" s="585"/>
      <c r="Q105" s="578">
        <v>1709</v>
      </c>
      <c r="R105" s="579">
        <v>1477</v>
      </c>
      <c r="S105" s="579">
        <v>1401</v>
      </c>
      <c r="T105" s="579">
        <v>1237</v>
      </c>
      <c r="U105" s="579">
        <v>1374</v>
      </c>
      <c r="V105" s="579">
        <v>1435</v>
      </c>
      <c r="W105" s="579">
        <v>1388</v>
      </c>
      <c r="X105" s="579">
        <v>1668</v>
      </c>
      <c r="Y105" s="579">
        <v>1576</v>
      </c>
      <c r="Z105" s="579">
        <v>1586</v>
      </c>
      <c r="AA105" s="579">
        <v>1663</v>
      </c>
      <c r="AB105" s="579">
        <v>1506</v>
      </c>
      <c r="AC105" s="580">
        <v>1833</v>
      </c>
      <c r="AD105" s="573">
        <v>8486.1111111111113</v>
      </c>
    </row>
    <row r="106" spans="1:30" ht="16.5" customHeight="1">
      <c r="A106" s="544" t="s">
        <v>89</v>
      </c>
      <c r="B106" s="584" t="s">
        <v>90</v>
      </c>
      <c r="C106" s="588">
        <v>0.14099999999999999</v>
      </c>
      <c r="D106" s="589">
        <v>0.127</v>
      </c>
      <c r="E106" s="589">
        <v>0.128</v>
      </c>
      <c r="F106" s="589">
        <v>0.126</v>
      </c>
      <c r="G106" s="589">
        <v>0.13699999999999998</v>
      </c>
      <c r="H106" s="589">
        <v>0.14199999999999999</v>
      </c>
      <c r="I106" s="589">
        <v>0.14400000000000002</v>
      </c>
      <c r="J106" s="589">
        <v>0.17</v>
      </c>
      <c r="K106" s="589">
        <v>0.14899999999999999</v>
      </c>
      <c r="L106" s="589">
        <v>0.13</v>
      </c>
      <c r="M106" s="589">
        <v>0.154</v>
      </c>
      <c r="N106" s="589">
        <v>0.17300000000000001</v>
      </c>
      <c r="O106" s="590">
        <f t="shared" si="1"/>
        <v>0.19800000000000001</v>
      </c>
      <c r="P106" s="585"/>
      <c r="Q106" s="578">
        <v>2410</v>
      </c>
      <c r="R106" s="579">
        <v>2192</v>
      </c>
      <c r="S106" s="579">
        <v>2267</v>
      </c>
      <c r="T106" s="579">
        <v>2247</v>
      </c>
      <c r="U106" s="579">
        <v>2476</v>
      </c>
      <c r="V106" s="579">
        <v>2594</v>
      </c>
      <c r="W106" s="579">
        <v>2630</v>
      </c>
      <c r="X106" s="579">
        <v>3050</v>
      </c>
      <c r="Y106" s="579">
        <v>2783</v>
      </c>
      <c r="Z106" s="579">
        <v>2585</v>
      </c>
      <c r="AA106" s="579">
        <v>3118</v>
      </c>
      <c r="AB106" s="579">
        <v>3581</v>
      </c>
      <c r="AC106" s="580">
        <v>4338</v>
      </c>
      <c r="AD106" s="573">
        <v>21909.090909090908</v>
      </c>
    </row>
    <row r="107" spans="1:30" ht="16.5" customHeight="1">
      <c r="A107" s="544" t="s">
        <v>91</v>
      </c>
      <c r="B107" s="584" t="s">
        <v>92</v>
      </c>
      <c r="C107" s="588">
        <v>0.20100000000000001</v>
      </c>
      <c r="D107" s="589">
        <v>0.17600000000000002</v>
      </c>
      <c r="E107" s="589">
        <v>0.184</v>
      </c>
      <c r="F107" s="589">
        <v>0.16899999999999998</v>
      </c>
      <c r="G107" s="589">
        <v>0.17699999999999999</v>
      </c>
      <c r="H107" s="589">
        <v>0.18</v>
      </c>
      <c r="I107" s="589">
        <v>0.17</v>
      </c>
      <c r="J107" s="589">
        <v>0.20699999999999999</v>
      </c>
      <c r="K107" s="589">
        <v>0.23</v>
      </c>
      <c r="L107" s="589">
        <v>0.19</v>
      </c>
      <c r="M107" s="589">
        <v>0.20699999999999999</v>
      </c>
      <c r="N107" s="589">
        <v>0.191</v>
      </c>
      <c r="O107" s="590">
        <f t="shared" si="1"/>
        <v>0.223</v>
      </c>
      <c r="P107" s="585"/>
      <c r="Q107" s="578">
        <v>1280</v>
      </c>
      <c r="R107" s="579">
        <v>1187</v>
      </c>
      <c r="S107" s="579">
        <v>1202</v>
      </c>
      <c r="T107" s="579">
        <v>1094</v>
      </c>
      <c r="U107" s="579">
        <v>1163</v>
      </c>
      <c r="V107" s="579">
        <v>1180</v>
      </c>
      <c r="W107" s="579">
        <v>1118</v>
      </c>
      <c r="X107" s="579">
        <v>1349</v>
      </c>
      <c r="Y107" s="579">
        <v>1504</v>
      </c>
      <c r="Z107" s="579">
        <v>1267</v>
      </c>
      <c r="AA107" s="579">
        <v>1378</v>
      </c>
      <c r="AB107" s="579">
        <v>1286</v>
      </c>
      <c r="AC107" s="580">
        <v>1512</v>
      </c>
      <c r="AD107" s="573">
        <v>6780.269058295964</v>
      </c>
    </row>
    <row r="108" spans="1:30" ht="16.5" customHeight="1">
      <c r="A108" s="544" t="s">
        <v>107</v>
      </c>
      <c r="B108" s="584" t="s">
        <v>108</v>
      </c>
      <c r="C108" s="588">
        <v>0.13</v>
      </c>
      <c r="D108" s="589">
        <v>0.11599999999999999</v>
      </c>
      <c r="E108" s="589">
        <v>0.122</v>
      </c>
      <c r="F108" s="589">
        <v>0.121</v>
      </c>
      <c r="G108" s="589">
        <v>0.13</v>
      </c>
      <c r="H108" s="589">
        <v>0.13100000000000001</v>
      </c>
      <c r="I108" s="589">
        <v>0.125</v>
      </c>
      <c r="J108" s="589">
        <v>0.13400000000000001</v>
      </c>
      <c r="K108" s="589">
        <v>0.121</v>
      </c>
      <c r="L108" s="589">
        <v>0.15</v>
      </c>
      <c r="M108" s="589">
        <v>0.14199999999999999</v>
      </c>
      <c r="N108" s="589">
        <v>0.14800000000000002</v>
      </c>
      <c r="O108" s="590">
        <f t="shared" si="1"/>
        <v>0.13099999999999998</v>
      </c>
      <c r="P108" s="585"/>
      <c r="Q108" s="578">
        <v>17552</v>
      </c>
      <c r="R108" s="579">
        <v>15711</v>
      </c>
      <c r="S108" s="579">
        <v>16301</v>
      </c>
      <c r="T108" s="579">
        <v>16154</v>
      </c>
      <c r="U108" s="579">
        <v>17671</v>
      </c>
      <c r="V108" s="579">
        <v>17544</v>
      </c>
      <c r="W108" s="579">
        <v>16802</v>
      </c>
      <c r="X108" s="579">
        <v>17885</v>
      </c>
      <c r="Y108" s="579">
        <v>16140</v>
      </c>
      <c r="Z108" s="579">
        <v>20115</v>
      </c>
      <c r="AA108" s="579">
        <v>18827</v>
      </c>
      <c r="AB108" s="579">
        <v>19499</v>
      </c>
      <c r="AC108" s="580">
        <v>17439</v>
      </c>
      <c r="AD108" s="573">
        <v>133122.13740458016</v>
      </c>
    </row>
    <row r="109" spans="1:30" ht="16.5" customHeight="1">
      <c r="A109" s="544" t="s">
        <v>117</v>
      </c>
      <c r="B109" s="584" t="s">
        <v>118</v>
      </c>
      <c r="C109" s="588">
        <v>0.16399999999999998</v>
      </c>
      <c r="D109" s="589">
        <v>0.14400000000000002</v>
      </c>
      <c r="E109" s="589">
        <v>0.14499999999999999</v>
      </c>
      <c r="F109" s="589">
        <v>0.14099999999999999</v>
      </c>
      <c r="G109" s="589">
        <v>0.16</v>
      </c>
      <c r="H109" s="589">
        <v>0.16399999999999998</v>
      </c>
      <c r="I109" s="589">
        <v>0.155</v>
      </c>
      <c r="J109" s="589">
        <v>0.16600000000000001</v>
      </c>
      <c r="K109" s="589">
        <v>0.16600000000000001</v>
      </c>
      <c r="L109" s="589">
        <v>0.15</v>
      </c>
      <c r="M109" s="589">
        <v>0.17899999999999999</v>
      </c>
      <c r="N109" s="589">
        <v>0.19699999999999998</v>
      </c>
      <c r="O109" s="590">
        <f t="shared" si="1"/>
        <v>0.17299999999999999</v>
      </c>
      <c r="P109" s="585"/>
      <c r="Q109" s="578">
        <v>3633</v>
      </c>
      <c r="R109" s="579">
        <v>3193</v>
      </c>
      <c r="S109" s="579">
        <v>3195</v>
      </c>
      <c r="T109" s="579">
        <v>3132</v>
      </c>
      <c r="U109" s="579">
        <v>3571</v>
      </c>
      <c r="V109" s="579">
        <v>3635</v>
      </c>
      <c r="W109" s="579">
        <v>3497</v>
      </c>
      <c r="X109" s="579">
        <v>3715</v>
      </c>
      <c r="Y109" s="579">
        <v>3720</v>
      </c>
      <c r="Z109" s="579">
        <v>3402</v>
      </c>
      <c r="AA109" s="579">
        <v>4079</v>
      </c>
      <c r="AB109" s="579">
        <v>4486</v>
      </c>
      <c r="AC109" s="580">
        <v>3859</v>
      </c>
      <c r="AD109" s="573">
        <v>22306.358381502891</v>
      </c>
    </row>
    <row r="110" spans="1:30" ht="16.5" customHeight="1">
      <c r="A110" s="544" t="s">
        <v>139</v>
      </c>
      <c r="B110" s="584" t="s">
        <v>140</v>
      </c>
      <c r="C110" s="588">
        <v>0.17499999999999999</v>
      </c>
      <c r="D110" s="589">
        <v>0.14800000000000002</v>
      </c>
      <c r="E110" s="589">
        <v>0.15</v>
      </c>
      <c r="F110" s="589">
        <v>0.157</v>
      </c>
      <c r="G110" s="589">
        <v>0.183</v>
      </c>
      <c r="H110" s="589">
        <v>0.17600000000000002</v>
      </c>
      <c r="I110" s="589">
        <v>0.17800000000000002</v>
      </c>
      <c r="J110" s="589">
        <v>0.192</v>
      </c>
      <c r="K110" s="589">
        <v>0.191</v>
      </c>
      <c r="L110" s="589">
        <v>0.19399999999999998</v>
      </c>
      <c r="M110" s="589">
        <v>0.19800000000000001</v>
      </c>
      <c r="N110" s="589">
        <v>0.20699999999999999</v>
      </c>
      <c r="O110" s="590">
        <f t="shared" si="1"/>
        <v>0.22800000000000001</v>
      </c>
      <c r="P110" s="585"/>
      <c r="Q110" s="578">
        <v>10376</v>
      </c>
      <c r="R110" s="579">
        <v>8764</v>
      </c>
      <c r="S110" s="579">
        <v>8790</v>
      </c>
      <c r="T110" s="579">
        <v>9167</v>
      </c>
      <c r="U110" s="579">
        <v>10764</v>
      </c>
      <c r="V110" s="579">
        <v>10265</v>
      </c>
      <c r="W110" s="579">
        <v>10524</v>
      </c>
      <c r="X110" s="579">
        <v>11145</v>
      </c>
      <c r="Y110" s="579">
        <v>11322</v>
      </c>
      <c r="Z110" s="579">
        <v>11980</v>
      </c>
      <c r="AA110" s="579">
        <v>12344</v>
      </c>
      <c r="AB110" s="579">
        <v>13122</v>
      </c>
      <c r="AC110" s="580">
        <v>14921</v>
      </c>
      <c r="AD110" s="573">
        <v>65442.982456140351</v>
      </c>
    </row>
    <row r="111" spans="1:30" ht="16.5" customHeight="1">
      <c r="A111" s="544" t="s">
        <v>143</v>
      </c>
      <c r="B111" s="584" t="s">
        <v>144</v>
      </c>
      <c r="C111" s="588">
        <v>6.2E-2</v>
      </c>
      <c r="D111" s="589">
        <v>5.0999999999999997E-2</v>
      </c>
      <c r="E111" s="589">
        <v>5.9000000000000004E-2</v>
      </c>
      <c r="F111" s="589">
        <v>5.9000000000000004E-2</v>
      </c>
      <c r="G111" s="589">
        <v>6.4000000000000001E-2</v>
      </c>
      <c r="H111" s="589">
        <v>7.400000000000001E-2</v>
      </c>
      <c r="I111" s="589">
        <v>7.4999999999999997E-2</v>
      </c>
      <c r="J111" s="589">
        <v>6.8000000000000005E-2</v>
      </c>
      <c r="K111" s="589">
        <v>7.400000000000001E-2</v>
      </c>
      <c r="L111" s="589">
        <v>8.900000000000001E-2</v>
      </c>
      <c r="M111" s="589">
        <v>8.6999999999999994E-2</v>
      </c>
      <c r="N111" s="589">
        <v>0.09</v>
      </c>
      <c r="O111" s="590">
        <f t="shared" si="1"/>
        <v>0.11699999999999998</v>
      </c>
      <c r="P111" s="585"/>
      <c r="Q111" s="578">
        <v>2044</v>
      </c>
      <c r="R111" s="579">
        <v>1776</v>
      </c>
      <c r="S111" s="579">
        <v>2076</v>
      </c>
      <c r="T111" s="579">
        <v>2135</v>
      </c>
      <c r="U111" s="579">
        <v>2358</v>
      </c>
      <c r="V111" s="579">
        <v>2747</v>
      </c>
      <c r="W111" s="579">
        <v>2756</v>
      </c>
      <c r="X111" s="579">
        <v>2461</v>
      </c>
      <c r="Y111" s="579">
        <v>2642</v>
      </c>
      <c r="Z111" s="579">
        <v>3070</v>
      </c>
      <c r="AA111" s="579">
        <v>2972</v>
      </c>
      <c r="AB111" s="579">
        <v>3234</v>
      </c>
      <c r="AC111" s="580">
        <v>4427</v>
      </c>
      <c r="AD111" s="573">
        <v>37837.606837606843</v>
      </c>
    </row>
    <row r="112" spans="1:30" ht="16.5" customHeight="1">
      <c r="A112" s="544" t="s">
        <v>145</v>
      </c>
      <c r="B112" s="584" t="s">
        <v>146</v>
      </c>
      <c r="C112" s="588">
        <v>7.9000000000000001E-2</v>
      </c>
      <c r="D112" s="589">
        <v>6.5000000000000002E-2</v>
      </c>
      <c r="E112" s="589">
        <v>5.9000000000000004E-2</v>
      </c>
      <c r="F112" s="589">
        <v>5.7000000000000002E-2</v>
      </c>
      <c r="G112" s="589">
        <v>6.0999999999999999E-2</v>
      </c>
      <c r="H112" s="589">
        <v>6.5000000000000002E-2</v>
      </c>
      <c r="I112" s="589">
        <v>0.06</v>
      </c>
      <c r="J112" s="589">
        <v>6.0999999999999999E-2</v>
      </c>
      <c r="K112" s="589">
        <v>6.9000000000000006E-2</v>
      </c>
      <c r="L112" s="589">
        <v>6.2E-2</v>
      </c>
      <c r="M112" s="589">
        <v>6.3E-2</v>
      </c>
      <c r="N112" s="589">
        <v>7.5999999999999998E-2</v>
      </c>
      <c r="O112" s="590">
        <f t="shared" si="1"/>
        <v>8.5999999999999993E-2</v>
      </c>
      <c r="P112" s="585"/>
      <c r="Q112" s="581">
        <v>636</v>
      </c>
      <c r="R112" s="582">
        <v>672</v>
      </c>
      <c r="S112" s="582">
        <v>641</v>
      </c>
      <c r="T112" s="582">
        <v>619</v>
      </c>
      <c r="U112" s="582">
        <v>671</v>
      </c>
      <c r="V112" s="582">
        <v>750</v>
      </c>
      <c r="W112" s="582">
        <v>699</v>
      </c>
      <c r="X112" s="582">
        <v>705</v>
      </c>
      <c r="Y112" s="582">
        <v>794</v>
      </c>
      <c r="Z112" s="582">
        <v>703</v>
      </c>
      <c r="AA112" s="579">
        <v>713</v>
      </c>
      <c r="AB112" s="579">
        <v>906</v>
      </c>
      <c r="AC112" s="580">
        <v>1238</v>
      </c>
      <c r="AD112" s="573">
        <v>14395.348837209303</v>
      </c>
    </row>
    <row r="113" spans="1:30" ht="16.5" customHeight="1">
      <c r="A113" s="544" t="s">
        <v>159</v>
      </c>
      <c r="B113" s="584" t="s">
        <v>160</v>
      </c>
      <c r="C113" s="588">
        <v>0.14300000000000002</v>
      </c>
      <c r="D113" s="589">
        <v>0.128</v>
      </c>
      <c r="E113" s="589">
        <v>0.124</v>
      </c>
      <c r="F113" s="589">
        <v>0.11900000000000001</v>
      </c>
      <c r="G113" s="589">
        <v>0.13100000000000001</v>
      </c>
      <c r="H113" s="589">
        <v>0.14000000000000001</v>
      </c>
      <c r="I113" s="589">
        <v>0.13400000000000001</v>
      </c>
      <c r="J113" s="589">
        <v>0.14199999999999999</v>
      </c>
      <c r="K113" s="589">
        <v>0.126</v>
      </c>
      <c r="L113" s="589">
        <v>0.14699999999999999</v>
      </c>
      <c r="M113" s="589">
        <v>0.13200000000000001</v>
      </c>
      <c r="N113" s="589">
        <v>0.13500000000000001</v>
      </c>
      <c r="O113" s="590">
        <f t="shared" si="1"/>
        <v>0.151</v>
      </c>
      <c r="P113" s="585"/>
      <c r="Q113" s="578">
        <v>25592</v>
      </c>
      <c r="R113" s="579">
        <v>22448</v>
      </c>
      <c r="S113" s="579">
        <v>21921</v>
      </c>
      <c r="T113" s="579">
        <v>21150</v>
      </c>
      <c r="U113" s="579">
        <v>23577</v>
      </c>
      <c r="V113" s="579">
        <v>25148</v>
      </c>
      <c r="W113" s="579">
        <v>23864</v>
      </c>
      <c r="X113" s="579">
        <v>24948</v>
      </c>
      <c r="Y113" s="579">
        <v>22043</v>
      </c>
      <c r="Z113" s="579">
        <v>25758</v>
      </c>
      <c r="AA113" s="579">
        <v>22966</v>
      </c>
      <c r="AB113" s="579">
        <v>25430</v>
      </c>
      <c r="AC113" s="580">
        <v>26088</v>
      </c>
      <c r="AD113" s="573">
        <v>172768.21192052981</v>
      </c>
    </row>
    <row r="114" spans="1:30" ht="16.5" customHeight="1">
      <c r="A114" s="544" t="s">
        <v>161</v>
      </c>
      <c r="B114" s="584" t="s">
        <v>162</v>
      </c>
      <c r="C114" s="588">
        <v>0.223</v>
      </c>
      <c r="D114" s="589">
        <v>0.184</v>
      </c>
      <c r="E114" s="589">
        <v>0.18600000000000003</v>
      </c>
      <c r="F114" s="589">
        <v>0.18600000000000003</v>
      </c>
      <c r="G114" s="589">
        <v>0.20300000000000001</v>
      </c>
      <c r="H114" s="589">
        <v>0.19800000000000001</v>
      </c>
      <c r="I114" s="589">
        <v>0.188</v>
      </c>
      <c r="J114" s="589">
        <v>0.18899999999999997</v>
      </c>
      <c r="K114" s="589">
        <v>0.17499999999999999</v>
      </c>
      <c r="L114" s="589">
        <v>0.17899999999999999</v>
      </c>
      <c r="M114" s="589">
        <v>0.19500000000000001</v>
      </c>
      <c r="N114" s="589">
        <v>0.184</v>
      </c>
      <c r="O114" s="590">
        <f t="shared" si="1"/>
        <v>0.19</v>
      </c>
      <c r="P114" s="585"/>
      <c r="Q114" s="578">
        <v>45818</v>
      </c>
      <c r="R114" s="579">
        <v>39035</v>
      </c>
      <c r="S114" s="579">
        <v>39503</v>
      </c>
      <c r="T114" s="579">
        <v>39711</v>
      </c>
      <c r="U114" s="579">
        <v>43514</v>
      </c>
      <c r="V114" s="579">
        <v>41488</v>
      </c>
      <c r="W114" s="579">
        <v>38960</v>
      </c>
      <c r="X114" s="579">
        <v>38857</v>
      </c>
      <c r="Y114" s="579">
        <v>35487</v>
      </c>
      <c r="Z114" s="579">
        <v>37343</v>
      </c>
      <c r="AA114" s="579">
        <v>40407</v>
      </c>
      <c r="AB114" s="579">
        <v>37917</v>
      </c>
      <c r="AC114" s="580">
        <v>39903</v>
      </c>
      <c r="AD114" s="573">
        <v>210015.78947368421</v>
      </c>
    </row>
    <row r="115" spans="1:30" ht="16.5" customHeight="1">
      <c r="A115" s="544" t="s">
        <v>167</v>
      </c>
      <c r="B115" s="584" t="s">
        <v>168</v>
      </c>
      <c r="C115" s="588">
        <v>0.217</v>
      </c>
      <c r="D115" s="589">
        <v>0.191</v>
      </c>
      <c r="E115" s="589">
        <v>0.18600000000000003</v>
      </c>
      <c r="F115" s="589">
        <v>0.17600000000000002</v>
      </c>
      <c r="G115" s="589">
        <v>0.16899999999999998</v>
      </c>
      <c r="H115" s="589">
        <v>0.182</v>
      </c>
      <c r="I115" s="589">
        <v>0.18</v>
      </c>
      <c r="J115" s="589">
        <v>0.221</v>
      </c>
      <c r="K115" s="589">
        <v>0.20300000000000001</v>
      </c>
      <c r="L115" s="589">
        <v>0.20600000000000002</v>
      </c>
      <c r="M115" s="589">
        <v>0.20800000000000002</v>
      </c>
      <c r="N115" s="589">
        <v>0.20899999999999999</v>
      </c>
      <c r="O115" s="590">
        <f t="shared" si="1"/>
        <v>0.19500000000000001</v>
      </c>
      <c r="P115" s="585"/>
      <c r="Q115" s="581">
        <v>893</v>
      </c>
      <c r="R115" s="582">
        <v>740</v>
      </c>
      <c r="S115" s="582">
        <v>717</v>
      </c>
      <c r="T115" s="582">
        <v>686</v>
      </c>
      <c r="U115" s="582">
        <v>659</v>
      </c>
      <c r="V115" s="582">
        <v>678</v>
      </c>
      <c r="W115" s="582">
        <v>658</v>
      </c>
      <c r="X115" s="582">
        <v>801</v>
      </c>
      <c r="Y115" s="582">
        <v>730</v>
      </c>
      <c r="Z115" s="582">
        <v>757</v>
      </c>
      <c r="AA115" s="579">
        <v>759</v>
      </c>
      <c r="AB115" s="579">
        <v>763</v>
      </c>
      <c r="AC115" s="580">
        <v>761</v>
      </c>
      <c r="AD115" s="573">
        <v>3902.5641025641025</v>
      </c>
    </row>
    <row r="116" spans="1:30" ht="16.5" customHeight="1">
      <c r="A116" s="544" t="s">
        <v>177</v>
      </c>
      <c r="B116" s="584" t="s">
        <v>178</v>
      </c>
      <c r="C116" s="588">
        <v>0.22500000000000001</v>
      </c>
      <c r="D116" s="589">
        <v>0.187</v>
      </c>
      <c r="E116" s="589">
        <v>0.17800000000000002</v>
      </c>
      <c r="F116" s="589">
        <v>0.17100000000000001</v>
      </c>
      <c r="G116" s="589">
        <v>0.185</v>
      </c>
      <c r="H116" s="589">
        <v>0.18600000000000003</v>
      </c>
      <c r="I116" s="589">
        <v>0.183</v>
      </c>
      <c r="J116" s="589">
        <v>0.218</v>
      </c>
      <c r="K116" s="589">
        <v>0.193</v>
      </c>
      <c r="L116" s="589">
        <v>0.191</v>
      </c>
      <c r="M116" s="589">
        <v>0.20100000000000001</v>
      </c>
      <c r="N116" s="589">
        <v>0.222</v>
      </c>
      <c r="O116" s="590">
        <f t="shared" si="1"/>
        <v>0.252</v>
      </c>
      <c r="P116" s="585"/>
      <c r="Q116" s="578">
        <v>7678</v>
      </c>
      <c r="R116" s="579">
        <v>6211</v>
      </c>
      <c r="S116" s="579">
        <v>5826</v>
      </c>
      <c r="T116" s="579">
        <v>5569</v>
      </c>
      <c r="U116" s="579">
        <v>6046</v>
      </c>
      <c r="V116" s="579">
        <v>5978</v>
      </c>
      <c r="W116" s="579">
        <v>5874</v>
      </c>
      <c r="X116" s="579">
        <v>6854</v>
      </c>
      <c r="Y116" s="579">
        <v>6098</v>
      </c>
      <c r="Z116" s="579">
        <v>6131</v>
      </c>
      <c r="AA116" s="579">
        <v>6478</v>
      </c>
      <c r="AB116" s="579">
        <v>7164</v>
      </c>
      <c r="AC116" s="580">
        <v>8015</v>
      </c>
      <c r="AD116" s="573">
        <v>31805.555555555555</v>
      </c>
    </row>
    <row r="117" spans="1:30" ht="16.5" customHeight="1">
      <c r="A117" s="544" t="s">
        <v>181</v>
      </c>
      <c r="B117" s="584" t="s">
        <v>182</v>
      </c>
      <c r="C117" s="588">
        <v>0.184</v>
      </c>
      <c r="D117" s="589">
        <v>0.158</v>
      </c>
      <c r="E117" s="589">
        <v>0.157</v>
      </c>
      <c r="F117" s="589">
        <v>0.153</v>
      </c>
      <c r="G117" s="589">
        <v>0.16399999999999998</v>
      </c>
      <c r="H117" s="589">
        <v>0.16600000000000001</v>
      </c>
      <c r="I117" s="589">
        <v>0.159</v>
      </c>
      <c r="J117" s="589">
        <v>0.17199999999999999</v>
      </c>
      <c r="K117" s="589">
        <v>0.14800000000000002</v>
      </c>
      <c r="L117" s="589">
        <v>0.156</v>
      </c>
      <c r="M117" s="589">
        <v>0.17899999999999999</v>
      </c>
      <c r="N117" s="589">
        <v>0.16699999999999998</v>
      </c>
      <c r="O117" s="590">
        <f t="shared" si="1"/>
        <v>0.183</v>
      </c>
      <c r="P117" s="585"/>
      <c r="Q117" s="578">
        <v>17904</v>
      </c>
      <c r="R117" s="579">
        <v>15274</v>
      </c>
      <c r="S117" s="579">
        <v>15026</v>
      </c>
      <c r="T117" s="579">
        <v>14553</v>
      </c>
      <c r="U117" s="579">
        <v>15656</v>
      </c>
      <c r="V117" s="579">
        <v>15789</v>
      </c>
      <c r="W117" s="579">
        <v>15226</v>
      </c>
      <c r="X117" s="579">
        <v>16256</v>
      </c>
      <c r="Y117" s="579">
        <v>14186</v>
      </c>
      <c r="Z117" s="579">
        <v>15038</v>
      </c>
      <c r="AA117" s="579">
        <v>16990</v>
      </c>
      <c r="AB117" s="579">
        <v>15687</v>
      </c>
      <c r="AC117" s="580">
        <v>16884</v>
      </c>
      <c r="AD117" s="573">
        <v>92262.295081967211</v>
      </c>
    </row>
    <row r="118" spans="1:30" ht="16.5" customHeight="1">
      <c r="A118" s="544" t="s">
        <v>193</v>
      </c>
      <c r="B118" s="584" t="s">
        <v>194</v>
      </c>
      <c r="C118" s="588">
        <v>0.157</v>
      </c>
      <c r="D118" s="589">
        <v>0.14000000000000001</v>
      </c>
      <c r="E118" s="589">
        <v>0.17199999999999999</v>
      </c>
      <c r="F118" s="589">
        <v>0.17300000000000001</v>
      </c>
      <c r="G118" s="589">
        <v>0.19399999999999998</v>
      </c>
      <c r="H118" s="589">
        <v>0.188</v>
      </c>
      <c r="I118" s="589">
        <v>0.191</v>
      </c>
      <c r="J118" s="589">
        <v>0.28199999999999997</v>
      </c>
      <c r="K118" s="589">
        <v>0.24</v>
      </c>
      <c r="L118" s="589">
        <v>0.309</v>
      </c>
      <c r="M118" s="589">
        <v>0.26700000000000002</v>
      </c>
      <c r="N118" s="589">
        <v>0.27699999999999997</v>
      </c>
      <c r="O118" s="590">
        <f t="shared" si="1"/>
        <v>0.25600000000000001</v>
      </c>
      <c r="P118" s="585"/>
      <c r="Q118" s="578">
        <v>2049</v>
      </c>
      <c r="R118" s="579">
        <v>1851</v>
      </c>
      <c r="S118" s="579">
        <v>2217</v>
      </c>
      <c r="T118" s="579">
        <v>2194</v>
      </c>
      <c r="U118" s="579">
        <v>2408</v>
      </c>
      <c r="V118" s="579">
        <v>2282</v>
      </c>
      <c r="W118" s="579">
        <v>2299</v>
      </c>
      <c r="X118" s="579">
        <v>3357</v>
      </c>
      <c r="Y118" s="579">
        <v>2857</v>
      </c>
      <c r="Z118" s="579">
        <v>4146</v>
      </c>
      <c r="AA118" s="579">
        <v>3573</v>
      </c>
      <c r="AB118" s="579">
        <v>3735</v>
      </c>
      <c r="AC118" s="580">
        <v>3525</v>
      </c>
      <c r="AD118" s="573">
        <v>13769.53125</v>
      </c>
    </row>
    <row r="119" spans="1:30" ht="16.5" customHeight="1">
      <c r="A119" s="544" t="s">
        <v>197</v>
      </c>
      <c r="B119" s="584" t="s">
        <v>198</v>
      </c>
      <c r="C119" s="588">
        <v>0.214</v>
      </c>
      <c r="D119" s="589">
        <v>0.17899999999999999</v>
      </c>
      <c r="E119" s="589">
        <v>0.18100000000000002</v>
      </c>
      <c r="F119" s="589">
        <v>0.17600000000000002</v>
      </c>
      <c r="G119" s="589">
        <v>0.20100000000000001</v>
      </c>
      <c r="H119" s="589">
        <v>0.20300000000000001</v>
      </c>
      <c r="I119" s="589">
        <v>0.19800000000000001</v>
      </c>
      <c r="J119" s="589">
        <v>0.19899999999999998</v>
      </c>
      <c r="K119" s="589">
        <v>0.20699999999999999</v>
      </c>
      <c r="L119" s="589">
        <v>0.22399999999999998</v>
      </c>
      <c r="M119" s="589">
        <v>0.251</v>
      </c>
      <c r="N119" s="589">
        <v>0.23300000000000001</v>
      </c>
      <c r="O119" s="590">
        <f t="shared" si="1"/>
        <v>0.253</v>
      </c>
      <c r="P119" s="585"/>
      <c r="Q119" s="578">
        <v>39403</v>
      </c>
      <c r="R119" s="579">
        <v>33931</v>
      </c>
      <c r="S119" s="579">
        <v>34154</v>
      </c>
      <c r="T119" s="579">
        <v>32966</v>
      </c>
      <c r="U119" s="579">
        <v>37577</v>
      </c>
      <c r="V119" s="579">
        <v>37320</v>
      </c>
      <c r="W119" s="579">
        <v>36402</v>
      </c>
      <c r="X119" s="579">
        <v>35775</v>
      </c>
      <c r="Y119" s="579">
        <v>37513</v>
      </c>
      <c r="Z119" s="579">
        <v>42273</v>
      </c>
      <c r="AA119" s="579">
        <v>47850</v>
      </c>
      <c r="AB119" s="579">
        <v>44931</v>
      </c>
      <c r="AC119" s="580">
        <v>48830</v>
      </c>
      <c r="AD119" s="573">
        <v>193003.95256916995</v>
      </c>
    </row>
    <row r="120" spans="1:30" ht="16.5" customHeight="1">
      <c r="A120" s="544" t="s">
        <v>201</v>
      </c>
      <c r="B120" s="584" t="s">
        <v>202</v>
      </c>
      <c r="C120" s="588">
        <v>0.17600000000000002</v>
      </c>
      <c r="D120" s="589">
        <v>0.14599999999999999</v>
      </c>
      <c r="E120" s="589">
        <v>0.15</v>
      </c>
      <c r="F120" s="589">
        <v>0.151</v>
      </c>
      <c r="G120" s="589">
        <v>0.16600000000000001</v>
      </c>
      <c r="H120" s="589">
        <v>0.16899999999999998</v>
      </c>
      <c r="I120" s="589">
        <v>0.16300000000000001</v>
      </c>
      <c r="J120" s="589">
        <v>0.17199999999999999</v>
      </c>
      <c r="K120" s="589">
        <v>0.16699999999999998</v>
      </c>
      <c r="L120" s="589">
        <v>0.16899999999999998</v>
      </c>
      <c r="M120" s="589">
        <v>0.17800000000000002</v>
      </c>
      <c r="N120" s="589">
        <v>0.2</v>
      </c>
      <c r="O120" s="590">
        <f t="shared" si="1"/>
        <v>0.22399999999999998</v>
      </c>
      <c r="P120" s="585"/>
      <c r="Q120" s="578">
        <v>16358</v>
      </c>
      <c r="R120" s="579">
        <v>13699</v>
      </c>
      <c r="S120" s="579">
        <v>13870</v>
      </c>
      <c r="T120" s="579">
        <v>13866</v>
      </c>
      <c r="U120" s="579">
        <v>15210</v>
      </c>
      <c r="V120" s="579">
        <v>15372</v>
      </c>
      <c r="W120" s="579">
        <v>14874</v>
      </c>
      <c r="X120" s="579">
        <v>15465</v>
      </c>
      <c r="Y120" s="579">
        <v>14908</v>
      </c>
      <c r="Z120" s="579">
        <v>15233</v>
      </c>
      <c r="AA120" s="579">
        <v>16170</v>
      </c>
      <c r="AB120" s="579">
        <v>18382</v>
      </c>
      <c r="AC120" s="580">
        <v>21414</v>
      </c>
      <c r="AD120" s="573">
        <v>95598.21428571429</v>
      </c>
    </row>
    <row r="121" spans="1:30" ht="16.5" customHeight="1">
      <c r="A121" s="544" t="s">
        <v>223</v>
      </c>
      <c r="B121" s="584" t="s">
        <v>224</v>
      </c>
      <c r="C121" s="588">
        <v>0.14300000000000002</v>
      </c>
      <c r="D121" s="589">
        <v>0.124</v>
      </c>
      <c r="E121" s="589">
        <v>0.11599999999999999</v>
      </c>
      <c r="F121" s="589">
        <v>0.105</v>
      </c>
      <c r="G121" s="589">
        <v>0.109</v>
      </c>
      <c r="H121" s="589">
        <v>0.114</v>
      </c>
      <c r="I121" s="589">
        <v>0.10800000000000001</v>
      </c>
      <c r="J121" s="589">
        <v>0.11900000000000001</v>
      </c>
      <c r="K121" s="589">
        <v>0.107</v>
      </c>
      <c r="L121" s="589">
        <v>0.109</v>
      </c>
      <c r="M121" s="589">
        <v>0.10800000000000001</v>
      </c>
      <c r="N121" s="589">
        <v>0.12300000000000001</v>
      </c>
      <c r="O121" s="590">
        <f t="shared" si="1"/>
        <v>0.11900000000000001</v>
      </c>
      <c r="P121" s="585"/>
      <c r="Q121" s="578">
        <v>9338</v>
      </c>
      <c r="R121" s="579">
        <v>7794</v>
      </c>
      <c r="S121" s="579">
        <v>7629</v>
      </c>
      <c r="T121" s="579">
        <v>7214</v>
      </c>
      <c r="U121" s="579">
        <v>7948</v>
      </c>
      <c r="V121" s="579">
        <v>8623</v>
      </c>
      <c r="W121" s="579">
        <v>8441</v>
      </c>
      <c r="X121" s="579">
        <v>9199</v>
      </c>
      <c r="Y121" s="579">
        <v>8556</v>
      </c>
      <c r="Z121" s="579">
        <v>8698</v>
      </c>
      <c r="AA121" s="579">
        <v>8727</v>
      </c>
      <c r="AB121" s="579">
        <v>10091</v>
      </c>
      <c r="AC121" s="580">
        <v>9956</v>
      </c>
      <c r="AD121" s="573">
        <v>83663.865546218483</v>
      </c>
    </row>
    <row r="122" spans="1:30" ht="16.5" customHeight="1">
      <c r="A122" s="544" t="s">
        <v>231</v>
      </c>
      <c r="B122" s="584" t="s">
        <v>232</v>
      </c>
      <c r="C122" s="588">
        <v>7.8E-2</v>
      </c>
      <c r="D122" s="589">
        <v>7.0999999999999994E-2</v>
      </c>
      <c r="E122" s="589">
        <v>6.8000000000000005E-2</v>
      </c>
      <c r="F122" s="589">
        <v>6.8000000000000005E-2</v>
      </c>
      <c r="G122" s="589">
        <v>7.400000000000001E-2</v>
      </c>
      <c r="H122" s="589">
        <v>0.08</v>
      </c>
      <c r="I122" s="589">
        <v>7.8E-2</v>
      </c>
      <c r="J122" s="589">
        <v>7.400000000000001E-2</v>
      </c>
      <c r="K122" s="589">
        <v>7.2000000000000008E-2</v>
      </c>
      <c r="L122" s="589">
        <v>6.6000000000000003E-2</v>
      </c>
      <c r="M122" s="589">
        <v>7.0000000000000007E-2</v>
      </c>
      <c r="N122" s="589">
        <v>6.8000000000000005E-2</v>
      </c>
      <c r="O122" s="590">
        <f t="shared" si="1"/>
        <v>0.08</v>
      </c>
      <c r="P122" s="585"/>
      <c r="Q122" s="578">
        <v>33707</v>
      </c>
      <c r="R122" s="579">
        <v>29867</v>
      </c>
      <c r="S122" s="579">
        <v>28643</v>
      </c>
      <c r="T122" s="579">
        <v>28856</v>
      </c>
      <c r="U122" s="579">
        <v>32396</v>
      </c>
      <c r="V122" s="579">
        <v>34892</v>
      </c>
      <c r="W122" s="579">
        <v>33970</v>
      </c>
      <c r="X122" s="579">
        <v>31958</v>
      </c>
      <c r="Y122" s="579">
        <v>30762</v>
      </c>
      <c r="Z122" s="579">
        <v>28246</v>
      </c>
      <c r="AA122" s="579">
        <v>29532</v>
      </c>
      <c r="AB122" s="579">
        <v>28889</v>
      </c>
      <c r="AC122" s="580">
        <v>34303</v>
      </c>
      <c r="AD122" s="573">
        <v>428787.5</v>
      </c>
    </row>
    <row r="123" spans="1:30" ht="16.5" customHeight="1">
      <c r="A123" s="544" t="s">
        <v>239</v>
      </c>
      <c r="B123" s="584" t="s">
        <v>240</v>
      </c>
      <c r="C123" s="588">
        <v>0.14499999999999999</v>
      </c>
      <c r="D123" s="589">
        <v>0.125</v>
      </c>
      <c r="E123" s="589">
        <v>0.17699999999999999</v>
      </c>
      <c r="F123" s="589">
        <v>0.19500000000000001</v>
      </c>
      <c r="G123" s="589">
        <v>0.21299999999999999</v>
      </c>
      <c r="H123" s="589">
        <v>0.17800000000000002</v>
      </c>
      <c r="I123" s="589">
        <v>0.17300000000000001</v>
      </c>
      <c r="J123" s="589">
        <v>0.22699999999999998</v>
      </c>
      <c r="K123" s="589">
        <v>0.20699999999999999</v>
      </c>
      <c r="L123" s="589">
        <v>0.2</v>
      </c>
      <c r="M123" s="589">
        <v>0.187</v>
      </c>
      <c r="N123" s="589">
        <v>0.20300000000000001</v>
      </c>
      <c r="O123" s="590">
        <f t="shared" si="1"/>
        <v>0.185</v>
      </c>
      <c r="P123" s="585"/>
      <c r="Q123" s="578">
        <v>1145</v>
      </c>
      <c r="R123" s="582">
        <v>948</v>
      </c>
      <c r="S123" s="579">
        <v>1312</v>
      </c>
      <c r="T123" s="579">
        <v>1402</v>
      </c>
      <c r="U123" s="579">
        <v>1518</v>
      </c>
      <c r="V123" s="579">
        <v>1244</v>
      </c>
      <c r="W123" s="579">
        <v>1266</v>
      </c>
      <c r="X123" s="579">
        <v>1643</v>
      </c>
      <c r="Y123" s="579">
        <v>1509</v>
      </c>
      <c r="Z123" s="579">
        <v>1570</v>
      </c>
      <c r="AA123" s="579">
        <v>1474</v>
      </c>
      <c r="AB123" s="579">
        <v>1645</v>
      </c>
      <c r="AC123" s="580">
        <v>1850</v>
      </c>
      <c r="AD123" s="573">
        <v>10000</v>
      </c>
    </row>
    <row r="124" spans="1:30" ht="16.5" customHeight="1">
      <c r="A124" s="544" t="s">
        <v>241</v>
      </c>
      <c r="B124" s="584" t="s">
        <v>242</v>
      </c>
      <c r="C124" s="588">
        <v>0.127</v>
      </c>
      <c r="D124" s="589">
        <v>0.11199999999999999</v>
      </c>
      <c r="E124" s="589">
        <v>0.11</v>
      </c>
      <c r="F124" s="589">
        <v>0.109</v>
      </c>
      <c r="G124" s="589">
        <v>0.115</v>
      </c>
      <c r="H124" s="589">
        <v>0.121</v>
      </c>
      <c r="I124" s="589">
        <v>0.115</v>
      </c>
      <c r="J124" s="589">
        <v>0.124</v>
      </c>
      <c r="K124" s="589">
        <v>0.13900000000000001</v>
      </c>
      <c r="L124" s="589">
        <v>0.12</v>
      </c>
      <c r="M124" s="589">
        <v>0.128</v>
      </c>
      <c r="N124" s="589">
        <v>0.16300000000000001</v>
      </c>
      <c r="O124" s="590">
        <f t="shared" si="1"/>
        <v>0.193</v>
      </c>
      <c r="P124" s="585"/>
      <c r="Q124" s="578">
        <v>2764</v>
      </c>
      <c r="R124" s="579">
        <v>2570</v>
      </c>
      <c r="S124" s="579">
        <v>2584</v>
      </c>
      <c r="T124" s="579">
        <v>2568</v>
      </c>
      <c r="U124" s="579">
        <v>2739</v>
      </c>
      <c r="V124" s="579">
        <v>2912</v>
      </c>
      <c r="W124" s="579">
        <v>2811</v>
      </c>
      <c r="X124" s="579">
        <v>3008</v>
      </c>
      <c r="Y124" s="579">
        <v>3394</v>
      </c>
      <c r="Z124" s="579">
        <v>2971</v>
      </c>
      <c r="AA124" s="579">
        <v>3198</v>
      </c>
      <c r="AB124" s="579">
        <v>4126</v>
      </c>
      <c r="AC124" s="580">
        <v>4873</v>
      </c>
      <c r="AD124" s="573">
        <v>25248.704663212433</v>
      </c>
    </row>
    <row r="127" spans="1:30">
      <c r="A127" s="538" t="s">
        <v>1001</v>
      </c>
    </row>
    <row r="129" spans="1:2" s="519" customFormat="1">
      <c r="A129" s="519" t="s">
        <v>250</v>
      </c>
    </row>
    <row r="130" spans="1:2" s="519" customFormat="1">
      <c r="A130" s="536" t="s">
        <v>251</v>
      </c>
      <c r="B130" s="407" t="s">
        <v>252</v>
      </c>
    </row>
  </sheetData>
  <mergeCells count="2">
    <mergeCell ref="C2:O2"/>
    <mergeCell ref="Q2:AC2"/>
  </mergeCells>
  <hyperlinks>
    <hyperlink ref="B130" r:id="rId1"/>
  </hyperlinks>
  <pageMargins left="0.75" right="0.75" top="1" bottom="1" header="0.5" footer="0.5"/>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57</vt:i4>
      </vt:variant>
    </vt:vector>
  </HeadingPairs>
  <TitlesOfParts>
    <vt:vector size="101" baseType="lpstr">
      <vt:lpstr>Profile</vt:lpstr>
      <vt:lpstr>Agency Level</vt:lpstr>
      <vt:lpstr>HR Policy</vt:lpstr>
      <vt:lpstr>IT Support</vt:lpstr>
      <vt:lpstr>Board Type</vt:lpstr>
      <vt:lpstr>2010 Population</vt:lpstr>
      <vt:lpstr>Hispanic Population</vt:lpstr>
      <vt:lpstr>Unemployment 2001-2011</vt:lpstr>
      <vt:lpstr>Poverty 1998-2010</vt:lpstr>
      <vt:lpstr>SNAP Demographics 2011</vt:lpstr>
      <vt:lpstr>TANF DEMOGRAPHICS 2011</vt:lpstr>
      <vt:lpstr>SNAP Clients by SFY</vt:lpstr>
      <vt:lpstr>TANF Clients by SFY</vt:lpstr>
      <vt:lpstr>Medicaid 2011</vt:lpstr>
      <vt:lpstr>Adoption Child by Race</vt:lpstr>
      <vt:lpstr>CPS Referrals by Race 2011</vt:lpstr>
      <vt:lpstr>Compare Recipients Census Med</vt:lpstr>
      <vt:lpstr>Compare Recipients Census SNAP</vt:lpstr>
      <vt:lpstr>Compare Recipients Census TANF</vt:lpstr>
      <vt:lpstr>Adoption Counts Summed SFY 2010</vt:lpstr>
      <vt:lpstr>Foster Care Children Race-2011</vt:lpstr>
      <vt:lpstr>CPS Ref Child Demo 2010 (2)</vt:lpstr>
      <vt:lpstr>Eligibililty Staff LASER-2011</vt:lpstr>
      <vt:lpstr>Services Staff LASER 2011</vt:lpstr>
      <vt:lpstr>Other Exp. LASER 2011</vt:lpstr>
      <vt:lpstr>Services for Clients LASER 2011</vt:lpstr>
      <vt:lpstr>Medicaid &amp; FAMIS - LASER 2011</vt:lpstr>
      <vt:lpstr>SNAP - LASER 2011</vt:lpstr>
      <vt:lpstr>FC &amp; Adoptions LASER 2011</vt:lpstr>
      <vt:lpstr>LIHEAP LASER 2011</vt:lpstr>
      <vt:lpstr>TANF LASER 2011</vt:lpstr>
      <vt:lpstr>Other Benefits LASER 2011</vt:lpstr>
      <vt:lpstr>Benefits Spending Summary</vt:lpstr>
      <vt:lpstr>Position_Mar2012</vt:lpstr>
      <vt:lpstr>Medicaid Clients</vt:lpstr>
      <vt:lpstr>Children in Single-Parent Homes</vt:lpstr>
      <vt:lpstr>Non-marital births</vt:lpstr>
      <vt:lpstr>Cohabiting Couples</vt:lpstr>
      <vt:lpstr>SNAP Participation Rate</vt:lpstr>
      <vt:lpstr>Children in Foster Care</vt:lpstr>
      <vt:lpstr>Children in CPS Investigations</vt:lpstr>
      <vt:lpstr>Abuse and Neglect by Locality</vt:lpstr>
      <vt:lpstr>Locality Name</vt:lpstr>
      <vt:lpstr>Password</vt:lpstr>
      <vt:lpstr>'Compare Recipients Census Med'!ADOP_AVG</vt:lpstr>
      <vt:lpstr>'Compare Recipients Census SNAP'!ADOP_AVG</vt:lpstr>
      <vt:lpstr>'Compare Recipients Census TANF'!ADOP_AVG</vt:lpstr>
      <vt:lpstr>ADOP_AVG</vt:lpstr>
      <vt:lpstr>Adoption_Child_Race_2011_12</vt:lpstr>
      <vt:lpstr>Agency_Level</vt:lpstr>
      <vt:lpstr>BoardType</vt:lpstr>
      <vt:lpstr>Children_CPS_Referrals</vt:lpstr>
      <vt:lpstr>CL_SERV_LASER_2011</vt:lpstr>
      <vt:lpstr>CPS_REF_RACE_2011</vt:lpstr>
      <vt:lpstr>'Children in CPS Investigations'!cpsst</vt:lpstr>
      <vt:lpstr>Eligibility_2011</vt:lpstr>
      <vt:lpstr>FC_Adop_LASER_2011</vt:lpstr>
      <vt:lpstr>FC_DEMO_2011</vt:lpstr>
      <vt:lpstr>'Children in CPS Investigations'!FCMAP</vt:lpstr>
      <vt:lpstr>FCMAP</vt:lpstr>
      <vt:lpstr>FIPS</vt:lpstr>
      <vt:lpstr>FIPS_NUM</vt:lpstr>
      <vt:lpstr>FIPSN</vt:lpstr>
      <vt:lpstr>HR_Deviate</vt:lpstr>
      <vt:lpstr>IT_Support</vt:lpstr>
      <vt:lpstr>LIHEAP_LASER_2011</vt:lpstr>
      <vt:lpstr>Loc_Name</vt:lpstr>
      <vt:lpstr>Locality</vt:lpstr>
      <vt:lpstr>marriedcouples</vt:lpstr>
      <vt:lpstr>Medicaid_Demog_2011</vt:lpstr>
      <vt:lpstr>Medicaid_LASER_2011</vt:lpstr>
      <vt:lpstr>NonMaritalBirths_2010</vt:lpstr>
      <vt:lpstr>OT_BENE_LASER_2011</vt:lpstr>
      <vt:lpstr>OT_EXP_LASER_2011</vt:lpstr>
      <vt:lpstr>PopByRace_2010</vt:lpstr>
      <vt:lpstr>Positions_Mar2012</vt:lpstr>
      <vt:lpstr>Pov_10</vt:lpstr>
      <vt:lpstr>'Abuse and Neglect by Locality'!Print_Area</vt:lpstr>
      <vt:lpstr>'Children in CPS Investigations'!Print_Area</vt:lpstr>
      <vt:lpstr>'Children in Foster Care'!Print_Area</vt:lpstr>
      <vt:lpstr>'Locality Name'!Print_Area</vt:lpstr>
      <vt:lpstr>Profile!Print_Area</vt:lpstr>
      <vt:lpstr>'SNAP Participation Rate'!Print_Area</vt:lpstr>
      <vt:lpstr>'Unemployment 2001-2011'!Print_Area</vt:lpstr>
      <vt:lpstr>'Abuse and Neglect by Locality'!Print_Titles</vt:lpstr>
      <vt:lpstr>'Children in CPS Investigations'!Print_Titles</vt:lpstr>
      <vt:lpstr>'Children in Foster Care'!Print_Titles</vt:lpstr>
      <vt:lpstr>Profile!Print_Titles</vt:lpstr>
      <vt:lpstr>'SNAP Participation Rate'!Print_Titles</vt:lpstr>
      <vt:lpstr>'Unemployment 2001-2011'!Print_Titles</vt:lpstr>
      <vt:lpstr>Serv_Staff_2011</vt:lpstr>
      <vt:lpstr>SingleParentHomes</vt:lpstr>
      <vt:lpstr>SNAP_DEMO_2011</vt:lpstr>
      <vt:lpstr>SNAP_LASER_2011</vt:lpstr>
      <vt:lpstr>SNAP_RACE</vt:lpstr>
      <vt:lpstr>snapcl</vt:lpstr>
      <vt:lpstr>'TANF DEMOGRAPHICS 2011'!TANF_DEMO</vt:lpstr>
      <vt:lpstr>TANF_DEMO_11</vt:lpstr>
      <vt:lpstr>TANF_LASER_2011</vt:lpstr>
      <vt:lpstr>TANFCL</vt:lpstr>
      <vt:lpstr>Unemp_10</vt:lpstr>
    </vt:vector>
  </TitlesOfParts>
  <Company>Virginia IT Infrastructure Partnership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AXW09990</dc:creator>
  <cp:lastModifiedBy>Gail C Jennings</cp:lastModifiedBy>
  <cp:lastPrinted>2012-04-16T19:40:58Z</cp:lastPrinted>
  <dcterms:created xsi:type="dcterms:W3CDTF">2011-04-04T18:14:50Z</dcterms:created>
  <dcterms:modified xsi:type="dcterms:W3CDTF">2013-02-05T16:54:38Z</dcterms:modified>
</cp:coreProperties>
</file>