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xw09990\Documents\A\ASR\vdss_ann_report\benefits\"/>
    </mc:Choice>
  </mc:AlternateContent>
  <bookViews>
    <workbookView xWindow="0" yWindow="0" windowWidth="23040" windowHeight="9192" tabRatio="601" firstSheet="4" activeTab="4"/>
  </bookViews>
  <sheets>
    <sheet name="Power BI" sheetId="8" state="hidden" r:id="rId1"/>
    <sheet name="Medicaid Payments" sheetId="6" state="hidden" r:id="rId2"/>
    <sheet name="Stat Book" sheetId="4" state="hidden" r:id="rId3"/>
    <sheet name="USE AS SOURCE" sheetId="5" state="hidden" r:id="rId4"/>
    <sheet name="Excel Online" sheetId="9" r:id="rId5"/>
    <sheet name="DOCUMENTATION" sheetId="3" state="hidden" r:id="rId6"/>
    <sheet name="stat_book_1985_2007" sheetId="7" state="hidden" r:id="rId7"/>
  </sheets>
  <definedNames>
    <definedName name="IDX" localSheetId="2">'Stat Book'!#REF!</definedName>
    <definedName name="_xlnm.Print_Area" localSheetId="4">'Excel Online'!$B$1:$K$52</definedName>
    <definedName name="_xlnm.Print_Area" localSheetId="1">'Medicaid Payments'!$A$1:$H$33</definedName>
    <definedName name="_xlnm.Print_Area" localSheetId="0">'Power BI'!$A$1:$H$33</definedName>
    <definedName name="_xlnm.Print_Area" localSheetId="2">'Stat Book'!$A$7:$L$67</definedName>
    <definedName name="_xlnm.Print_Titles" localSheetId="2">'Stat Book'!$1:$4</definedName>
  </definedNames>
  <calcPr calcId="162913" calcOnSave="0"/>
</workbook>
</file>

<file path=xl/calcChain.xml><?xml version="1.0" encoding="utf-8"?>
<calcChain xmlns="http://schemas.openxmlformats.org/spreadsheetml/2006/main">
  <c r="F37" i="8" l="1"/>
  <c r="V68" i="4" l="1"/>
  <c r="H48" i="9" l="1"/>
  <c r="F47" i="9"/>
  <c r="G47" i="9"/>
  <c r="H47" i="9"/>
  <c r="I47" i="9"/>
  <c r="I46" i="9"/>
  <c r="I45" i="9"/>
  <c r="I44" i="9"/>
  <c r="I43" i="9"/>
  <c r="I42" i="9"/>
  <c r="I41" i="9"/>
  <c r="I40" i="9"/>
  <c r="I39" i="9"/>
  <c r="I38" i="9"/>
  <c r="I37" i="9"/>
  <c r="I36" i="9"/>
  <c r="I35" i="9"/>
  <c r="I34" i="9"/>
  <c r="I33" i="9"/>
  <c r="I32" i="9"/>
  <c r="I31" i="9"/>
  <c r="I30" i="9"/>
  <c r="I29" i="9"/>
  <c r="I28" i="9"/>
  <c r="I27" i="9"/>
  <c r="I26" i="9"/>
  <c r="G46" i="9"/>
  <c r="G45" i="9"/>
  <c r="G44" i="9"/>
  <c r="G43" i="9"/>
  <c r="G42" i="9"/>
  <c r="G41" i="9"/>
  <c r="G40" i="9"/>
  <c r="G39" i="9"/>
  <c r="G38" i="9"/>
  <c r="G37" i="9"/>
  <c r="G36" i="9"/>
  <c r="G35" i="9"/>
  <c r="G34" i="9"/>
  <c r="G33" i="9"/>
  <c r="G32" i="9"/>
  <c r="G31" i="9"/>
  <c r="G30" i="9"/>
  <c r="G29" i="9"/>
  <c r="G28" i="9"/>
  <c r="G27" i="9"/>
  <c r="G26" i="9"/>
  <c r="G25" i="9"/>
  <c r="G24" i="9"/>
  <c r="G23" i="9"/>
  <c r="G22" i="9"/>
  <c r="G21" i="9"/>
  <c r="F46" i="9"/>
  <c r="F45" i="9"/>
  <c r="F44" i="9"/>
  <c r="F43" i="9"/>
  <c r="F42" i="9"/>
  <c r="F41" i="9"/>
  <c r="F40" i="9"/>
  <c r="F39" i="9"/>
  <c r="F38" i="9"/>
  <c r="F37" i="9"/>
  <c r="F36" i="9"/>
  <c r="F35" i="9"/>
  <c r="F34" i="9"/>
  <c r="F33" i="9"/>
  <c r="F32" i="9"/>
  <c r="F31" i="9"/>
  <c r="F30" i="9"/>
  <c r="F29" i="9"/>
  <c r="F28" i="9"/>
  <c r="F27" i="9"/>
  <c r="F26" i="9"/>
  <c r="F25" i="9"/>
  <c r="F24" i="9"/>
  <c r="F23" i="9"/>
  <c r="F22" i="9"/>
  <c r="F21" i="9"/>
  <c r="E21" i="9"/>
  <c r="E22" i="9"/>
  <c r="E23" i="9"/>
  <c r="E24" i="9"/>
  <c r="E25" i="9"/>
  <c r="E26" i="9"/>
  <c r="D21" i="9"/>
  <c r="D22" i="9"/>
  <c r="D23" i="9"/>
  <c r="D24" i="9"/>
  <c r="D25" i="9"/>
  <c r="D26" i="9"/>
  <c r="E36" i="9"/>
  <c r="E32" i="9"/>
  <c r="E28" i="9"/>
  <c r="D33" i="9"/>
  <c r="D32" i="9"/>
  <c r="D31" i="9"/>
  <c r="D30" i="9"/>
  <c r="D29" i="9"/>
  <c r="D28" i="9"/>
  <c r="D27" i="9"/>
  <c r="D34" i="9"/>
  <c r="D35" i="9"/>
  <c r="D37" i="9"/>
  <c r="D36" i="9"/>
  <c r="D42" i="9"/>
  <c r="D40" i="9"/>
  <c r="D39" i="9"/>
  <c r="D38" i="9"/>
  <c r="G16" i="8"/>
  <c r="G17" i="8"/>
  <c r="G18" i="8"/>
  <c r="G19" i="8"/>
  <c r="G20" i="8"/>
  <c r="G21" i="8"/>
  <c r="G22" i="8"/>
  <c r="G23" i="8"/>
  <c r="G24" i="8"/>
  <c r="J6" i="4"/>
  <c r="I6" i="4"/>
  <c r="H6" i="4"/>
  <c r="G6" i="4"/>
  <c r="F6" i="4"/>
  <c r="E6" i="4"/>
  <c r="D6" i="4"/>
  <c r="C6" i="4"/>
  <c r="B6" i="4"/>
  <c r="K6" i="4"/>
  <c r="G25" i="8" s="1"/>
  <c r="G26" i="8"/>
  <c r="G36" i="8"/>
  <c r="G35" i="8"/>
  <c r="G34" i="8"/>
  <c r="G33" i="8"/>
  <c r="G32" i="8"/>
  <c r="G31" i="8"/>
  <c r="G30" i="8"/>
  <c r="G29" i="8"/>
  <c r="G28" i="8"/>
  <c r="G27" i="8"/>
  <c r="F36" i="8"/>
  <c r="J68" i="4"/>
  <c r="I68" i="4"/>
  <c r="H68" i="4"/>
  <c r="G68" i="4"/>
  <c r="E21" i="8" s="1"/>
  <c r="F68" i="4"/>
  <c r="E68" i="4"/>
  <c r="D68" i="4"/>
  <c r="C68" i="4"/>
  <c r="E17" i="8" s="1"/>
  <c r="B68" i="4"/>
  <c r="E36" i="8"/>
  <c r="E35" i="8"/>
  <c r="E34" i="8"/>
  <c r="E33" i="8"/>
  <c r="E32" i="8"/>
  <c r="E31" i="8"/>
  <c r="E30" i="8"/>
  <c r="E29" i="8"/>
  <c r="E28" i="8"/>
  <c r="E27" i="8"/>
  <c r="E26" i="8"/>
  <c r="E18" i="8"/>
  <c r="E19" i="8"/>
  <c r="E20" i="8"/>
  <c r="E22" i="8"/>
  <c r="E23" i="8"/>
  <c r="E24" i="8"/>
  <c r="E25" i="8"/>
  <c r="K68" i="4"/>
  <c r="E16" i="8"/>
  <c r="D16" i="8"/>
  <c r="D17" i="8"/>
  <c r="D18" i="8"/>
  <c r="D19" i="8"/>
  <c r="D20" i="8"/>
  <c r="D21" i="8"/>
  <c r="D22" i="8"/>
  <c r="D23" i="8"/>
  <c r="D24" i="8"/>
  <c r="D25" i="8"/>
  <c r="D26" i="8"/>
  <c r="D27" i="8"/>
  <c r="D28" i="8"/>
  <c r="D29" i="8"/>
  <c r="D30" i="8"/>
  <c r="D37" i="8"/>
  <c r="F48" i="9" s="1"/>
  <c r="D36" i="8"/>
  <c r="D35" i="8"/>
  <c r="D34" i="8"/>
  <c r="D33" i="8"/>
  <c r="D32" i="8"/>
  <c r="D31" i="8"/>
  <c r="C28" i="8"/>
  <c r="E39" i="9" s="1"/>
  <c r="C23" i="8"/>
  <c r="E34" i="9" s="1"/>
  <c r="C22" i="8"/>
  <c r="E33" i="9" s="1"/>
  <c r="C21" i="8"/>
  <c r="C20" i="8"/>
  <c r="E31" i="9" s="1"/>
  <c r="C19" i="8"/>
  <c r="E30" i="9" s="1"/>
  <c r="C18" i="8"/>
  <c r="E29" i="9" s="1"/>
  <c r="C17" i="8"/>
  <c r="C16" i="8"/>
  <c r="E27" i="9" s="1"/>
  <c r="J28" i="4"/>
  <c r="C24" i="8"/>
  <c r="E35" i="9" s="1"/>
  <c r="C25" i="8"/>
  <c r="C26" i="8"/>
  <c r="E37" i="9" s="1"/>
  <c r="C27" i="8"/>
  <c r="E38" i="9" s="1"/>
  <c r="C37" i="8"/>
  <c r="E48" i="9" s="1"/>
  <c r="C36" i="8"/>
  <c r="E47" i="9" s="1"/>
  <c r="C35" i="8"/>
  <c r="E46" i="9" s="1"/>
  <c r="C34" i="8"/>
  <c r="E45" i="9" s="1"/>
  <c r="C33" i="8"/>
  <c r="E44" i="9" s="1"/>
  <c r="C32" i="8"/>
  <c r="E43" i="9" s="1"/>
  <c r="C31" i="8"/>
  <c r="E42" i="9" s="1"/>
  <c r="C30" i="8"/>
  <c r="E41" i="9" s="1"/>
  <c r="C29" i="8"/>
  <c r="E40" i="9" s="1"/>
  <c r="B37" i="8"/>
  <c r="D48" i="9" s="1"/>
  <c r="W68" i="4"/>
  <c r="E37" i="8" s="1"/>
  <c r="G48" i="9" s="1"/>
  <c r="W7" i="4"/>
  <c r="W6" i="4" s="1"/>
  <c r="G37" i="8" s="1"/>
  <c r="I48" i="9" s="1"/>
  <c r="B36" i="8"/>
  <c r="D47" i="9" s="1"/>
  <c r="B35" i="8"/>
  <c r="D46" i="9" s="1"/>
  <c r="B34" i="8"/>
  <c r="D45" i="9" s="1"/>
  <c r="B33" i="8"/>
  <c r="D44" i="9" s="1"/>
  <c r="B32" i="8"/>
  <c r="D43" i="9" s="1"/>
  <c r="B31" i="8"/>
  <c r="B30" i="8"/>
  <c r="D41" i="9" s="1"/>
  <c r="B16" i="8"/>
  <c r="B17" i="8"/>
  <c r="B18" i="8"/>
  <c r="B19" i="8"/>
  <c r="B20" i="8"/>
  <c r="B21" i="8"/>
  <c r="B22" i="8"/>
  <c r="B23" i="8"/>
  <c r="B24" i="8"/>
  <c r="B25" i="8"/>
  <c r="J47" i="9" l="1"/>
  <c r="J48" i="9"/>
  <c r="J23" i="9"/>
  <c r="I67" i="9"/>
  <c r="G67" i="9"/>
  <c r="D67" i="9"/>
  <c r="I66" i="9"/>
  <c r="G66" i="9"/>
  <c r="F66" i="9"/>
  <c r="E66" i="9"/>
  <c r="D66" i="9"/>
  <c r="I65" i="9"/>
  <c r="G65" i="9"/>
  <c r="F65" i="9"/>
  <c r="E65" i="9"/>
  <c r="D65" i="9"/>
  <c r="I64" i="9"/>
  <c r="G64" i="9"/>
  <c r="F64" i="9"/>
  <c r="E64" i="9"/>
  <c r="D64" i="9"/>
  <c r="I63" i="9"/>
  <c r="G63" i="9"/>
  <c r="F63" i="9"/>
  <c r="E63" i="9"/>
  <c r="D63" i="9"/>
  <c r="I62" i="9"/>
  <c r="G62" i="9"/>
  <c r="F62" i="9"/>
  <c r="E62" i="9"/>
  <c r="D62" i="9"/>
  <c r="I61" i="9"/>
  <c r="G61" i="9"/>
  <c r="F61" i="9"/>
  <c r="E61" i="9"/>
  <c r="D61" i="9"/>
  <c r="I60" i="9"/>
  <c r="G60" i="9"/>
  <c r="F60" i="9"/>
  <c r="E60" i="9"/>
  <c r="D60" i="9"/>
  <c r="I59" i="9"/>
  <c r="G59" i="9"/>
  <c r="F59" i="9"/>
  <c r="E59" i="9"/>
  <c r="D59" i="9"/>
  <c r="I58" i="9"/>
  <c r="G58" i="9"/>
  <c r="F58" i="9"/>
  <c r="E58" i="9"/>
  <c r="D58" i="9"/>
  <c r="I57" i="9"/>
  <c r="G57" i="9"/>
  <c r="F57" i="9"/>
  <c r="E57" i="9"/>
  <c r="D57" i="9"/>
  <c r="I56" i="9"/>
  <c r="G56" i="9"/>
  <c r="F56" i="9"/>
  <c r="E56" i="9"/>
  <c r="D56" i="9"/>
  <c r="B56" i="9"/>
  <c r="A57" i="9" s="1"/>
  <c r="B57" i="9" s="1"/>
  <c r="A58" i="9" s="1"/>
  <c r="B58" i="9" s="1"/>
  <c r="A59" i="9" s="1"/>
  <c r="B59" i="9" s="1"/>
  <c r="A60" i="9" s="1"/>
  <c r="B60" i="9" s="1"/>
  <c r="A61" i="9" s="1"/>
  <c r="B61" i="9" s="1"/>
  <c r="A62" i="9" s="1"/>
  <c r="B62" i="9" s="1"/>
  <c r="A63" i="9" s="1"/>
  <c r="B63" i="9" s="1"/>
  <c r="A64" i="9" s="1"/>
  <c r="B64" i="9" s="1"/>
  <c r="A65" i="9" s="1"/>
  <c r="B65" i="9" s="1"/>
  <c r="A66" i="9" s="1"/>
  <c r="B66" i="9" s="1"/>
  <c r="A67" i="9" s="1"/>
  <c r="B67" i="9" s="1"/>
  <c r="A68" i="9" s="1"/>
  <c r="B68" i="9" s="1"/>
  <c r="A69" i="9" s="1"/>
  <c r="B69" i="9" s="1"/>
  <c r="A70" i="9" s="1"/>
  <c r="B70" i="9" s="1"/>
  <c r="A71" i="9" s="1"/>
  <c r="B71" i="9" s="1"/>
  <c r="A72" i="9" s="1"/>
  <c r="B72" i="9" s="1"/>
  <c r="A73" i="9" s="1"/>
  <c r="B73" i="9" s="1"/>
  <c r="A74" i="9" s="1"/>
  <c r="B74" i="9" s="1"/>
  <c r="A75" i="9" s="1"/>
  <c r="B75" i="9" s="1"/>
  <c r="A76" i="9" s="1"/>
  <c r="B76" i="9" s="1"/>
  <c r="I76" i="9"/>
  <c r="G76" i="9"/>
  <c r="F76" i="9"/>
  <c r="E76" i="9"/>
  <c r="J46" i="9"/>
  <c r="F75" i="9"/>
  <c r="E75" i="9"/>
  <c r="I74" i="9"/>
  <c r="G75" i="9"/>
  <c r="F74" i="9"/>
  <c r="E74" i="9"/>
  <c r="J44" i="9"/>
  <c r="F73" i="9"/>
  <c r="E73" i="9"/>
  <c r="I73" i="9"/>
  <c r="G73" i="9"/>
  <c r="F72" i="9"/>
  <c r="E72" i="9"/>
  <c r="J42" i="9"/>
  <c r="J41" i="9"/>
  <c r="I71" i="9"/>
  <c r="G70" i="9"/>
  <c r="F71" i="9"/>
  <c r="E71" i="9"/>
  <c r="J40" i="9"/>
  <c r="F69" i="9"/>
  <c r="E69" i="9"/>
  <c r="I69" i="9"/>
  <c r="G68" i="9"/>
  <c r="F68" i="9"/>
  <c r="E68" i="9"/>
  <c r="J38" i="9"/>
  <c r="F67" i="9"/>
  <c r="E67" i="9"/>
  <c r="J37" i="9"/>
  <c r="J36" i="9"/>
  <c r="J35" i="9"/>
  <c r="J34" i="9"/>
  <c r="J33" i="9"/>
  <c r="J32" i="9"/>
  <c r="J31" i="9"/>
  <c r="J30" i="9"/>
  <c r="J29" i="9"/>
  <c r="J28" i="9"/>
  <c r="J27" i="9"/>
  <c r="J26" i="9"/>
  <c r="J25" i="9"/>
  <c r="J24" i="9"/>
  <c r="J22" i="9"/>
  <c r="J21" i="9"/>
  <c r="J57" i="9" l="1"/>
  <c r="J65" i="9"/>
  <c r="J58" i="9"/>
  <c r="J56" i="9"/>
  <c r="J60" i="9"/>
  <c r="J61" i="9"/>
  <c r="J62" i="9"/>
  <c r="J66" i="9"/>
  <c r="J59" i="9"/>
  <c r="J63" i="9"/>
  <c r="J72" i="9"/>
  <c r="J64" i="9"/>
  <c r="J67" i="9"/>
  <c r="J71" i="9"/>
  <c r="J68" i="9"/>
  <c r="J39" i="9"/>
  <c r="J43" i="9"/>
  <c r="J45" i="9"/>
  <c r="G69" i="9"/>
  <c r="G71" i="9"/>
  <c r="G72" i="9"/>
  <c r="G74" i="9"/>
  <c r="D68" i="9"/>
  <c r="D69" i="9"/>
  <c r="D70" i="9"/>
  <c r="I70" i="9"/>
  <c r="I72" i="9"/>
  <c r="D74" i="9"/>
  <c r="D75" i="9"/>
  <c r="I75" i="9"/>
  <c r="F70" i="9"/>
  <c r="F55" i="9" s="1"/>
  <c r="I68" i="9"/>
  <c r="I55" i="9" s="1"/>
  <c r="D71" i="9"/>
  <c r="D72" i="9"/>
  <c r="D73" i="9"/>
  <c r="D76" i="9"/>
  <c r="E70" i="9"/>
  <c r="E55" i="9" s="1"/>
  <c r="B29" i="8"/>
  <c r="B28" i="8"/>
  <c r="B27" i="8"/>
  <c r="B26" i="8"/>
  <c r="H17" i="8"/>
  <c r="G15" i="8"/>
  <c r="E15" i="8"/>
  <c r="D15" i="8"/>
  <c r="C15" i="8"/>
  <c r="B15" i="8"/>
  <c r="G14" i="8"/>
  <c r="E14" i="8"/>
  <c r="D14" i="8"/>
  <c r="C14" i="8"/>
  <c r="B14" i="8"/>
  <c r="G13" i="8"/>
  <c r="E13" i="8"/>
  <c r="D13" i="8"/>
  <c r="C13" i="8"/>
  <c r="B13" i="8"/>
  <c r="G12" i="8"/>
  <c r="E12" i="8"/>
  <c r="D12" i="8"/>
  <c r="C12" i="8"/>
  <c r="B12" i="8"/>
  <c r="G11" i="8"/>
  <c r="E11" i="8"/>
  <c r="D11" i="8"/>
  <c r="C11" i="8"/>
  <c r="B11" i="8"/>
  <c r="G10" i="8"/>
  <c r="E10" i="8"/>
  <c r="D10" i="8"/>
  <c r="C10" i="8"/>
  <c r="B10" i="8"/>
  <c r="G9" i="8"/>
  <c r="E9" i="8"/>
  <c r="D9" i="8"/>
  <c r="C9" i="8"/>
  <c r="B9" i="8"/>
  <c r="G8" i="8"/>
  <c r="E8" i="8"/>
  <c r="D8" i="8"/>
  <c r="C8" i="8"/>
  <c r="B8" i="8"/>
  <c r="G7" i="8"/>
  <c r="E7" i="8"/>
  <c r="D7" i="8"/>
  <c r="C7" i="8"/>
  <c r="B7" i="8"/>
  <c r="G6" i="8"/>
  <c r="E6" i="8"/>
  <c r="D6" i="8"/>
  <c r="C6" i="8"/>
  <c r="B6" i="8"/>
  <c r="G5" i="8"/>
  <c r="E5" i="8"/>
  <c r="D5" i="8"/>
  <c r="C5" i="8"/>
  <c r="B5" i="8"/>
  <c r="G4" i="8"/>
  <c r="E4" i="8"/>
  <c r="D4" i="8"/>
  <c r="C4" i="8"/>
  <c r="B4" i="8"/>
  <c r="G3" i="8"/>
  <c r="E3" i="8"/>
  <c r="D3" i="8"/>
  <c r="C3" i="8"/>
  <c r="B3" i="8"/>
  <c r="G2" i="8"/>
  <c r="E2" i="8"/>
  <c r="D2" i="8"/>
  <c r="C2" i="8"/>
  <c r="B2" i="8"/>
  <c r="F36" i="6"/>
  <c r="J75" i="9" l="1"/>
  <c r="J73" i="9"/>
  <c r="J74" i="9"/>
  <c r="J69" i="9"/>
  <c r="D55" i="9"/>
  <c r="G55" i="9"/>
  <c r="J76" i="9"/>
  <c r="H24" i="8"/>
  <c r="H15" i="8"/>
  <c r="H2" i="8"/>
  <c r="H20" i="8"/>
  <c r="H4" i="8"/>
  <c r="H5" i="8"/>
  <c r="H6" i="8"/>
  <c r="H7" i="8"/>
  <c r="H22" i="8"/>
  <c r="H3" i="8"/>
  <c r="H11" i="8"/>
  <c r="H13" i="8"/>
  <c r="H26" i="8"/>
  <c r="H29" i="8"/>
  <c r="H32" i="8"/>
  <c r="J70" i="9"/>
  <c r="H10" i="8"/>
  <c r="H14" i="8"/>
  <c r="H16" i="8"/>
  <c r="H18" i="8"/>
  <c r="H19" i="8"/>
  <c r="H21" i="8"/>
  <c r="H23" i="8"/>
  <c r="H25" i="8"/>
  <c r="H27" i="8"/>
  <c r="H28" i="8"/>
  <c r="H30" i="8"/>
  <c r="H31" i="8"/>
  <c r="H33" i="8"/>
  <c r="H34" i="8"/>
  <c r="H35" i="8"/>
  <c r="H8" i="8"/>
  <c r="H12" i="8"/>
  <c r="H9" i="8"/>
  <c r="H36" i="8"/>
  <c r="J55" i="9" l="1"/>
  <c r="V7" i="4"/>
  <c r="D36" i="6" l="1"/>
  <c r="C36" i="6"/>
  <c r="B36" i="6"/>
  <c r="E36" i="6"/>
  <c r="V6" i="4"/>
  <c r="G36" i="6" s="1"/>
  <c r="H36" i="6" l="1"/>
  <c r="U68" i="4" l="1"/>
  <c r="U7" i="4"/>
  <c r="U6" i="4" s="1"/>
  <c r="C35" i="6" l="1"/>
  <c r="J36" i="6" s="1"/>
  <c r="E35" i="6"/>
  <c r="L36" i="6" s="1"/>
  <c r="B35" i="6"/>
  <c r="G35" i="6"/>
  <c r="M36" i="6" s="1"/>
  <c r="D35" i="6"/>
  <c r="K36" i="6" s="1"/>
  <c r="T7" i="4"/>
  <c r="H35" i="6" l="1"/>
  <c r="N36" i="6" s="1"/>
  <c r="I36" i="6"/>
  <c r="T68" i="4"/>
  <c r="T6" i="4"/>
  <c r="G34" i="6" l="1"/>
  <c r="M35" i="6" s="1"/>
  <c r="D34" i="6"/>
  <c r="K35" i="6" s="1"/>
  <c r="E34" i="6"/>
  <c r="L35" i="6" s="1"/>
  <c r="B34" i="6"/>
  <c r="I35" i="6" s="1"/>
  <c r="C34" i="6"/>
  <c r="J35" i="6" s="1"/>
  <c r="H34" i="6" l="1"/>
  <c r="N35" i="6" s="1"/>
  <c r="G25" i="6"/>
  <c r="E25" i="6"/>
  <c r="D25" i="6"/>
  <c r="C25" i="6"/>
  <c r="B25" i="6"/>
  <c r="G24" i="6"/>
  <c r="E24" i="6"/>
  <c r="D24" i="6"/>
  <c r="C24" i="6"/>
  <c r="B24" i="6"/>
  <c r="G23" i="6"/>
  <c r="E23" i="6"/>
  <c r="D23" i="6"/>
  <c r="C23" i="6"/>
  <c r="B23" i="6"/>
  <c r="G22" i="6"/>
  <c r="E22" i="6"/>
  <c r="D22" i="6"/>
  <c r="C22" i="6"/>
  <c r="B22" i="6"/>
  <c r="G21" i="6"/>
  <c r="E21" i="6"/>
  <c r="D21" i="6"/>
  <c r="C21" i="6"/>
  <c r="B21" i="6"/>
  <c r="G20" i="6"/>
  <c r="E20" i="6"/>
  <c r="D20" i="6"/>
  <c r="C20" i="6"/>
  <c r="B20" i="6"/>
  <c r="G19" i="6"/>
  <c r="E19" i="6"/>
  <c r="D19" i="6"/>
  <c r="C19" i="6"/>
  <c r="B19" i="6"/>
  <c r="G18" i="6"/>
  <c r="E18" i="6"/>
  <c r="D18" i="6"/>
  <c r="C18" i="6"/>
  <c r="B18" i="6"/>
  <c r="G17" i="6"/>
  <c r="E17" i="6"/>
  <c r="D17" i="6"/>
  <c r="C17" i="6"/>
  <c r="B17" i="6"/>
  <c r="G16" i="6"/>
  <c r="E16" i="6"/>
  <c r="D16" i="6"/>
  <c r="C16" i="6"/>
  <c r="B16" i="6"/>
  <c r="G15" i="6"/>
  <c r="E15" i="6"/>
  <c r="D15" i="6"/>
  <c r="C15" i="6"/>
  <c r="B15" i="6"/>
  <c r="G14" i="6"/>
  <c r="E14" i="6"/>
  <c r="D14" i="6"/>
  <c r="C14" i="6"/>
  <c r="B14" i="6"/>
  <c r="G13" i="6"/>
  <c r="E13" i="6"/>
  <c r="D13" i="6"/>
  <c r="C13" i="6"/>
  <c r="B13" i="6"/>
  <c r="G12" i="6"/>
  <c r="E12" i="6"/>
  <c r="D12" i="6"/>
  <c r="C12" i="6"/>
  <c r="B12" i="6"/>
  <c r="G11" i="6"/>
  <c r="E11" i="6"/>
  <c r="D11" i="6"/>
  <c r="C11" i="6"/>
  <c r="B11" i="6"/>
  <c r="G10" i="6"/>
  <c r="E10" i="6"/>
  <c r="D10" i="6"/>
  <c r="C10" i="6"/>
  <c r="B10" i="6"/>
  <c r="G9" i="6"/>
  <c r="E9" i="6"/>
  <c r="D9" i="6"/>
  <c r="C9" i="6"/>
  <c r="B9" i="6"/>
  <c r="G8" i="6"/>
  <c r="E8" i="6"/>
  <c r="D8" i="6"/>
  <c r="B8" i="6"/>
  <c r="G7" i="6"/>
  <c r="E7" i="6"/>
  <c r="D7" i="6"/>
  <c r="B7" i="6"/>
  <c r="G6" i="6"/>
  <c r="E6" i="6"/>
  <c r="D6" i="6"/>
  <c r="B6" i="6"/>
  <c r="G5" i="6"/>
  <c r="E5" i="6"/>
  <c r="D5" i="6"/>
  <c r="C5" i="6"/>
  <c r="B5" i="6"/>
  <c r="G4" i="6"/>
  <c r="E4" i="6"/>
  <c r="D4" i="6"/>
  <c r="B4" i="6"/>
  <c r="G3" i="6"/>
  <c r="E3" i="6"/>
  <c r="D3" i="6"/>
  <c r="B3" i="6"/>
  <c r="G2" i="6"/>
  <c r="E2" i="6"/>
  <c r="D2" i="6"/>
  <c r="B2" i="6"/>
  <c r="C9" i="7"/>
  <c r="C8" i="7"/>
  <c r="C8" i="6" s="1"/>
  <c r="C7" i="7"/>
  <c r="C7" i="6" s="1"/>
  <c r="C6" i="7"/>
  <c r="C6" i="6" s="1"/>
  <c r="C5" i="7"/>
  <c r="C4" i="7"/>
  <c r="C4" i="6" s="1"/>
  <c r="C3" i="7"/>
  <c r="C3" i="6" s="1"/>
  <c r="C2" i="7"/>
  <c r="C2" i="6" s="1"/>
  <c r="D30" i="6" l="1"/>
  <c r="C30" i="6"/>
  <c r="B30" i="6"/>
  <c r="S7" i="4" l="1"/>
  <c r="R68" i="4" l="1"/>
  <c r="S68" i="4" l="1"/>
  <c r="S6" i="4"/>
  <c r="B33" i="6" l="1"/>
  <c r="I34" i="6" s="1"/>
  <c r="E33" i="6"/>
  <c r="L34" i="6" s="1"/>
  <c r="C33" i="6"/>
  <c r="J34" i="6" s="1"/>
  <c r="G33" i="6"/>
  <c r="M34" i="6" s="1"/>
  <c r="D33" i="6"/>
  <c r="K34" i="6" s="1"/>
  <c r="B32" i="6"/>
  <c r="R7" i="4"/>
  <c r="H33" i="6" l="1"/>
  <c r="N34" i="6" s="1"/>
  <c r="C32" i="6"/>
  <c r="J33" i="6" s="1"/>
  <c r="D32" i="6"/>
  <c r="E32" i="6"/>
  <c r="L33" i="6" s="1"/>
  <c r="R6" i="4"/>
  <c r="I33" i="6"/>
  <c r="Q7" i="4"/>
  <c r="G32" i="6" l="1"/>
  <c r="M33" i="6" s="1"/>
  <c r="K33" i="6"/>
  <c r="Q6" i="4"/>
  <c r="D31" i="6"/>
  <c r="K31" i="6" s="1"/>
  <c r="C31" i="6"/>
  <c r="J31" i="6" s="1"/>
  <c r="B31" i="6"/>
  <c r="Q68" i="4"/>
  <c r="E31" i="6" l="1"/>
  <c r="G31" i="6"/>
  <c r="I31" i="6"/>
  <c r="H32" i="6"/>
  <c r="N33" i="6" s="1"/>
  <c r="J32" i="6"/>
  <c r="K32" i="6"/>
  <c r="I32" i="6"/>
  <c r="P68" i="4"/>
  <c r="O68" i="4"/>
  <c r="E30" i="6" l="1"/>
  <c r="L31" i="6"/>
  <c r="L32" i="6"/>
  <c r="M32" i="6"/>
  <c r="H31" i="6"/>
  <c r="P7" i="4"/>
  <c r="N32" i="6" l="1"/>
  <c r="P6" i="4"/>
  <c r="Y45" i="4"/>
  <c r="Z45" i="4" s="1"/>
  <c r="O38" i="4"/>
  <c r="D29" i="6" s="1"/>
  <c r="K30" i="6" s="1"/>
  <c r="C29" i="6"/>
  <c r="J30" i="6" s="1"/>
  <c r="B29" i="6"/>
  <c r="I30" i="6" s="1"/>
  <c r="O7" i="4"/>
  <c r="O6" i="4" s="1"/>
  <c r="C28" i="6"/>
  <c r="B28" i="6"/>
  <c r="D28" i="6"/>
  <c r="N7" i="4"/>
  <c r="N6" i="4" s="1"/>
  <c r="G28" i="6" s="1"/>
  <c r="M4" i="6"/>
  <c r="I4" i="6"/>
  <c r="M14" i="6"/>
  <c r="L14" i="6"/>
  <c r="K14" i="6"/>
  <c r="J14" i="6"/>
  <c r="I14" i="6"/>
  <c r="M25" i="6"/>
  <c r="L25" i="6"/>
  <c r="K25" i="6"/>
  <c r="J25" i="6"/>
  <c r="I25" i="6"/>
  <c r="M24" i="6"/>
  <c r="L24" i="6"/>
  <c r="K24" i="6"/>
  <c r="J24" i="6"/>
  <c r="I24" i="6"/>
  <c r="M23" i="6"/>
  <c r="L23" i="6"/>
  <c r="K23" i="6"/>
  <c r="J23" i="6"/>
  <c r="I23" i="6"/>
  <c r="M22" i="6"/>
  <c r="L22" i="6"/>
  <c r="K22" i="6"/>
  <c r="J22" i="6"/>
  <c r="I22" i="6"/>
  <c r="M21" i="6"/>
  <c r="L21" i="6"/>
  <c r="K21" i="6"/>
  <c r="J21" i="6"/>
  <c r="I21" i="6"/>
  <c r="M20" i="6"/>
  <c r="L20" i="6"/>
  <c r="K20" i="6"/>
  <c r="J20" i="6"/>
  <c r="I20" i="6"/>
  <c r="M19" i="6"/>
  <c r="L19" i="6"/>
  <c r="K19" i="6"/>
  <c r="J19" i="6"/>
  <c r="I19" i="6"/>
  <c r="M18" i="6"/>
  <c r="L18" i="6"/>
  <c r="K18" i="6"/>
  <c r="J18" i="6"/>
  <c r="I18" i="6"/>
  <c r="M17" i="6"/>
  <c r="L17" i="6"/>
  <c r="K17" i="6"/>
  <c r="J17" i="6"/>
  <c r="I17" i="6"/>
  <c r="M16" i="6"/>
  <c r="L16" i="6"/>
  <c r="K16" i="6"/>
  <c r="J16" i="6"/>
  <c r="I16" i="6"/>
  <c r="M15" i="6"/>
  <c r="L15" i="6"/>
  <c r="K15" i="6"/>
  <c r="J15" i="6"/>
  <c r="I15" i="6"/>
  <c r="H25" i="6"/>
  <c r="H24" i="6"/>
  <c r="H23" i="6"/>
  <c r="H22" i="6"/>
  <c r="H21" i="6"/>
  <c r="H20" i="6"/>
  <c r="H19" i="6"/>
  <c r="H18" i="6"/>
  <c r="H17" i="6"/>
  <c r="H16" i="6"/>
  <c r="H15" i="6"/>
  <c r="H14" i="6"/>
  <c r="H13" i="6"/>
  <c r="D27" i="6"/>
  <c r="M7" i="4"/>
  <c r="M6" i="4" s="1"/>
  <c r="C27" i="6"/>
  <c r="M68" i="4"/>
  <c r="E27" i="6" s="1"/>
  <c r="B27" i="6"/>
  <c r="M9" i="5"/>
  <c r="M7" i="5"/>
  <c r="M6" i="5"/>
  <c r="M5" i="5"/>
  <c r="M4" i="5"/>
  <c r="M3" i="5"/>
  <c r="L2" i="5"/>
  <c r="K2" i="5"/>
  <c r="J2" i="5"/>
  <c r="I2" i="5"/>
  <c r="H2" i="5"/>
  <c r="G2" i="5"/>
  <c r="F2" i="5"/>
  <c r="E2" i="5"/>
  <c r="D2" i="5"/>
  <c r="C2" i="5"/>
  <c r="B2" i="5"/>
  <c r="AD10" i="4"/>
  <c r="AD11" i="4"/>
  <c r="AD12" i="4"/>
  <c r="AD13" i="4"/>
  <c r="AD14" i="4"/>
  <c r="AD15" i="4"/>
  <c r="AD16" i="4"/>
  <c r="AD17" i="4"/>
  <c r="AD18" i="4"/>
  <c r="AD19" i="4"/>
  <c r="AC36" i="4"/>
  <c r="AC38" i="4" s="1"/>
  <c r="AK38" i="4"/>
  <c r="AD36" i="4"/>
  <c r="AD38" i="4" s="1"/>
  <c r="AD20" i="4"/>
  <c r="D26" i="6"/>
  <c r="K26" i="6" s="1"/>
  <c r="AE34" i="4"/>
  <c r="AF34" i="4" s="1"/>
  <c r="AE35" i="4"/>
  <c r="AF35" i="4" s="1"/>
  <c r="AG36" i="4"/>
  <c r="AH36" i="4" s="1"/>
  <c r="AA32" i="4"/>
  <c r="AB32" i="4" s="1"/>
  <c r="AA33" i="4"/>
  <c r="AB33" i="4" s="1"/>
  <c r="AA34" i="4"/>
  <c r="AB34" i="4" s="1"/>
  <c r="AA35" i="4"/>
  <c r="AB35" i="4" s="1"/>
  <c r="Z36" i="4"/>
  <c r="Z38" i="4" s="1"/>
  <c r="Y36" i="4"/>
  <c r="Y38" i="4" s="1"/>
  <c r="C26" i="6"/>
  <c r="J26" i="6" s="1"/>
  <c r="B26" i="6"/>
  <c r="I26" i="6" s="1"/>
  <c r="L7" i="4"/>
  <c r="L6" i="4" s="1"/>
  <c r="AH35" i="4"/>
  <c r="AH34" i="4"/>
  <c r="AE33" i="4"/>
  <c r="AI33" i="4" s="1"/>
  <c r="AH33" i="4"/>
  <c r="AE32" i="4"/>
  <c r="AH32" i="4"/>
  <c r="AE31" i="4"/>
  <c r="AF31" i="4" s="1"/>
  <c r="AA31" i="4"/>
  <c r="AB31" i="4" s="1"/>
  <c r="AH31" i="4"/>
  <c r="AE30" i="4"/>
  <c r="AF30" i="4" s="1"/>
  <c r="AA30" i="4"/>
  <c r="AB30" i="4" s="1"/>
  <c r="AH30" i="4"/>
  <c r="AE29" i="4"/>
  <c r="AF29" i="4" s="1"/>
  <c r="AA29" i="4"/>
  <c r="AB29" i="4" s="1"/>
  <c r="AH29" i="4"/>
  <c r="AE28" i="4"/>
  <c r="AA28" i="4"/>
  <c r="AB28" i="4" s="1"/>
  <c r="AH28" i="4"/>
  <c r="AE27" i="4"/>
  <c r="AA27" i="4"/>
  <c r="AB27" i="4" s="1"/>
  <c r="AH27" i="4"/>
  <c r="AE26" i="4"/>
  <c r="AA26" i="4"/>
  <c r="AB26" i="4" s="1"/>
  <c r="AH26" i="4"/>
  <c r="AC9" i="4"/>
  <c r="AB9" i="4"/>
  <c r="AA9" i="4"/>
  <c r="Z9" i="4"/>
  <c r="Y9" i="4"/>
  <c r="K58" i="4"/>
  <c r="J58" i="4"/>
  <c r="I58" i="4"/>
  <c r="H58" i="4"/>
  <c r="G58" i="4"/>
  <c r="F58" i="4"/>
  <c r="E58" i="4"/>
  <c r="D58" i="4"/>
  <c r="C58" i="4"/>
  <c r="B58" i="4"/>
  <c r="K48" i="4"/>
  <c r="J48" i="4"/>
  <c r="I48" i="4"/>
  <c r="H48" i="4"/>
  <c r="G48" i="4"/>
  <c r="F48" i="4"/>
  <c r="E48" i="4"/>
  <c r="D48" i="4"/>
  <c r="C48" i="4"/>
  <c r="B48" i="4"/>
  <c r="K38" i="4"/>
  <c r="J38" i="4"/>
  <c r="I38" i="4"/>
  <c r="H38" i="4"/>
  <c r="G38" i="4"/>
  <c r="F38" i="4"/>
  <c r="E38" i="4"/>
  <c r="D38" i="4"/>
  <c r="C38" i="4"/>
  <c r="B38" i="4"/>
  <c r="K28" i="4"/>
  <c r="I28" i="4"/>
  <c r="H28" i="4"/>
  <c r="G28" i="4"/>
  <c r="F28" i="4"/>
  <c r="E28" i="4"/>
  <c r="D28" i="4"/>
  <c r="C28" i="4"/>
  <c r="B28" i="4"/>
  <c r="K19" i="4"/>
  <c r="K18" i="4" s="1"/>
  <c r="J18" i="4"/>
  <c r="I18" i="4"/>
  <c r="H18" i="4"/>
  <c r="G18" i="4"/>
  <c r="F18" i="4"/>
  <c r="E18" i="4"/>
  <c r="D18" i="4"/>
  <c r="C18" i="4"/>
  <c r="B18" i="4"/>
  <c r="K16" i="4"/>
  <c r="J16" i="4"/>
  <c r="I16" i="4"/>
  <c r="H16" i="4"/>
  <c r="G16" i="4"/>
  <c r="F16" i="4"/>
  <c r="E16" i="4"/>
  <c r="D16" i="4"/>
  <c r="C16" i="4"/>
  <c r="B16" i="4"/>
  <c r="K15" i="4"/>
  <c r="J15" i="4"/>
  <c r="I15" i="4"/>
  <c r="H15" i="4"/>
  <c r="G15" i="4"/>
  <c r="F15" i="4"/>
  <c r="E15" i="4"/>
  <c r="D15" i="4"/>
  <c r="C15" i="4"/>
  <c r="B15" i="4"/>
  <c r="K14" i="4"/>
  <c r="J14" i="4"/>
  <c r="I14" i="4"/>
  <c r="H14" i="4"/>
  <c r="G14" i="4"/>
  <c r="F14" i="4"/>
  <c r="E14" i="4"/>
  <c r="D14" i="4"/>
  <c r="C14" i="4"/>
  <c r="B14" i="4"/>
  <c r="K13" i="4"/>
  <c r="J13" i="4"/>
  <c r="I13" i="4"/>
  <c r="H13" i="4"/>
  <c r="G13" i="4"/>
  <c r="F13" i="4"/>
  <c r="E13" i="4"/>
  <c r="D13" i="4"/>
  <c r="C13" i="4"/>
  <c r="B13" i="4"/>
  <c r="K12" i="4"/>
  <c r="J12" i="4"/>
  <c r="I12" i="4"/>
  <c r="H12" i="4"/>
  <c r="G12" i="4"/>
  <c r="F12" i="4"/>
  <c r="E12" i="4"/>
  <c r="D12" i="4"/>
  <c r="C12" i="4"/>
  <c r="B12" i="4"/>
  <c r="K11" i="4"/>
  <c r="J11" i="4"/>
  <c r="I11" i="4"/>
  <c r="H11" i="4"/>
  <c r="G11" i="4"/>
  <c r="F11" i="4"/>
  <c r="E11" i="4"/>
  <c r="D11" i="4"/>
  <c r="C11" i="4"/>
  <c r="B11" i="4"/>
  <c r="K10" i="4"/>
  <c r="J10" i="4"/>
  <c r="I10" i="4"/>
  <c r="H10" i="4"/>
  <c r="G10" i="4"/>
  <c r="F10" i="4"/>
  <c r="E10" i="4"/>
  <c r="D10" i="4"/>
  <c r="C10" i="4"/>
  <c r="B10" i="4"/>
  <c r="K9" i="4"/>
  <c r="J9" i="4"/>
  <c r="I9" i="4"/>
  <c r="H9" i="4"/>
  <c r="G9" i="4"/>
  <c r="F9" i="4"/>
  <c r="E9" i="4"/>
  <c r="D9" i="4"/>
  <c r="C9" i="4"/>
  <c r="B9" i="4"/>
  <c r="K8" i="4"/>
  <c r="J8" i="4"/>
  <c r="I8" i="4"/>
  <c r="H8" i="4"/>
  <c r="G8" i="4"/>
  <c r="F8" i="4"/>
  <c r="E8" i="4"/>
  <c r="D8" i="4"/>
  <c r="C8" i="4"/>
  <c r="B8" i="4"/>
  <c r="AI29" i="4"/>
  <c r="L68" i="4"/>
  <c r="N68" i="4"/>
  <c r="E28" i="6" s="1"/>
  <c r="E29" i="6"/>
  <c r="L30" i="6" s="1"/>
  <c r="L9" i="6"/>
  <c r="AF28" i="4"/>
  <c r="AE36" i="4"/>
  <c r="D7" i="4" l="1"/>
  <c r="AE38" i="4"/>
  <c r="AG38" i="4"/>
  <c r="G30" i="6"/>
  <c r="K3" i="6"/>
  <c r="I28" i="6"/>
  <c r="N16" i="6"/>
  <c r="L10" i="6"/>
  <c r="L13" i="6"/>
  <c r="K11" i="6"/>
  <c r="I12" i="6"/>
  <c r="L11" i="6"/>
  <c r="J13" i="6"/>
  <c r="K10" i="6"/>
  <c r="I10" i="6"/>
  <c r="K13" i="6"/>
  <c r="AI28" i="4"/>
  <c r="F7" i="4"/>
  <c r="K7" i="4"/>
  <c r="AI27" i="4"/>
  <c r="AI34" i="4"/>
  <c r="K28" i="6"/>
  <c r="J29" i="6"/>
  <c r="K6" i="6"/>
  <c r="J6" i="6"/>
  <c r="J4" i="6"/>
  <c r="I29" i="6"/>
  <c r="I5" i="6"/>
  <c r="I9" i="6"/>
  <c r="C7" i="4"/>
  <c r="E7" i="4"/>
  <c r="H8" i="6"/>
  <c r="I8" i="6"/>
  <c r="N17" i="6"/>
  <c r="N21" i="6"/>
  <c r="N25" i="6"/>
  <c r="L4" i="6"/>
  <c r="K7" i="6"/>
  <c r="K8" i="6"/>
  <c r="K9" i="6"/>
  <c r="N20" i="6"/>
  <c r="K4" i="6"/>
  <c r="I7" i="6"/>
  <c r="N19" i="6"/>
  <c r="J7" i="6"/>
  <c r="H6" i="6"/>
  <c r="K12" i="6"/>
  <c r="N14" i="6"/>
  <c r="L3" i="6"/>
  <c r="E26" i="6"/>
  <c r="L27" i="6" s="1"/>
  <c r="L12" i="6"/>
  <c r="AF33" i="4"/>
  <c r="I7" i="4"/>
  <c r="G7" i="4"/>
  <c r="N22" i="6"/>
  <c r="H11" i="6"/>
  <c r="H2" i="6"/>
  <c r="M5" i="6"/>
  <c r="L6" i="6"/>
  <c r="L7" i="6"/>
  <c r="J8" i="6"/>
  <c r="K29" i="6"/>
  <c r="L29" i="6"/>
  <c r="H7" i="4"/>
  <c r="AI26" i="4"/>
  <c r="AI32" i="4"/>
  <c r="H4" i="6"/>
  <c r="N18" i="6"/>
  <c r="K5" i="6"/>
  <c r="G27" i="6"/>
  <c r="M28" i="6" s="1"/>
  <c r="AI31" i="4"/>
  <c r="J7" i="4"/>
  <c r="B7" i="4"/>
  <c r="N24" i="6"/>
  <c r="J11" i="6"/>
  <c r="I6" i="6"/>
  <c r="M6" i="6"/>
  <c r="G26" i="6"/>
  <c r="M26" i="6" s="1"/>
  <c r="G29" i="6"/>
  <c r="M30" i="6" s="1"/>
  <c r="J9" i="6"/>
  <c r="H9" i="6"/>
  <c r="J3" i="6"/>
  <c r="H3" i="6"/>
  <c r="J5" i="6"/>
  <c r="H5" i="6"/>
  <c r="J10" i="6"/>
  <c r="L8" i="6"/>
  <c r="AF36" i="4"/>
  <c r="AI35" i="4"/>
  <c r="AI30" i="4"/>
  <c r="J27" i="6"/>
  <c r="N15" i="6"/>
  <c r="J12" i="6"/>
  <c r="I13" i="6"/>
  <c r="AA36" i="4"/>
  <c r="AI36" i="4" s="1"/>
  <c r="AF27" i="4"/>
  <c r="N23" i="6"/>
  <c r="I11" i="6"/>
  <c r="M3" i="6"/>
  <c r="I3" i="6"/>
  <c r="J28" i="6"/>
  <c r="K27" i="6"/>
  <c r="H12" i="6"/>
  <c r="L28" i="6"/>
  <c r="H7" i="6"/>
  <c r="L5" i="6"/>
  <c r="AF32" i="4"/>
  <c r="AF26" i="4"/>
  <c r="H28" i="6"/>
  <c r="I27" i="6"/>
  <c r="H30" i="6" l="1"/>
  <c r="N31" i="6" s="1"/>
  <c r="M31" i="6"/>
  <c r="N7" i="6"/>
  <c r="L26" i="6"/>
  <c r="N5" i="6"/>
  <c r="H27" i="6"/>
  <c r="N28" i="6" s="1"/>
  <c r="N6" i="6"/>
  <c r="N12" i="6"/>
  <c r="N13" i="6"/>
  <c r="N9" i="6"/>
  <c r="M27" i="6"/>
  <c r="H26" i="6"/>
  <c r="N26" i="6" s="1"/>
  <c r="AB36" i="4"/>
  <c r="AA38" i="4"/>
  <c r="N3" i="6"/>
  <c r="N4" i="6"/>
  <c r="M29" i="6"/>
  <c r="H29" i="6"/>
  <c r="N8" i="6"/>
  <c r="H37" i="8" l="1"/>
  <c r="N30" i="6"/>
  <c r="N29" i="6"/>
  <c r="N27" i="6"/>
  <c r="H10" i="6" l="1"/>
  <c r="N11" i="6" s="1"/>
  <c r="N10" i="6" l="1"/>
</calcChain>
</file>

<file path=xl/comments1.xml><?xml version="1.0" encoding="utf-8"?>
<comments xmlns="http://schemas.openxmlformats.org/spreadsheetml/2006/main">
  <authors>
    <author>imadmin</author>
  </authors>
  <commentList>
    <comment ref="AK36" authorId="0" shapeId="0">
      <text>
        <r>
          <rPr>
            <b/>
            <sz val="8"/>
            <color indexed="81"/>
            <rFont val="Tahoma"/>
            <family val="2"/>
          </rPr>
          <t xml:space="preserve">Budget provides this number to calculate </t>
        </r>
        <r>
          <rPr>
            <sz val="8"/>
            <color indexed="81"/>
            <rFont val="Tahoma"/>
            <family val="2"/>
          </rPr>
          <t xml:space="preserve">
Unatributed payments</t>
        </r>
      </text>
    </comment>
  </commentList>
</comments>
</file>

<file path=xl/sharedStrings.xml><?xml version="1.0" encoding="utf-8"?>
<sst xmlns="http://schemas.openxmlformats.org/spreadsheetml/2006/main" count="192" uniqueCount="115">
  <si>
    <t>Aged</t>
  </si>
  <si>
    <t>Total</t>
  </si>
  <si>
    <t>Blind &amp; Disabled</t>
  </si>
  <si>
    <t>State Fiscal Year</t>
  </si>
  <si>
    <t>Payments ($ millions)</t>
  </si>
  <si>
    <t>Date</t>
  </si>
  <si>
    <t>Research Staffer</t>
  </si>
  <si>
    <t>Program Contact</t>
  </si>
  <si>
    <t>Data Source</t>
  </si>
  <si>
    <t>Comments</t>
  </si>
  <si>
    <t>T. Areson</t>
  </si>
  <si>
    <t xml:space="preserve">Added "Services" to Dept. title; changed report </t>
  </si>
  <si>
    <t xml:space="preserve">  title to "2007 Annual Statistical Report," similar to Source </t>
  </si>
  <si>
    <t xml:space="preserve">  Put source in Verdana 9 font.</t>
  </si>
  <si>
    <t xml:space="preserve">  given on p. 9.  Check page number??  </t>
  </si>
  <si>
    <t>ANNUAL EXPENDITURE FOR MEDICAL SERVICES</t>
  </si>
  <si>
    <t xml:space="preserve">BY CATEGORY OF ELIGIBILITY AND AGE GROUP </t>
  </si>
  <si>
    <t>Category of Eligibility/Age Group</t>
  </si>
  <si>
    <t>1999</t>
  </si>
  <si>
    <t>2000</t>
  </si>
  <si>
    <t>2001</t>
  </si>
  <si>
    <t>2002</t>
  </si>
  <si>
    <t>2003</t>
  </si>
  <si>
    <t>2004</t>
  </si>
  <si>
    <t>2005</t>
  </si>
  <si>
    <t>2006</t>
  </si>
  <si>
    <t>2007</t>
  </si>
  <si>
    <t>TOTAL RECIPIENTS</t>
  </si>
  <si>
    <t>Under 1</t>
  </si>
  <si>
    <t>1-5</t>
  </si>
  <si>
    <t>6-14</t>
  </si>
  <si>
    <t>15-20</t>
  </si>
  <si>
    <t>21-44</t>
  </si>
  <si>
    <t>45-64</t>
  </si>
  <si>
    <t>65-74</t>
  </si>
  <si>
    <t>75-84</t>
  </si>
  <si>
    <t>85/Over</t>
  </si>
  <si>
    <t xml:space="preserve">   </t>
  </si>
  <si>
    <t>AGED</t>
  </si>
  <si>
    <t>BLIND AND DISABLED</t>
  </si>
  <si>
    <t>LOW INCOME CHILD</t>
  </si>
  <si>
    <t>LOW INCOME CARETAKER ADULTS</t>
  </si>
  <si>
    <t>PREGNANT WOMEN</t>
  </si>
  <si>
    <t>Source:  CMS 2082 report series prior to FY 2004, SAS Eligibility and Claims Invoice files thereafter. (7)</t>
  </si>
  <si>
    <t>File:</t>
  </si>
  <si>
    <t>Ch3Ch8-FY07 (RecipAge.xls)</t>
  </si>
  <si>
    <t>Notes:</t>
  </si>
  <si>
    <t>Date:</t>
  </si>
  <si>
    <t>November 6, 2007</t>
  </si>
  <si>
    <t>(1)  Unduplicated recipients were not additive prior to 1986.</t>
  </si>
  <si>
    <t>Originator:</t>
  </si>
  <si>
    <t>Priyalata Rajesh</t>
  </si>
  <si>
    <t>(2) Beginning in 1990, "Other Recipients" were reclassified to "Children" and Adults with Children" in conformance with new federal legislation.</t>
  </si>
  <si>
    <t>(3) Recipients are counted on the date of payment unless otherwise noted.  Since providers do not necessarily submit bills immediately upon delivery of service, recipients may be counted several months after they receive services.  Occasionally this leads</t>
  </si>
  <si>
    <t>(4) The transition to manged care programs began during FY 1995.  Recipients in these programs were excluded from data from FY 1995-1998 unless they used services that were not counted in these programs.  Beginning in FY 1999, recipients in HMO programs w</t>
  </si>
  <si>
    <t>(5) Beginning with FY 1998 data, statistics reflect redefined basis of eligibility categories promulgated by HCFA/CMS.</t>
  </si>
  <si>
    <t>(6)  VaMMIS system modifications and CMS reporting requirements have forced substantial counting method changes for FY 2004 based on MSIS definitions.  The apparent increase in data variability is not thought to be significantly correlated to any actual s</t>
  </si>
  <si>
    <t xml:space="preserve">(7)  CMS 2082 reports series inaccurate at time of publication.  FY 2004 has been restated to reflect change in data source. </t>
  </si>
  <si>
    <t>(8) This report is updated annually in August/September.</t>
  </si>
  <si>
    <t>FROM VIRGINIA MEDICAID</t>
  </si>
  <si>
    <t>Dollars in Millions</t>
  </si>
  <si>
    <t>Fiscal Year</t>
  </si>
  <si>
    <t>Aged, Blind &amp; Disabled</t>
  </si>
  <si>
    <t>% of Total</t>
  </si>
  <si>
    <t>Low Income Children</t>
  </si>
  <si>
    <t>Low Income Caretaker Adult</t>
  </si>
  <si>
    <t>Low Income</t>
  </si>
  <si>
    <t>Pregnant Women</t>
  </si>
  <si>
    <t>% Change From Prior Year</t>
  </si>
  <si>
    <t>Total Payments</t>
  </si>
  <si>
    <t>% Change from Prior Year</t>
  </si>
  <si>
    <t>% Change</t>
  </si>
  <si>
    <t>Source:  Payments directly associated with claims from CMS-2082 series; Total payments from CARS less supplemental and enhanced DSH payments.</t>
  </si>
  <si>
    <t>Chapter 1</t>
  </si>
  <si>
    <t>Low Income Caretaker Adult &amp; Pregnant Women</t>
  </si>
  <si>
    <t>Unattributed Payments (Includes Managed Care payments before SFY 2003)</t>
  </si>
  <si>
    <t>1999-2009</t>
  </si>
  <si>
    <t>EXPENDITURES ($)</t>
  </si>
  <si>
    <t>Blind and Disabled</t>
  </si>
  <si>
    <t>Low Income Caretaker Adults</t>
  </si>
  <si>
    <t>Total Medical Services</t>
  </si>
  <si>
    <t>Unattributed payments include Medicare Premiums, Pharmacy Rebates, Transportation, Consumer Directed Services, Hospital DSH, Hospital and NF Settlements, PACE and Pre-PACE and HIPP.</t>
  </si>
  <si>
    <r>
      <t>Unattributed Payments</t>
    </r>
    <r>
      <rPr>
        <b/>
        <vertAlign val="superscript"/>
        <sz val="10"/>
        <color indexed="8"/>
        <rFont val="Verdana"/>
        <family val="2"/>
      </rPr>
      <t>1</t>
    </r>
  </si>
  <si>
    <t>Unattributed Payments</t>
  </si>
  <si>
    <t>please update the cells in yellow which will populate the main page.</t>
  </si>
  <si>
    <t>Seta Vandegrift</t>
  </si>
  <si>
    <t>"DMAS Stat. Record"</t>
  </si>
  <si>
    <r>
      <t xml:space="preserve">On Sources, the "Annual DMAS Statistical Record" is </t>
    </r>
    <r>
      <rPr>
        <b/>
        <sz val="12"/>
        <rFont val="Times New Roman"/>
        <family val="1"/>
      </rPr>
      <t>not</t>
    </r>
    <r>
      <rPr>
        <sz val="12"/>
        <rFont val="Times New Roman"/>
        <family val="1"/>
      </rPr>
      <t xml:space="preserve"> published as a written doc. and, therefore, has no page numbers to cite. 
</t>
    </r>
  </si>
  <si>
    <t>LOW INCOME CARETAKER ADULTS + Pregnant women</t>
  </si>
  <si>
    <t>Feel free to call or email with any questions.  ~ Seta</t>
  </si>
  <si>
    <t>Mike Theis</t>
  </si>
  <si>
    <t>Email</t>
  </si>
  <si>
    <r>
      <t>Unattributed Payments</t>
    </r>
    <r>
      <rPr>
        <vertAlign val="superscript"/>
        <sz val="12"/>
        <color indexed="8"/>
        <rFont val="Franklin Gothic Medium"/>
        <family val="2"/>
      </rPr>
      <t>1</t>
    </r>
  </si>
  <si>
    <t>Here is the final report.  A few notes concerning expenditures this year and last year (relevant for this report and #11 – CHIP expenditures).  DMAS (per direction of the Appropriation Act processed 13 MCO capitation payments and 53 weekly remittance cycles in  SFY2011 .  When looking at expenditure trends, this is clearly evident, and therefore I wanted to explain to you the reason – purely a timing of payments (in order to maximize federal matching rate participation under ARRA) rather than an underlying increase and subsequent decrease in rates of growth.   Expenses incurred in SFY 2011 that would normally have been claimed in SFY 2012 were claimed in SFY 2011.</t>
  </si>
  <si>
    <t>SFY</t>
  </si>
  <si>
    <t>aged_exp</t>
  </si>
  <si>
    <t>bl_dis_exp</t>
  </si>
  <si>
    <t>li_child_exp</t>
  </si>
  <si>
    <t>li_adult_pg_exp</t>
  </si>
  <si>
    <t>unattributed_exp</t>
  </si>
  <si>
    <t>sfy</t>
  </si>
  <si>
    <t>pct_aged_exp</t>
  </si>
  <si>
    <t>pct_bl_dis_exp</t>
  </si>
  <si>
    <t>pct_li_child_exp</t>
  </si>
  <si>
    <t>pct_li_adult_pg_exp</t>
  </si>
  <si>
    <t>pct_unattributed_exp</t>
  </si>
  <si>
    <t>pct_total</t>
  </si>
  <si>
    <t>total</t>
  </si>
  <si>
    <t>ACA Low Income Adults</t>
  </si>
  <si>
    <t>Source: Virginia Department of Medical Assistance Services</t>
  </si>
  <si>
    <r>
      <t>Medicaid Expansion</t>
    </r>
    <r>
      <rPr>
        <vertAlign val="superscript"/>
        <sz val="12"/>
        <color indexed="8"/>
        <rFont val="Franklin Gothic Medium"/>
        <family val="2"/>
      </rPr>
      <t>1</t>
    </r>
  </si>
  <si>
    <r>
      <t>1</t>
    </r>
    <r>
      <rPr>
        <sz val="10"/>
        <rFont val="Franklin Gothic Medium"/>
        <family val="2"/>
      </rPr>
      <t xml:space="preserve"> Medicaid Expansion began January 1, 2019.</t>
    </r>
  </si>
  <si>
    <t>Medicaid Payments</t>
  </si>
  <si>
    <t>medicaid_expansion</t>
  </si>
  <si>
    <t>medicaid_exp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</si>
</sst>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quot;$&quot;#,##0.0_);\(&quot;$&quot;#,##0.0\)"/>
    <numFmt numFmtId="167" formatCode="&quot;$&quot;#,##0.0"/>
    <numFmt numFmtId="168" formatCode="_(&quot;$&quot;* #,##0.0_);_(&quot;$&quot;* \(#,##0.0\);_(&quot;$&quot;* &quot;-&quot;??_);_(@_)"/>
    <numFmt numFmtId="169" formatCode="_(* #,##0_);_(* \(#,##0\);_(* &quot;-&quot;??_);_(@_)"/>
    <numFmt numFmtId="170" formatCode="&quot;$&quot;#,##0"/>
  </numFmts>
  <fonts count="55" x14ac:knownFonts="1">
    <font>
      <sz val="12"/>
      <name val="Times New Roman"/>
    </font>
    <font>
      <sz val="12"/>
      <name val="Times New Roman"/>
      <family val="1"/>
    </font>
    <font>
      <b/>
      <sz val="12"/>
      <name val="Times New Roman"/>
      <family val="1"/>
    </font>
    <font>
      <sz val="10"/>
      <name val="Helv"/>
    </font>
    <font>
      <sz val="12"/>
      <name val="Verdana"/>
      <family val="2"/>
    </font>
    <font>
      <b/>
      <sz val="10"/>
      <name val="Verdana"/>
      <family val="2"/>
    </font>
    <font>
      <b/>
      <sz val="12"/>
      <name val="Verdana"/>
      <family val="2"/>
    </font>
    <font>
      <b/>
      <sz val="12"/>
      <name val="Arial"/>
      <family val="2"/>
    </font>
    <font>
      <b/>
      <sz val="12"/>
      <color indexed="8"/>
      <name val="Arial"/>
      <family val="2"/>
    </font>
    <font>
      <sz val="12"/>
      <color indexed="8"/>
      <name val="Arial"/>
      <family val="2"/>
    </font>
    <font>
      <sz val="12"/>
      <name val="Arial"/>
      <family val="2"/>
    </font>
    <font>
      <b/>
      <sz val="12"/>
      <name val="Arial"/>
      <family val="2"/>
    </font>
    <font>
      <sz val="12"/>
      <color indexed="8"/>
      <name val="Times New Roman"/>
      <family val="1"/>
    </font>
    <font>
      <b/>
      <sz val="10"/>
      <name val="Arial"/>
      <family val="2"/>
    </font>
    <font>
      <b/>
      <sz val="10"/>
      <color indexed="8"/>
      <name val="Arial"/>
      <family val="2"/>
    </font>
    <font>
      <b/>
      <sz val="10"/>
      <name val="Arial"/>
      <family val="2"/>
    </font>
    <font>
      <b/>
      <sz val="10"/>
      <color indexed="8"/>
      <name val="Arial"/>
      <family val="2"/>
    </font>
    <font>
      <sz val="10"/>
      <name val="Arial"/>
      <family val="2"/>
    </font>
    <font>
      <sz val="10"/>
      <color indexed="8"/>
      <name val="Arial"/>
      <family val="2"/>
    </font>
    <font>
      <sz val="9"/>
      <color indexed="8"/>
      <name val="Arial"/>
      <family val="2"/>
    </font>
    <font>
      <sz val="8"/>
      <name val="Arial"/>
      <family val="2"/>
    </font>
    <font>
      <sz val="10"/>
      <color indexed="10"/>
      <name val="Arial"/>
      <family val="2"/>
    </font>
    <font>
      <sz val="8"/>
      <color indexed="8"/>
      <name val="Arial"/>
      <family val="2"/>
    </font>
    <font>
      <sz val="8"/>
      <name val="Times New Roman"/>
      <family val="1"/>
    </font>
    <font>
      <b/>
      <sz val="11"/>
      <name val="Arial"/>
      <family val="2"/>
    </font>
    <font>
      <i/>
      <sz val="9"/>
      <color indexed="8"/>
      <name val="Arial"/>
      <family val="2"/>
    </font>
    <font>
      <b/>
      <sz val="8"/>
      <name val="Arial"/>
      <family val="2"/>
    </font>
    <font>
      <sz val="8"/>
      <color indexed="8"/>
      <name val="Arial"/>
      <family val="2"/>
    </font>
    <font>
      <b/>
      <sz val="8"/>
      <name val="Arial"/>
      <family val="2"/>
    </font>
    <font>
      <sz val="8"/>
      <color indexed="18"/>
      <name val="Arial"/>
      <family val="2"/>
    </font>
    <font>
      <b/>
      <sz val="8"/>
      <color indexed="8"/>
      <name val="Arial"/>
      <family val="2"/>
    </font>
    <font>
      <sz val="10"/>
      <name val="Times New Roman"/>
      <family val="1"/>
    </font>
    <font>
      <b/>
      <sz val="10"/>
      <color indexed="8"/>
      <name val="Verdana"/>
      <family val="2"/>
    </font>
    <font>
      <sz val="12"/>
      <color indexed="8"/>
      <name val="Verdana"/>
      <family val="2"/>
    </font>
    <font>
      <sz val="10"/>
      <color indexed="8"/>
      <name val="Verdana"/>
      <family val="2"/>
    </font>
    <font>
      <sz val="8"/>
      <color indexed="81"/>
      <name val="Tahoma"/>
      <family val="2"/>
    </font>
    <font>
      <b/>
      <sz val="8"/>
      <color indexed="81"/>
      <name val="Tahoma"/>
      <family val="2"/>
    </font>
    <font>
      <sz val="8"/>
      <color indexed="16"/>
      <name val="Arial"/>
      <family val="2"/>
    </font>
    <font>
      <b/>
      <sz val="12"/>
      <color indexed="8"/>
      <name val="Times New Roman"/>
      <family val="1"/>
    </font>
    <font>
      <sz val="12"/>
      <name val="Times New Roman"/>
      <family val="1"/>
    </font>
    <font>
      <sz val="12"/>
      <color indexed="8"/>
      <name val="Times New Roman"/>
      <family val="1"/>
    </font>
    <font>
      <i/>
      <sz val="12"/>
      <name val="Times New Roman"/>
      <family val="1"/>
    </font>
    <font>
      <b/>
      <vertAlign val="superscript"/>
      <sz val="10"/>
      <color indexed="8"/>
      <name val="Verdana"/>
      <family val="2"/>
    </font>
    <font>
      <sz val="10"/>
      <color indexed="8"/>
      <name val="Franklin Gothic Book"/>
      <family val="2"/>
    </font>
    <font>
      <sz val="12"/>
      <color indexed="8"/>
      <name val="Franklin Gothic Medium"/>
      <family val="2"/>
    </font>
    <font>
      <vertAlign val="superscript"/>
      <sz val="12"/>
      <color indexed="8"/>
      <name val="Franklin Gothic Medium"/>
      <family val="2"/>
    </font>
    <font>
      <sz val="8"/>
      <color indexed="8"/>
      <name val="Franklin Gothic Book"/>
      <family val="2"/>
    </font>
    <font>
      <sz val="8"/>
      <name val="Franklin Gothic Book"/>
      <family val="2"/>
    </font>
    <font>
      <sz val="11"/>
      <color rgb="FF1F497D"/>
      <name val="Calibri"/>
      <family val="2"/>
    </font>
    <font>
      <b/>
      <sz val="12"/>
      <color rgb="FFFF0000"/>
      <name val="Times New Roman"/>
      <family val="1"/>
    </font>
    <font>
      <vertAlign val="superscript"/>
      <sz val="10"/>
      <name val="Franklin Gothic Medium"/>
      <family val="2"/>
    </font>
    <font>
      <sz val="10"/>
      <name val="Franklin Gothic Medium"/>
      <family val="2"/>
    </font>
    <font>
      <sz val="8"/>
      <name val="Franklin Gothic Medium"/>
      <family val="2"/>
    </font>
    <font>
      <b/>
      <sz val="14"/>
      <name val="Franklin Gothic Medium"/>
      <family val="2"/>
    </font>
    <font>
      <sz val="10"/>
      <color indexed="8"/>
      <name val="Franklin Gothic Medium"/>
      <family val="2"/>
    </font>
  </fonts>
  <fills count="7">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6" tint="0.59996337778862885"/>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
      <left/>
      <right/>
      <top style="thin">
        <color indexed="8"/>
      </top>
      <bottom/>
      <diagonal/>
    </border>
    <border>
      <left/>
      <right/>
      <top/>
      <bottom style="thin">
        <color auto="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xf numFmtId="0" fontId="17" fillId="0" borderId="0"/>
  </cellStyleXfs>
  <cellXfs count="161">
    <xf numFmtId="0" fontId="0" fillId="0" borderId="0" xfId="0"/>
    <xf numFmtId="0" fontId="2" fillId="0" borderId="1" xfId="0" applyFont="1" applyBorder="1" applyAlignment="1">
      <alignment wrapText="1"/>
    </xf>
    <xf numFmtId="0" fontId="4" fillId="0" borderId="0" xfId="0" applyFont="1"/>
    <xf numFmtId="0" fontId="4" fillId="0" borderId="0" xfId="0" applyFont="1" applyAlignment="1">
      <alignment horizontal="center"/>
    </xf>
    <xf numFmtId="0" fontId="4" fillId="0" borderId="0" xfId="0" applyFont="1" applyAlignment="1">
      <alignment wrapText="1"/>
    </xf>
    <xf numFmtId="0" fontId="6" fillId="0" borderId="0" xfId="0" applyFont="1" applyFill="1" applyBorder="1" applyAlignment="1">
      <alignment horizontal="center" wrapText="1"/>
    </xf>
    <xf numFmtId="0" fontId="4" fillId="0" borderId="0" xfId="0" applyFont="1" applyBorder="1"/>
    <xf numFmtId="166" fontId="4" fillId="0" borderId="0" xfId="0" applyNumberFormat="1" applyFont="1" applyBorder="1"/>
    <xf numFmtId="5" fontId="4" fillId="0" borderId="0" xfId="0" applyNumberFormat="1" applyFont="1"/>
    <xf numFmtId="0" fontId="6" fillId="0" borderId="0" xfId="0" applyFont="1" applyBorder="1" applyAlignment="1">
      <alignment horizontal="left"/>
    </xf>
    <xf numFmtId="0" fontId="5" fillId="0" borderId="0" xfId="0" applyFont="1" applyBorder="1" applyAlignment="1">
      <alignment horizontal="center" wrapText="1"/>
    </xf>
    <xf numFmtId="0" fontId="5" fillId="0" borderId="0" xfId="0" applyFont="1" applyBorder="1" applyAlignment="1">
      <alignment wrapText="1"/>
    </xf>
    <xf numFmtId="14" fontId="0" fillId="0" borderId="0" xfId="0" applyNumberFormat="1"/>
    <xf numFmtId="0" fontId="7" fillId="0" borderId="0" xfId="0" applyFont="1" applyFill="1" applyProtection="1"/>
    <xf numFmtId="0" fontId="8" fillId="0" borderId="0" xfId="0" applyFont="1" applyFill="1" applyProtection="1"/>
    <xf numFmtId="37" fontId="8" fillId="0" borderId="0" xfId="0" applyNumberFormat="1" applyFont="1" applyFill="1" applyProtection="1"/>
    <xf numFmtId="0" fontId="9" fillId="0" borderId="0" xfId="0" applyFont="1" applyFill="1" applyProtection="1"/>
    <xf numFmtId="0" fontId="10" fillId="0" borderId="0" xfId="0" applyFont="1" applyProtection="1"/>
    <xf numFmtId="0" fontId="11" fillId="0" borderId="0" xfId="0" applyFont="1" applyProtection="1"/>
    <xf numFmtId="0" fontId="1" fillId="0" borderId="0" xfId="0" applyFont="1" applyProtection="1"/>
    <xf numFmtId="0" fontId="12" fillId="0" borderId="0" xfId="0" applyFont="1" applyFill="1" applyProtection="1"/>
    <xf numFmtId="0" fontId="13" fillId="0" borderId="2" xfId="0" applyFont="1" applyBorder="1" applyAlignment="1" applyProtection="1">
      <alignment horizontal="center"/>
    </xf>
    <xf numFmtId="0" fontId="14" fillId="0" borderId="2" xfId="0" applyFont="1" applyFill="1" applyBorder="1" applyAlignment="1" applyProtection="1">
      <alignment horizontal="center"/>
    </xf>
    <xf numFmtId="0" fontId="13" fillId="0" borderId="2" xfId="0" applyFont="1" applyFill="1" applyBorder="1" applyAlignment="1" applyProtection="1">
      <alignment horizontal="center"/>
    </xf>
    <xf numFmtId="0" fontId="14" fillId="0" borderId="3" xfId="0" applyFont="1" applyFill="1" applyBorder="1" applyAlignment="1" applyProtection="1">
      <alignment horizontal="center"/>
    </xf>
    <xf numFmtId="0" fontId="15" fillId="2" borderId="2" xfId="0" applyFont="1" applyFill="1" applyBorder="1" applyAlignment="1" applyProtection="1">
      <alignment horizontal="center"/>
    </xf>
    <xf numFmtId="0" fontId="17" fillId="0" borderId="4" xfId="0" applyFont="1" applyBorder="1" applyProtection="1"/>
    <xf numFmtId="37" fontId="18" fillId="0" borderId="5" xfId="0" applyNumberFormat="1" applyFont="1" applyFill="1" applyBorder="1" applyProtection="1"/>
    <xf numFmtId="0" fontId="17" fillId="0" borderId="6" xfId="0" applyFont="1" applyBorder="1" applyProtection="1"/>
    <xf numFmtId="37" fontId="18" fillId="0" borderId="7" xfId="0" applyNumberFormat="1" applyFont="1" applyFill="1" applyBorder="1" applyProtection="1"/>
    <xf numFmtId="0" fontId="17" fillId="0" borderId="0" xfId="0" applyFont="1" applyProtection="1"/>
    <xf numFmtId="0" fontId="18" fillId="0" borderId="0" xfId="0" applyFont="1" applyFill="1" applyProtection="1"/>
    <xf numFmtId="0" fontId="17" fillId="0" borderId="0" xfId="0" applyFont="1" applyFill="1" applyProtection="1"/>
    <xf numFmtId="0" fontId="15" fillId="2" borderId="6" xfId="0" applyFont="1" applyFill="1" applyBorder="1" applyAlignment="1" applyProtection="1">
      <alignment horizontal="center"/>
    </xf>
    <xf numFmtId="0" fontId="15" fillId="2" borderId="3" xfId="0" applyFont="1" applyFill="1" applyBorder="1" applyAlignment="1" applyProtection="1">
      <alignment horizontal="center"/>
    </xf>
    <xf numFmtId="37" fontId="19" fillId="0" borderId="0" xfId="0" applyNumberFormat="1" applyFont="1" applyFill="1" applyProtection="1"/>
    <xf numFmtId="0" fontId="18" fillId="0" borderId="0" xfId="0" applyFont="1" applyFill="1"/>
    <xf numFmtId="0" fontId="20" fillId="0" borderId="0" xfId="0" applyFont="1" applyProtection="1"/>
    <xf numFmtId="0" fontId="18" fillId="0" borderId="0" xfId="0" quotePrefix="1" applyFont="1" applyFill="1" applyProtection="1"/>
    <xf numFmtId="0" fontId="21" fillId="0" borderId="0" xfId="0" applyFont="1" applyProtection="1"/>
    <xf numFmtId="0" fontId="21" fillId="0" borderId="0" xfId="0" applyFont="1" applyFill="1" applyProtection="1"/>
    <xf numFmtId="0" fontId="21" fillId="0" borderId="0" xfId="0" applyFont="1" applyFill="1"/>
    <xf numFmtId="0" fontId="22" fillId="0" borderId="0" xfId="0" applyFont="1" applyFill="1" applyProtection="1"/>
    <xf numFmtId="37" fontId="18" fillId="0" borderId="3" xfId="0" applyNumberFormat="1" applyFont="1" applyFill="1" applyBorder="1" applyProtection="1"/>
    <xf numFmtId="0" fontId="17" fillId="0" borderId="0" xfId="0" applyFont="1" applyBorder="1" applyProtection="1"/>
    <xf numFmtId="0" fontId="0" fillId="0" borderId="4" xfId="0" applyBorder="1"/>
    <xf numFmtId="0" fontId="24" fillId="0" borderId="0" xfId="0" applyFont="1"/>
    <xf numFmtId="0" fontId="25" fillId="0" borderId="0" xfId="0" applyFont="1"/>
    <xf numFmtId="0" fontId="26" fillId="0" borderId="0" xfId="0" applyFont="1" applyAlignment="1">
      <alignment horizontal="center"/>
    </xf>
    <xf numFmtId="0" fontId="27" fillId="0" borderId="0" xfId="0" applyFont="1"/>
    <xf numFmtId="0" fontId="28" fillId="0" borderId="2" xfId="0" applyFont="1" applyFill="1" applyBorder="1" applyAlignment="1">
      <alignment horizontal="center"/>
    </xf>
    <xf numFmtId="168" fontId="27" fillId="0" borderId="8" xfId="2" applyNumberFormat="1" applyFont="1" applyBorder="1" applyAlignment="1">
      <alignment horizontal="right"/>
    </xf>
    <xf numFmtId="10" fontId="29" fillId="0" borderId="9" xfId="0" applyNumberFormat="1" applyFont="1" applyBorder="1" applyAlignment="1">
      <alignment horizontal="center"/>
    </xf>
    <xf numFmtId="8" fontId="27" fillId="2" borderId="8" xfId="0" applyNumberFormat="1" applyFont="1" applyFill="1" applyBorder="1" applyAlignment="1">
      <alignment horizontal="right"/>
    </xf>
    <xf numFmtId="8" fontId="27" fillId="0" borderId="8" xfId="0" applyNumberFormat="1" applyFont="1" applyBorder="1" applyAlignment="1">
      <alignment horizontal="right"/>
    </xf>
    <xf numFmtId="0" fontId="30" fillId="0" borderId="2" xfId="0" applyFont="1" applyFill="1" applyBorder="1" applyAlignment="1">
      <alignment horizontal="center"/>
    </xf>
    <xf numFmtId="0" fontId="28" fillId="0" borderId="3" xfId="0" applyFont="1" applyFill="1" applyBorder="1" applyAlignment="1">
      <alignment horizontal="center"/>
    </xf>
    <xf numFmtId="0" fontId="27" fillId="0" borderId="0" xfId="0" applyFont="1" applyAlignment="1">
      <alignment horizontal="center"/>
    </xf>
    <xf numFmtId="0" fontId="27" fillId="0" borderId="10" xfId="0" applyFont="1" applyBorder="1"/>
    <xf numFmtId="0" fontId="27" fillId="0" borderId="0" xfId="0" applyFont="1" applyBorder="1"/>
    <xf numFmtId="9" fontId="27" fillId="0" borderId="0" xfId="0" applyNumberFormat="1" applyFont="1" applyAlignment="1">
      <alignment horizontal="right"/>
    </xf>
    <xf numFmtId="0" fontId="31" fillId="0" borderId="0" xfId="0" applyFont="1"/>
    <xf numFmtId="168" fontId="0" fillId="0" borderId="0" xfId="0" applyNumberFormat="1"/>
    <xf numFmtId="43" fontId="0" fillId="0" borderId="0" xfId="0" applyNumberFormat="1"/>
    <xf numFmtId="0" fontId="32" fillId="0" borderId="0" xfId="0" applyFont="1" applyBorder="1" applyAlignment="1">
      <alignment wrapText="1"/>
    </xf>
    <xf numFmtId="0" fontId="33" fillId="0" borderId="0" xfId="0" applyFont="1" applyBorder="1" applyAlignment="1">
      <alignment wrapText="1"/>
    </xf>
    <xf numFmtId="0" fontId="32" fillId="0" borderId="1" xfId="0" applyFont="1" applyBorder="1" applyAlignment="1">
      <alignment horizontal="right" wrapText="1"/>
    </xf>
    <xf numFmtId="0" fontId="34" fillId="0" borderId="0" xfId="0" applyFont="1" applyBorder="1" applyAlignment="1">
      <alignment horizontal="center"/>
    </xf>
    <xf numFmtId="167" fontId="34" fillId="0" borderId="0" xfId="0" applyNumberFormat="1" applyFont="1" applyBorder="1" applyAlignment="1">
      <alignment horizontal="right" wrapText="1"/>
    </xf>
    <xf numFmtId="164" fontId="34" fillId="0" borderId="0" xfId="4" applyNumberFormat="1" applyFont="1" applyBorder="1" applyAlignment="1">
      <alignment horizontal="center"/>
    </xf>
    <xf numFmtId="8" fontId="0" fillId="0" borderId="0" xfId="0" applyNumberFormat="1"/>
    <xf numFmtId="165" fontId="0" fillId="0" borderId="0" xfId="4" applyNumberFormat="1" applyFont="1"/>
    <xf numFmtId="10" fontId="37" fillId="4" borderId="8" xfId="0" applyNumberFormat="1" applyFont="1" applyFill="1" applyBorder="1" applyAlignment="1">
      <alignment horizontal="right"/>
    </xf>
    <xf numFmtId="10" fontId="37" fillId="4" borderId="9" xfId="0" applyNumberFormat="1" applyFont="1" applyFill="1" applyBorder="1" applyAlignment="1">
      <alignment horizontal="center"/>
    </xf>
    <xf numFmtId="0" fontId="2" fillId="2" borderId="3" xfId="0" applyFont="1" applyFill="1" applyBorder="1"/>
    <xf numFmtId="37" fontId="2" fillId="2" borderId="6" xfId="0" applyNumberFormat="1" applyFont="1" applyFill="1" applyBorder="1" applyProtection="1"/>
    <xf numFmtId="37" fontId="38" fillId="2" borderId="6" xfId="0" applyNumberFormat="1" applyFont="1" applyFill="1" applyBorder="1" applyProtection="1"/>
    <xf numFmtId="37" fontId="2" fillId="2" borderId="3" xfId="0" applyNumberFormat="1" applyFont="1" applyFill="1" applyBorder="1" applyProtection="1"/>
    <xf numFmtId="0" fontId="39" fillId="0" borderId="0" xfId="0" applyFont="1"/>
    <xf numFmtId="0" fontId="2" fillId="0" borderId="0" xfId="0" applyFont="1" applyFill="1"/>
    <xf numFmtId="0" fontId="39" fillId="0" borderId="0" xfId="0" applyFont="1" applyFill="1"/>
    <xf numFmtId="0" fontId="2" fillId="0" borderId="3" xfId="0" applyFont="1" applyFill="1" applyBorder="1" applyAlignment="1">
      <alignment horizontal="center"/>
    </xf>
    <xf numFmtId="0" fontId="2" fillId="0" borderId="2" xfId="0" applyFont="1" applyFill="1" applyBorder="1" applyAlignment="1">
      <alignment horizontal="center"/>
    </xf>
    <xf numFmtId="0" fontId="38" fillId="0" borderId="2" xfId="0" applyFont="1" applyFill="1" applyBorder="1" applyAlignment="1">
      <alignment horizontal="center"/>
    </xf>
    <xf numFmtId="0" fontId="2" fillId="0" borderId="0" xfId="0" applyFont="1" applyFill="1" applyAlignment="1">
      <alignment horizontal="center"/>
    </xf>
    <xf numFmtId="0" fontId="39" fillId="0" borderId="4" xfId="0" applyFont="1" applyFill="1" applyBorder="1"/>
    <xf numFmtId="37" fontId="39" fillId="0" borderId="4" xfId="0" applyNumberFormat="1" applyFont="1" applyFill="1" applyBorder="1" applyProtection="1"/>
    <xf numFmtId="37" fontId="40" fillId="0" borderId="4" xfId="0" applyNumberFormat="1" applyFont="1" applyFill="1" applyBorder="1" applyProtection="1"/>
    <xf numFmtId="37" fontId="39" fillId="0" borderId="5" xfId="0" applyNumberFormat="1" applyFont="1" applyFill="1" applyBorder="1" applyProtection="1"/>
    <xf numFmtId="0" fontId="39" fillId="3" borderId="4" xfId="0" applyFont="1" applyFill="1" applyBorder="1"/>
    <xf numFmtId="37" fontId="39" fillId="3" borderId="4" xfId="0" applyNumberFormat="1" applyFont="1" applyFill="1" applyBorder="1" applyProtection="1"/>
    <xf numFmtId="37" fontId="40" fillId="3" borderId="4" xfId="0" applyNumberFormat="1" applyFont="1" applyFill="1" applyBorder="1" applyProtection="1"/>
    <xf numFmtId="169" fontId="39" fillId="3" borderId="5" xfId="1" applyNumberFormat="1" applyFont="1" applyFill="1" applyBorder="1"/>
    <xf numFmtId="37" fontId="39" fillId="3" borderId="5" xfId="0" applyNumberFormat="1" applyFont="1" applyFill="1" applyBorder="1" applyProtection="1"/>
    <xf numFmtId="0" fontId="39" fillId="0" borderId="0" xfId="0" applyFont="1" applyFill="1" applyBorder="1"/>
    <xf numFmtId="0" fontId="2" fillId="2" borderId="2" xfId="0" applyFont="1" applyFill="1" applyBorder="1"/>
    <xf numFmtId="37" fontId="2" fillId="2" borderId="11" xfId="0" applyNumberFormat="1" applyFont="1" applyFill="1" applyBorder="1" applyProtection="1"/>
    <xf numFmtId="37" fontId="38" fillId="2" borderId="11" xfId="0" applyNumberFormat="1" applyFont="1" applyFill="1" applyBorder="1" applyProtection="1"/>
    <xf numFmtId="37" fontId="2" fillId="2" borderId="12" xfId="0" applyNumberFormat="1" applyFont="1" applyFill="1" applyBorder="1" applyProtection="1"/>
    <xf numFmtId="0" fontId="41" fillId="0" borderId="0" xfId="0" applyFont="1"/>
    <xf numFmtId="0" fontId="40" fillId="0" borderId="0" xfId="0" applyFont="1" applyAlignment="1">
      <alignment horizontal="left"/>
    </xf>
    <xf numFmtId="0" fontId="40" fillId="0" borderId="0" xfId="0" applyFont="1"/>
    <xf numFmtId="10" fontId="18" fillId="0" borderId="5" xfId="0" applyNumberFormat="1" applyFont="1" applyFill="1" applyBorder="1" applyProtection="1"/>
    <xf numFmtId="0" fontId="14" fillId="0" borderId="0" xfId="0" applyFont="1" applyFill="1" applyBorder="1" applyAlignment="1" applyProtection="1">
      <alignment horizontal="center"/>
    </xf>
    <xf numFmtId="37" fontId="18" fillId="0" borderId="0" xfId="0" applyNumberFormat="1" applyFont="1" applyFill="1" applyBorder="1" applyProtection="1"/>
    <xf numFmtId="37" fontId="18" fillId="0" borderId="0" xfId="0" applyNumberFormat="1" applyFont="1" applyFill="1" applyProtection="1"/>
    <xf numFmtId="37" fontId="14" fillId="0" borderId="3" xfId="0" applyNumberFormat="1" applyFont="1" applyFill="1" applyBorder="1" applyAlignment="1" applyProtection="1">
      <alignment horizontal="center"/>
    </xf>
    <xf numFmtId="0" fontId="17" fillId="0" borderId="0" xfId="0" applyFont="1" applyBorder="1" applyAlignment="1" applyProtection="1">
      <alignment wrapText="1"/>
    </xf>
    <xf numFmtId="37" fontId="16" fillId="0" borderId="3" xfId="0" applyNumberFormat="1" applyFont="1" applyFill="1" applyBorder="1" applyProtection="1"/>
    <xf numFmtId="0" fontId="2" fillId="0" borderId="0" xfId="0" applyFont="1"/>
    <xf numFmtId="0" fontId="1" fillId="0" borderId="0" xfId="0" applyFont="1"/>
    <xf numFmtId="37" fontId="18" fillId="4" borderId="0" xfId="0" applyNumberFormat="1" applyFont="1" applyFill="1" applyBorder="1" applyProtection="1"/>
    <xf numFmtId="37" fontId="18" fillId="0" borderId="0" xfId="0" applyNumberFormat="1" applyFont="1" applyFill="1"/>
    <xf numFmtId="37" fontId="16" fillId="0" borderId="2" xfId="0" applyNumberFormat="1" applyFont="1" applyFill="1" applyBorder="1" applyProtection="1"/>
    <xf numFmtId="37" fontId="16" fillId="0" borderId="6" xfId="0" applyNumberFormat="1" applyFont="1" applyFill="1" applyBorder="1" applyProtection="1"/>
    <xf numFmtId="37" fontId="16" fillId="0" borderId="13" xfId="0" applyNumberFormat="1" applyFont="1" applyFill="1" applyBorder="1" applyProtection="1"/>
    <xf numFmtId="37" fontId="16" fillId="0" borderId="7" xfId="0" applyNumberFormat="1" applyFont="1" applyFill="1" applyBorder="1" applyProtection="1"/>
    <xf numFmtId="37" fontId="2" fillId="0" borderId="3" xfId="0" applyNumberFormat="1" applyFont="1" applyFill="1" applyBorder="1" applyProtection="1"/>
    <xf numFmtId="0" fontId="17" fillId="5" borderId="4" xfId="0" applyFont="1" applyFill="1" applyBorder="1" applyProtection="1"/>
    <xf numFmtId="37" fontId="21" fillId="0" borderId="0" xfId="0" applyNumberFormat="1" applyFont="1" applyFill="1" applyProtection="1"/>
    <xf numFmtId="37" fontId="22" fillId="0" borderId="0" xfId="0" applyNumberFormat="1" applyFont="1" applyFill="1" applyProtection="1"/>
    <xf numFmtId="0" fontId="48" fillId="0" borderId="0" xfId="0" applyFont="1" applyAlignment="1">
      <alignment vertical="center"/>
    </xf>
    <xf numFmtId="3" fontId="0" fillId="0" borderId="0" xfId="0" applyNumberFormat="1"/>
    <xf numFmtId="0" fontId="44" fillId="0" borderId="1" xfId="0" applyFont="1" applyBorder="1" applyAlignment="1">
      <alignment horizontal="right" wrapText="1"/>
    </xf>
    <xf numFmtId="0" fontId="43" fillId="0" borderId="0" xfId="0" applyFont="1" applyBorder="1" applyAlignment="1">
      <alignment horizontal="center"/>
    </xf>
    <xf numFmtId="0" fontId="47" fillId="0" borderId="0" xfId="0" applyFont="1"/>
    <xf numFmtId="37" fontId="18" fillId="6" borderId="3" xfId="0" applyNumberFormat="1" applyFont="1" applyFill="1" applyBorder="1" applyProtection="1"/>
    <xf numFmtId="170" fontId="43" fillId="0" borderId="0" xfId="0" applyNumberFormat="1" applyFont="1" applyBorder="1" applyAlignment="1">
      <alignment horizontal="right" wrapText="1"/>
    </xf>
    <xf numFmtId="0" fontId="49" fillId="0" borderId="16" xfId="0" applyFont="1" applyBorder="1" applyAlignment="1">
      <alignment vertical="center" wrapText="1"/>
    </xf>
    <xf numFmtId="0" fontId="49" fillId="0" borderId="0" xfId="0" applyFont="1" applyAlignment="1">
      <alignment vertical="center" wrapText="1"/>
    </xf>
    <xf numFmtId="0" fontId="44" fillId="0" borderId="1" xfId="0" applyFont="1" applyBorder="1" applyAlignment="1">
      <alignment horizontal="center" wrapText="1"/>
    </xf>
    <xf numFmtId="37" fontId="18" fillId="4" borderId="0" xfId="0" applyNumberFormat="1" applyFont="1" applyFill="1" applyBorder="1" applyProtection="1"/>
    <xf numFmtId="37" fontId="18" fillId="6" borderId="3" xfId="0" applyNumberFormat="1" applyFont="1" applyFill="1" applyBorder="1" applyProtection="1"/>
    <xf numFmtId="37" fontId="18" fillId="6" borderId="3" xfId="0" applyNumberFormat="1" applyFont="1" applyFill="1" applyBorder="1" applyProtection="1"/>
    <xf numFmtId="37" fontId="18" fillId="6" borderId="3" xfId="0" applyNumberFormat="1" applyFont="1" applyFill="1" applyBorder="1" applyProtection="1"/>
    <xf numFmtId="37" fontId="18" fillId="6" borderId="3" xfId="0" applyNumberFormat="1" applyFont="1" applyFill="1" applyBorder="1" applyProtection="1"/>
    <xf numFmtId="37" fontId="18" fillId="6" borderId="3" xfId="0" applyNumberFormat="1" applyFont="1" applyFill="1" applyBorder="1" applyProtection="1"/>
    <xf numFmtId="0" fontId="46" fillId="0" borderId="0" xfId="0" applyFont="1" applyFill="1" applyBorder="1" applyAlignment="1">
      <alignment horizontal="left" vertical="top" wrapText="1"/>
    </xf>
    <xf numFmtId="0" fontId="50" fillId="0" borderId="0" xfId="0" applyFont="1"/>
    <xf numFmtId="0" fontId="52" fillId="0" borderId="0" xfId="0" applyFont="1"/>
    <xf numFmtId="0" fontId="44" fillId="0" borderId="1" xfId="0" applyFont="1" applyBorder="1" applyAlignment="1">
      <alignment horizontal="center" wrapText="1"/>
    </xf>
    <xf numFmtId="0" fontId="4" fillId="0" borderId="0" xfId="0" applyFont="1" applyAlignment="1">
      <alignment horizontal="center"/>
    </xf>
    <xf numFmtId="0" fontId="54" fillId="0" borderId="0" xfId="0" applyFont="1" applyBorder="1" applyAlignment="1">
      <alignment horizontal="center"/>
    </xf>
    <xf numFmtId="170" fontId="54" fillId="0" borderId="0" xfId="0" applyNumberFormat="1" applyFont="1" applyBorder="1" applyAlignment="1">
      <alignment horizontal="right" wrapText="1" indent="1"/>
    </xf>
    <xf numFmtId="0" fontId="54" fillId="0" borderId="17" xfId="0" applyFont="1" applyBorder="1" applyAlignment="1">
      <alignment horizontal="center"/>
    </xf>
    <xf numFmtId="170" fontId="54" fillId="0" borderId="17" xfId="0" applyNumberFormat="1" applyFont="1" applyBorder="1" applyAlignment="1">
      <alignment horizontal="right" wrapText="1" indent="1"/>
    </xf>
    <xf numFmtId="0" fontId="44" fillId="0" borderId="17" xfId="0" applyFont="1" applyBorder="1" applyAlignment="1">
      <alignment horizontal="right" wrapText="1"/>
    </xf>
    <xf numFmtId="0" fontId="44" fillId="0" borderId="1" xfId="0" applyFont="1" applyBorder="1" applyAlignment="1">
      <alignment horizontal="center" wrapText="1"/>
    </xf>
    <xf numFmtId="0" fontId="4" fillId="0" borderId="0" xfId="0" applyFont="1" applyAlignment="1">
      <alignment horizontal="center"/>
    </xf>
    <xf numFmtId="0" fontId="21" fillId="0" borderId="0" xfId="0" applyFont="1" applyAlignment="1" applyProtection="1">
      <alignment wrapText="1"/>
    </xf>
    <xf numFmtId="0" fontId="21" fillId="0" borderId="0" xfId="0" applyFont="1" applyAlignment="1">
      <alignment wrapText="1"/>
    </xf>
    <xf numFmtId="0" fontId="21" fillId="0" borderId="0" xfId="0" applyFont="1" applyAlignment="1"/>
    <xf numFmtId="0" fontId="25" fillId="0" borderId="0" xfId="0" applyFont="1"/>
    <xf numFmtId="0" fontId="53" fillId="0" borderId="0" xfId="0" applyFont="1" applyAlignment="1">
      <alignment horizontal="center"/>
    </xf>
    <xf numFmtId="0" fontId="4" fillId="0" borderId="0" xfId="0" applyFont="1" applyAlignment="1">
      <alignment horizontal="center"/>
    </xf>
    <xf numFmtId="0" fontId="44" fillId="0" borderId="14" xfId="0" applyFont="1" applyBorder="1" applyAlignment="1">
      <alignment horizontal="center" wrapText="1"/>
    </xf>
    <xf numFmtId="0" fontId="44" fillId="0" borderId="1" xfId="0" applyFont="1" applyBorder="1" applyAlignment="1">
      <alignment horizontal="center" wrapText="1"/>
    </xf>
    <xf numFmtId="0" fontId="44" fillId="0" borderId="15" xfId="0" applyFont="1" applyBorder="1" applyAlignment="1">
      <alignment horizontal="center" wrapText="1"/>
    </xf>
    <xf numFmtId="0" fontId="1" fillId="0" borderId="0" xfId="0" applyFont="1" applyAlignment="1">
      <alignment wrapText="1"/>
    </xf>
    <xf numFmtId="0" fontId="0" fillId="0" borderId="0" xfId="0" applyAlignment="1">
      <alignment wrapText="1"/>
    </xf>
    <xf numFmtId="0" fontId="48" fillId="0" borderId="0" xfId="0" applyFont="1" applyAlignment="1">
      <alignment horizontal="left" vertical="top" wrapText="1"/>
    </xf>
  </cellXfs>
  <cellStyles count="6">
    <cellStyle name="Comma" xfId="1" builtinId="3"/>
    <cellStyle name="Currency" xfId="2" builtinId="4"/>
    <cellStyle name="Normal" xfId="0" builtinId="0"/>
    <cellStyle name="Normal 6" xfId="5"/>
    <cellStyle name="Percen - Style1"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01063829787234"/>
          <c:y val="0.12594473928578021"/>
          <c:w val="0.86835106382978755"/>
          <c:h val="0.73598087054052319"/>
        </c:manualLayout>
      </c:layout>
      <c:lineChart>
        <c:grouping val="standard"/>
        <c:varyColors val="0"/>
        <c:ser>
          <c:idx val="0"/>
          <c:order val="0"/>
          <c:tx>
            <c:strRef>
              <c:f>'Excel Online'!$D$20</c:f>
              <c:strCache>
                <c:ptCount val="1"/>
                <c:pt idx="0">
                  <c:v>Aged</c:v>
                </c:pt>
              </c:strCache>
            </c:strRef>
          </c:tx>
          <c:spPr>
            <a:ln w="25400">
              <a:solidFill>
                <a:schemeClr val="accent6">
                  <a:lumMod val="50000"/>
                </a:schemeClr>
              </a:solidFill>
              <a:prstDash val="lgDash"/>
            </a:ln>
          </c:spPr>
          <c:marker>
            <c:symbol val="none"/>
          </c:marker>
          <c:cat>
            <c:numRef>
              <c:f>'Excel Online'!$C$21:$C$48</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'Excel Online'!$D$21:$D$48</c:f>
              <c:numCache>
                <c:formatCode>"$"#,##0</c:formatCode>
                <c:ptCount val="21"/>
                <c:pt idx="0">
                  <c:v>671.96814800000004</c:v>
                </c:pt>
                <c:pt idx="1">
                  <c:v>791.19674999999995</c:v>
                </c:pt>
                <c:pt idx="2">
                  <c:v>803.60901799999999</c:v>
                </c:pt>
                <c:pt idx="3">
                  <c:v>855.41347099999996</c:v>
                </c:pt>
                <c:pt idx="4">
                  <c:v>946.55045500000006</c:v>
                </c:pt>
                <c:pt idx="5">
                  <c:v>1006.038512</c:v>
                </c:pt>
                <c:pt idx="6">
                  <c:v>960.31786199999999</c:v>
                </c:pt>
                <c:pt idx="7">
                  <c:v>879.00753999999995</c:v>
                </c:pt>
                <c:pt idx="8">
                  <c:v>915.641527</c:v>
                </c:pt>
                <c:pt idx="9">
                  <c:v>989.33277944609983</c:v>
                </c:pt>
                <c:pt idx="10">
                  <c:v>1055.6800817954002</c:v>
                </c:pt>
                <c:pt idx="11">
                  <c:v>1103.3692114154001</c:v>
                </c:pt>
                <c:pt idx="12">
                  <c:v>1109.4845112067997</c:v>
                </c:pt>
                <c:pt idx="13">
                  <c:v>1163.43836182</c:v>
                </c:pt>
                <c:pt idx="14">
                  <c:v>1340.078348003361</c:v>
                </c:pt>
                <c:pt idx="15">
                  <c:v>1525.859956</c:v>
                </c:pt>
                <c:pt idx="16">
                  <c:v>1603.5412040000001</c:v>
                </c:pt>
                <c:pt idx="17">
                  <c:v>1827.279495</c:v>
                </c:pt>
                <c:pt idx="18">
                  <c:v>2041.1707240000001</c:v>
                </c:pt>
                <c:pt idx="19">
                  <c:v>2086.590839</c:v>
                </c:pt>
                <c:pt idx="20">
                  <c:v>2225.1445229999999</c:v>
                </c:pt>
              </c:numCache>
            </c:numRef>
          </c:val>
          <c:smooth val="0"/>
          <c:extLst>
            <c:ext xmlns:c16="http://schemas.microsoft.com/office/drawing/2014/chart" uri="{C3380CC4-5D6E-409C-BE32-E72D297353CC}">
              <c16:uniqueId val="{00000001-4B4C-40FB-83C3-B182645836DF}"/>
            </c:ext>
          </c:extLst>
        </c:ser>
        <c:ser>
          <c:idx val="1"/>
          <c:order val="1"/>
          <c:tx>
            <c:strRef>
              <c:f>'Excel Online'!$E$20</c:f>
              <c:strCache>
                <c:ptCount val="1"/>
                <c:pt idx="0">
                  <c:v>Blind &amp; Disabled</c:v>
                </c:pt>
              </c:strCache>
            </c:strRef>
          </c:tx>
          <c:spPr>
            <a:ln w="25400">
              <a:solidFill>
                <a:srgbClr val="00B050"/>
              </a:solidFill>
              <a:prstDash val="lgDash"/>
            </a:ln>
          </c:spPr>
          <c:marker>
            <c:symbol val="none"/>
          </c:marker>
          <c:cat>
            <c:numRef>
              <c:f>'Excel Online'!$C$21:$C$48</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'Excel Online'!$E$21:$E$48</c:f>
              <c:numCache>
                <c:formatCode>"$"#,##0</c:formatCode>
                <c:ptCount val="21"/>
                <c:pt idx="0">
                  <c:v>941.58224800000005</c:v>
                </c:pt>
                <c:pt idx="1">
                  <c:v>1101.2225800000001</c:v>
                </c:pt>
                <c:pt idx="2">
                  <c:v>1111.8777889999999</c:v>
                </c:pt>
                <c:pt idx="3">
                  <c:v>1190.3993029999999</c:v>
                </c:pt>
                <c:pt idx="4">
                  <c:v>1628.4161799999999</c:v>
                </c:pt>
                <c:pt idx="5">
                  <c:v>1766.8496190000001</c:v>
                </c:pt>
                <c:pt idx="6">
                  <c:v>1927.907845</c:v>
                </c:pt>
                <c:pt idx="7">
                  <c:v>1959.9001000000001</c:v>
                </c:pt>
                <c:pt idx="8">
                  <c:v>2123.2487030000002</c:v>
                </c:pt>
                <c:pt idx="9">
                  <c:v>2367.7721899509997</c:v>
                </c:pt>
                <c:pt idx="10">
                  <c:v>2650.5292772847001</c:v>
                </c:pt>
                <c:pt idx="11">
                  <c:v>2927.3297066775999</c:v>
                </c:pt>
                <c:pt idx="12">
                  <c:v>2933.6973969508995</c:v>
                </c:pt>
                <c:pt idx="13">
                  <c:v>3208.3805018800003</c:v>
                </c:pt>
                <c:pt idx="14">
                  <c:v>3406.900920415228</c:v>
                </c:pt>
                <c:pt idx="15">
                  <c:v>3881.2757360000001</c:v>
                </c:pt>
                <c:pt idx="16">
                  <c:v>4138.4498670000003</c:v>
                </c:pt>
                <c:pt idx="17">
                  <c:v>4321.3270320000001</c:v>
                </c:pt>
                <c:pt idx="18">
                  <c:v>4444.8169390000003</c:v>
                </c:pt>
                <c:pt idx="19">
                  <c:v>4584.1530830000002</c:v>
                </c:pt>
                <c:pt idx="20">
                  <c:v>4654.2581149999996</c:v>
                </c:pt>
              </c:numCache>
            </c:numRef>
          </c:val>
          <c:smooth val="0"/>
          <c:extLst>
            <c:ext xmlns:c16="http://schemas.microsoft.com/office/drawing/2014/chart" uri="{C3380CC4-5D6E-409C-BE32-E72D297353CC}">
              <c16:uniqueId val="{00000003-4B4C-40FB-83C3-B182645836DF}"/>
            </c:ext>
          </c:extLst>
        </c:ser>
        <c:ser>
          <c:idx val="2"/>
          <c:order val="2"/>
          <c:tx>
            <c:strRef>
              <c:f>'Excel Online'!$F$20</c:f>
              <c:strCache>
                <c:ptCount val="1"/>
                <c:pt idx="0">
                  <c:v>Low Income Children</c:v>
                </c:pt>
              </c:strCache>
            </c:strRef>
          </c:tx>
          <c:spPr>
            <a:ln w="25400">
              <a:solidFill>
                <a:srgbClr val="00B0F0"/>
              </a:solidFill>
              <a:prstDash val="lgDash"/>
            </a:ln>
          </c:spPr>
          <c:marker>
            <c:symbol val="none"/>
          </c:marker>
          <c:cat>
            <c:numRef>
              <c:f>'Excel Online'!$C$21:$C$48</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'Excel Online'!$F$21:$F$48</c:f>
              <c:numCache>
                <c:formatCode>"$"#,##0</c:formatCode>
                <c:ptCount val="21"/>
                <c:pt idx="0">
                  <c:v>244.90457799999999</c:v>
                </c:pt>
                <c:pt idx="1">
                  <c:v>306.79774500000002</c:v>
                </c:pt>
                <c:pt idx="2">
                  <c:v>300.55480599999999</c:v>
                </c:pt>
                <c:pt idx="3">
                  <c:v>308.81061799999998</c:v>
                </c:pt>
                <c:pt idx="4">
                  <c:v>636.77858400000002</c:v>
                </c:pt>
                <c:pt idx="5">
                  <c:v>783.73249899999996</c:v>
                </c:pt>
                <c:pt idx="6">
                  <c:v>886.99161600000002</c:v>
                </c:pt>
                <c:pt idx="7">
                  <c:v>924.91150600000003</c:v>
                </c:pt>
                <c:pt idx="8">
                  <c:v>1008.884322</c:v>
                </c:pt>
                <c:pt idx="9">
                  <c:v>1214.9878296749002</c:v>
                </c:pt>
                <c:pt idx="10">
                  <c:v>1457.1908609645002</c:v>
                </c:pt>
                <c:pt idx="11">
                  <c:v>1576.2237225375002</c:v>
                </c:pt>
                <c:pt idx="12">
                  <c:v>1417.1198110169</c:v>
                </c:pt>
                <c:pt idx="13">
                  <c:v>1561.12259582</c:v>
                </c:pt>
                <c:pt idx="14">
                  <c:v>1559.2358475937442</c:v>
                </c:pt>
                <c:pt idx="15">
                  <c:v>1683.699441</c:v>
                </c:pt>
                <c:pt idx="16">
                  <c:v>1703.425743</c:v>
                </c:pt>
                <c:pt idx="17">
                  <c:v>1791.209597</c:v>
                </c:pt>
                <c:pt idx="18">
                  <c:v>1812.4917620000001</c:v>
                </c:pt>
                <c:pt idx="19">
                  <c:v>1867.758448</c:v>
                </c:pt>
                <c:pt idx="20">
                  <c:v>1954.5727429999999</c:v>
                </c:pt>
              </c:numCache>
            </c:numRef>
          </c:val>
          <c:smooth val="0"/>
          <c:extLst>
            <c:ext xmlns:c16="http://schemas.microsoft.com/office/drawing/2014/chart" uri="{C3380CC4-5D6E-409C-BE32-E72D297353CC}">
              <c16:uniqueId val="{00000005-4B4C-40FB-83C3-B182645836DF}"/>
            </c:ext>
          </c:extLst>
        </c:ser>
        <c:ser>
          <c:idx val="3"/>
          <c:order val="3"/>
          <c:tx>
            <c:strRef>
              <c:f>'Excel Online'!$G$20</c:f>
              <c:strCache>
                <c:ptCount val="1"/>
                <c:pt idx="0">
                  <c:v>Low Income Caretaker Adult &amp; Pregnant Women</c:v>
                </c:pt>
              </c:strCache>
            </c:strRef>
          </c:tx>
          <c:spPr>
            <a:ln w="25400">
              <a:solidFill>
                <a:schemeClr val="accent6">
                  <a:lumMod val="75000"/>
                </a:schemeClr>
              </a:solidFill>
              <a:prstDash val="lgDash"/>
            </a:ln>
          </c:spPr>
          <c:marker>
            <c:symbol val="none"/>
          </c:marker>
          <c:cat>
            <c:numRef>
              <c:f>'Excel Online'!$C$21:$C$48</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'Excel Online'!$G$21:$G$48</c:f>
              <c:numCache>
                <c:formatCode>"$"#,##0</c:formatCode>
                <c:ptCount val="21"/>
                <c:pt idx="0">
                  <c:v>132.011617</c:v>
                </c:pt>
                <c:pt idx="1">
                  <c:v>133.55701099999999</c:v>
                </c:pt>
                <c:pt idx="2">
                  <c:v>121.277472</c:v>
                </c:pt>
                <c:pt idx="3">
                  <c:v>116.96871400000001</c:v>
                </c:pt>
                <c:pt idx="4">
                  <c:v>247.55321900000001</c:v>
                </c:pt>
                <c:pt idx="5">
                  <c:v>373.41514799999999</c:v>
                </c:pt>
                <c:pt idx="6">
                  <c:v>420.41281600000002</c:v>
                </c:pt>
                <c:pt idx="7">
                  <c:v>421.49987299999998</c:v>
                </c:pt>
                <c:pt idx="8">
                  <c:v>450.79406399999999</c:v>
                </c:pt>
                <c:pt idx="9">
                  <c:v>483.14534502769993</c:v>
                </c:pt>
                <c:pt idx="10">
                  <c:v>583.78071771779992</c:v>
                </c:pt>
                <c:pt idx="11">
                  <c:v>744.56372915510008</c:v>
                </c:pt>
                <c:pt idx="12">
                  <c:v>659.69938053690009</c:v>
                </c:pt>
                <c:pt idx="13">
                  <c:v>753.57234239000002</c:v>
                </c:pt>
                <c:pt idx="14">
                  <c:v>743.43068368146248</c:v>
                </c:pt>
                <c:pt idx="15">
                  <c:v>836.84603400000003</c:v>
                </c:pt>
                <c:pt idx="16">
                  <c:v>960.65982399999996</c:v>
                </c:pt>
                <c:pt idx="17">
                  <c:v>979.17881999999997</c:v>
                </c:pt>
                <c:pt idx="18">
                  <c:v>1108.950615</c:v>
                </c:pt>
                <c:pt idx="19">
                  <c:v>1033.4138949999999</c:v>
                </c:pt>
                <c:pt idx="20">
                  <c:v>954.35536300000001</c:v>
                </c:pt>
              </c:numCache>
            </c:numRef>
          </c:val>
          <c:smooth val="0"/>
          <c:extLst>
            <c:ext xmlns:c16="http://schemas.microsoft.com/office/drawing/2014/chart" uri="{C3380CC4-5D6E-409C-BE32-E72D297353CC}">
              <c16:uniqueId val="{00000007-4B4C-40FB-83C3-B182645836DF}"/>
            </c:ext>
          </c:extLst>
        </c:ser>
        <c:ser>
          <c:idx val="4"/>
          <c:order val="4"/>
          <c:tx>
            <c:v>Medicaid Expansion</c:v>
          </c:tx>
          <c:spPr>
            <a:ln>
              <a:solidFill>
                <a:schemeClr val="tx1"/>
              </a:solidFill>
            </a:ln>
          </c:spPr>
          <c:marker>
            <c:symbol val="none"/>
          </c:marker>
          <c:cat>
            <c:numRef>
              <c:f>'Excel Online'!$C$21:$C$48</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'Excel Online'!$H$21:$H$48</c:f>
              <c:numCache>
                <c:formatCode>"$"#,##0</c:formatCode>
                <c:ptCount val="21"/>
                <c:pt idx="19">
                  <c:v>862.03816099999995</c:v>
                </c:pt>
                <c:pt idx="20">
                  <c:v>2900.8436889999998</c:v>
                </c:pt>
              </c:numCache>
            </c:numRef>
          </c:val>
          <c:smooth val="0"/>
          <c:extLst>
            <c:ext xmlns:c16="http://schemas.microsoft.com/office/drawing/2014/chart" uri="{C3380CC4-5D6E-409C-BE32-E72D297353CC}">
              <c16:uniqueId val="{00000000-0C30-40A0-8B57-49C171F72A7A}"/>
            </c:ext>
          </c:extLst>
        </c:ser>
        <c:dLbls>
          <c:showLegendKey val="0"/>
          <c:showVal val="0"/>
          <c:showCatName val="0"/>
          <c:showSerName val="0"/>
          <c:showPercent val="0"/>
          <c:showBubbleSize val="0"/>
        </c:dLbls>
        <c:smooth val="0"/>
        <c:axId val="107504768"/>
        <c:axId val="107506304"/>
      </c:lineChart>
      <c:catAx>
        <c:axId val="107504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Book" pitchFamily="34" charset="0"/>
                <a:ea typeface="Verdana"/>
                <a:cs typeface="Verdana"/>
              </a:defRPr>
            </a:pPr>
            <a:endParaRPr lang="en-US"/>
          </a:p>
        </c:txPr>
        <c:crossAx val="107506304"/>
        <c:crosses val="autoZero"/>
        <c:auto val="0"/>
        <c:lblAlgn val="ctr"/>
        <c:lblOffset val="100"/>
        <c:tickLblSkip val="2"/>
        <c:tickMarkSkip val="1"/>
        <c:noMultiLvlLbl val="0"/>
      </c:catAx>
      <c:valAx>
        <c:axId val="107506304"/>
        <c:scaling>
          <c:orientation val="minMax"/>
        </c:scaling>
        <c:delete val="0"/>
        <c:axPos val="l"/>
        <c:majorGridlines>
          <c:spPr>
            <a:ln w="3175">
              <a:solidFill>
                <a:srgbClr val="000000">
                  <a:alpha val="35000"/>
                </a:srgbClr>
              </a:solidFill>
              <a:prstDash val="solid"/>
            </a:ln>
          </c:spPr>
        </c:majorGridlines>
        <c:title>
          <c:tx>
            <c:rich>
              <a:bodyPr/>
              <a:lstStyle/>
              <a:p>
                <a:pPr>
                  <a:defRPr sz="1000" b="0" i="0" u="none" strike="noStrike" baseline="0">
                    <a:solidFill>
                      <a:srgbClr val="000000"/>
                    </a:solidFill>
                    <a:latin typeface="Franklin Gothic Medium" pitchFamily="34" charset="0"/>
                    <a:ea typeface="Verdana"/>
                    <a:cs typeface="Verdana"/>
                  </a:defRPr>
                </a:pPr>
                <a:r>
                  <a:rPr lang="en-US" sz="1000" b="0" i="0" baseline="0">
                    <a:latin typeface="Franklin Gothic Medium" pitchFamily="34" charset="0"/>
                  </a:rPr>
                  <a:t>($ millions)</a:t>
                </a:r>
              </a:p>
            </c:rich>
          </c:tx>
          <c:layout>
            <c:manualLayout>
              <c:xMode val="edge"/>
              <c:yMode val="edge"/>
              <c:x val="6.6489608561188396E-3"/>
              <c:y val="0.44080657424119218"/>
            </c:manualLayout>
          </c:layout>
          <c:overlay val="0"/>
          <c:spPr>
            <a:noFill/>
            <a:ln w="25400">
              <a:noFill/>
            </a:ln>
          </c:spPr>
        </c:title>
        <c:numFmt formatCode="\$#,##0_);\(\$#,##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Book" pitchFamily="34" charset="0"/>
                <a:ea typeface="Verdana"/>
                <a:cs typeface="Verdana"/>
              </a:defRPr>
            </a:pPr>
            <a:endParaRPr lang="en-US"/>
          </a:p>
        </c:txPr>
        <c:crossAx val="107504768"/>
        <c:crosses val="autoZero"/>
        <c:crossBetween val="midCat"/>
      </c:valAx>
      <c:spPr>
        <a:solidFill>
          <a:srgbClr val="FFFFFF"/>
        </a:solidFill>
        <a:ln w="12700">
          <a:solidFill>
            <a:srgbClr val="808080"/>
          </a:solidFill>
          <a:prstDash val="solid"/>
        </a:ln>
      </c:spPr>
    </c:plotArea>
    <c:legend>
      <c:legendPos val="b"/>
      <c:layout/>
      <c:overlay val="0"/>
      <c:txPr>
        <a:bodyPr/>
        <a:lstStyle/>
        <a:p>
          <a:pPr>
            <a:defRPr sz="900" baseline="0">
              <a:latin typeface="Franklin Gothic Book" panose="020B0503020102020204" pitchFamily="34" charset="0"/>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Verdana"/>
          <a:ea typeface="Verdana"/>
          <a:cs typeface="Verdana"/>
        </a:defRPr>
      </a:pPr>
      <a:endParaRPr lang="en-US"/>
    </a:p>
  </c:txPr>
  <c:printSettings>
    <c:headerFooter alignWithMargins="0">
      <c:oddHeader>&amp;A</c:oddHeader>
      <c:oddFooter>Page &amp;P</c:oddFooter>
    </c:headerFooter>
    <c:pageMargins b="1" l="0.75000000000000033" r="0.75000000000000033" t="1" header="0.5" footer="0.5"/>
    <c:pageSetup orientation="landscape" horizontalDpi="-4"/>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581025</xdr:colOff>
      <xdr:row>1</xdr:row>
      <xdr:rowOff>57149</xdr:rowOff>
    </xdr:from>
    <xdr:to>
      <xdr:col>17</xdr:col>
      <xdr:colOff>142875</xdr:colOff>
      <xdr:row>17</xdr:row>
      <xdr:rowOff>22860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0.00935</cdr:x>
      <cdr:y>0.01403</cdr:y>
    </cdr:from>
    <cdr:to>
      <cdr:x>0.99361</cdr:x>
      <cdr:y>0.08543</cdr:y>
    </cdr:to>
    <cdr:sp macro="" textlink="">
      <cdr:nvSpPr>
        <cdr:cNvPr id="46081" name="Text Box 1"/>
        <cdr:cNvSpPr txBox="1">
          <a:spLocks xmlns:a="http://schemas.openxmlformats.org/drawingml/2006/main" noChangeArrowheads="1"/>
        </cdr:cNvSpPr>
      </cdr:nvSpPr>
      <cdr:spPr bwMode="auto">
        <a:xfrm xmlns:a="http://schemas.openxmlformats.org/drawingml/2006/main">
          <a:off x="70262" y="56344"/>
          <a:ext cx="7059382" cy="27071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Franklin Gothic Medium" pitchFamily="34" charset="0"/>
            </a:rPr>
            <a:t>Medicaid Payments, by Category ($ millions)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pane ySplit="1" topLeftCell="A24" activePane="bottomLeft" state="frozen"/>
      <selection pane="bottomLeft" activeCell="F37" sqref="F37"/>
    </sheetView>
  </sheetViews>
  <sheetFormatPr defaultColWidth="9" defaultRowHeight="16.2" x14ac:dyDescent="0.3"/>
  <cols>
    <col min="1" max="1" width="9.8984375" style="2" customWidth="1"/>
    <col min="2" max="2" width="9.3984375" style="2" bestFit="1" customWidth="1"/>
    <col min="3" max="3" width="10.19921875" style="2" customWidth="1"/>
    <col min="4" max="4" width="11.19921875" style="2" customWidth="1"/>
    <col min="5" max="6" width="14.8984375" style="2" customWidth="1"/>
    <col min="7" max="7" width="16" style="141" bestFit="1" customWidth="1"/>
    <col min="8" max="8" width="7.19921875" style="2" bestFit="1" customWidth="1"/>
    <col min="9" max="16384" width="9" style="2"/>
  </cols>
  <sheetData>
    <row r="1" spans="1:8" ht="16.8" x14ac:dyDescent="0.35">
      <c r="A1" s="140" t="s">
        <v>100</v>
      </c>
      <c r="B1" s="123" t="s">
        <v>95</v>
      </c>
      <c r="C1" s="123" t="s">
        <v>96</v>
      </c>
      <c r="D1" s="123" t="s">
        <v>97</v>
      </c>
      <c r="E1" s="123" t="s">
        <v>98</v>
      </c>
      <c r="F1" s="146" t="s">
        <v>114</v>
      </c>
      <c r="G1" s="123" t="s">
        <v>99</v>
      </c>
      <c r="H1" s="123" t="s">
        <v>107</v>
      </c>
    </row>
    <row r="2" spans="1:8" ht="15" customHeight="1" x14ac:dyDescent="0.3">
      <c r="A2" s="124">
        <v>1985</v>
      </c>
      <c r="B2" s="127">
        <f>+stat_book_1985_2007!B2/1000000</f>
        <v>230.621601</v>
      </c>
      <c r="C2" s="127">
        <f>+stat_book_1985_2007!C2/1000000</f>
        <v>190.63491500000001</v>
      </c>
      <c r="D2" s="127">
        <f>+stat_book_1985_2007!D2/1000000</f>
        <v>43.533600999999997</v>
      </c>
      <c r="E2" s="127">
        <f>+stat_book_1985_2007!E2/1000000</f>
        <v>54.358089999999997</v>
      </c>
      <c r="F2" s="127"/>
      <c r="G2" s="127">
        <f>+stat_book_1985_2007!F2/1000000</f>
        <v>5.8433659999999996</v>
      </c>
      <c r="H2" s="127">
        <f t="shared" ref="H2:H13" si="0">SUM(B2:G2)</f>
        <v>524.9915729999999</v>
      </c>
    </row>
    <row r="3" spans="1:8" ht="15" customHeight="1" x14ac:dyDescent="0.3">
      <c r="A3" s="124">
        <v>1986</v>
      </c>
      <c r="B3" s="127">
        <f>+stat_book_1985_2007!B3/1000000</f>
        <v>251.79159799999999</v>
      </c>
      <c r="C3" s="127">
        <f>+stat_book_1985_2007!C3/1000000</f>
        <v>213.68516700000001</v>
      </c>
      <c r="D3" s="127">
        <f>+stat_book_1985_2007!D3/1000000</f>
        <v>48.719169999999998</v>
      </c>
      <c r="E3" s="127">
        <f>+stat_book_1985_2007!E3/1000000</f>
        <v>64.736362</v>
      </c>
      <c r="F3" s="127"/>
      <c r="G3" s="127">
        <f>+stat_book_1985_2007!F3/1000000</f>
        <v>8.0373889999999992</v>
      </c>
      <c r="H3" s="127">
        <f t="shared" si="0"/>
        <v>586.96968599999991</v>
      </c>
    </row>
    <row r="4" spans="1:8" ht="15" customHeight="1" x14ac:dyDescent="0.3">
      <c r="A4" s="124">
        <v>1987</v>
      </c>
      <c r="B4" s="127">
        <f>+stat_book_1985_2007!B4/1000000</f>
        <v>266.81436300000001</v>
      </c>
      <c r="C4" s="127">
        <f>+stat_book_1985_2007!C4/1000000</f>
        <v>243.94535300000001</v>
      </c>
      <c r="D4" s="127">
        <f>+stat_book_1985_2007!D4/1000000</f>
        <v>49.164960999999998</v>
      </c>
      <c r="E4" s="127">
        <f>+stat_book_1985_2007!E4/1000000</f>
        <v>72.190500999999998</v>
      </c>
      <c r="F4" s="127"/>
      <c r="G4" s="127">
        <f>+stat_book_1985_2007!F4/1000000</f>
        <v>11.539787</v>
      </c>
      <c r="H4" s="127">
        <f t="shared" si="0"/>
        <v>643.65496500000006</v>
      </c>
    </row>
    <row r="5" spans="1:8" ht="15" customHeight="1" x14ac:dyDescent="0.3">
      <c r="A5" s="124">
        <v>1988</v>
      </c>
      <c r="B5" s="127">
        <f>+stat_book_1985_2007!B5/1000000</f>
        <v>302.692499</v>
      </c>
      <c r="C5" s="127">
        <f>+stat_book_1985_2007!C5/1000000</f>
        <v>278.79752100000002</v>
      </c>
      <c r="D5" s="127">
        <f>+stat_book_1985_2007!D5/1000000</f>
        <v>56.175685000000001</v>
      </c>
      <c r="E5" s="127">
        <f>+stat_book_1985_2007!E5/1000000</f>
        <v>81.796322000000004</v>
      </c>
      <c r="F5" s="127"/>
      <c r="G5" s="127">
        <f>+stat_book_1985_2007!F5/1000000</f>
        <v>19.2837</v>
      </c>
      <c r="H5" s="127">
        <f t="shared" si="0"/>
        <v>738.74572699999999</v>
      </c>
    </row>
    <row r="6" spans="1:8" ht="15" customHeight="1" x14ac:dyDescent="0.3">
      <c r="A6" s="124">
        <v>1989</v>
      </c>
      <c r="B6" s="127">
        <f>+stat_book_1985_2007!B6/1000000</f>
        <v>319.29207600000001</v>
      </c>
      <c r="C6" s="127">
        <f>+stat_book_1985_2007!C6/1000000</f>
        <v>300.06522200000001</v>
      </c>
      <c r="D6" s="127">
        <f>+stat_book_1985_2007!D6/1000000</f>
        <v>71.226517999999999</v>
      </c>
      <c r="E6" s="127">
        <f>+stat_book_1985_2007!E6/1000000</f>
        <v>94.225959000000003</v>
      </c>
      <c r="F6" s="127"/>
      <c r="G6" s="127">
        <f>+stat_book_1985_2007!F6/1000000</f>
        <v>23.652422999999999</v>
      </c>
      <c r="H6" s="127">
        <f t="shared" si="0"/>
        <v>808.46219800000006</v>
      </c>
    </row>
    <row r="7" spans="1:8" ht="15" customHeight="1" x14ac:dyDescent="0.3">
      <c r="A7" s="124">
        <v>1990</v>
      </c>
      <c r="B7" s="127">
        <f>+stat_book_1985_2007!B7/1000000</f>
        <v>347.87333899999999</v>
      </c>
      <c r="C7" s="127">
        <f>+stat_book_1985_2007!C7/1000000</f>
        <v>334.60569600000002</v>
      </c>
      <c r="D7" s="127">
        <f>+stat_book_1985_2007!D7/1000000</f>
        <v>113.274466</v>
      </c>
      <c r="E7" s="127">
        <f>+stat_book_1985_2007!E7/1000000</f>
        <v>112.899857</v>
      </c>
      <c r="F7" s="127"/>
      <c r="G7" s="127">
        <f>+stat_book_1985_2007!F7/1000000</f>
        <v>0</v>
      </c>
      <c r="H7" s="127">
        <f t="shared" si="0"/>
        <v>908.65335800000003</v>
      </c>
    </row>
    <row r="8" spans="1:8" ht="15" customHeight="1" x14ac:dyDescent="0.3">
      <c r="A8" s="124">
        <v>1991</v>
      </c>
      <c r="B8" s="127">
        <f>+stat_book_1985_2007!B8/1000000</f>
        <v>431.47472900000002</v>
      </c>
      <c r="C8" s="127">
        <f>+stat_book_1985_2007!C8/1000000</f>
        <v>417.28895</v>
      </c>
      <c r="D8" s="127">
        <f>+stat_book_1985_2007!D8/1000000</f>
        <v>174.58380600000001</v>
      </c>
      <c r="E8" s="127">
        <f>+stat_book_1985_2007!E8/1000000</f>
        <v>164.35169400000001</v>
      </c>
      <c r="F8" s="127"/>
      <c r="G8" s="127">
        <f>+stat_book_1985_2007!F8/1000000</f>
        <v>0</v>
      </c>
      <c r="H8" s="127">
        <f t="shared" si="0"/>
        <v>1187.699179</v>
      </c>
    </row>
    <row r="9" spans="1:8" ht="15" customHeight="1" x14ac:dyDescent="0.3">
      <c r="A9" s="124">
        <v>1992</v>
      </c>
      <c r="B9" s="127">
        <f>+stat_book_1985_2007!B9/1000000</f>
        <v>467.264319</v>
      </c>
      <c r="C9" s="127">
        <f>+stat_book_1985_2007!C9/1000000</f>
        <v>489.647738</v>
      </c>
      <c r="D9" s="127">
        <f>+stat_book_1985_2007!D9/1000000</f>
        <v>229.914537</v>
      </c>
      <c r="E9" s="127">
        <f>+stat_book_1985_2007!E9/1000000</f>
        <v>203.477654</v>
      </c>
      <c r="F9" s="127"/>
      <c r="G9" s="127">
        <f>+stat_book_1985_2007!F9/1000000</f>
        <v>0</v>
      </c>
      <c r="H9" s="127">
        <f t="shared" si="0"/>
        <v>1390.3042480000001</v>
      </c>
    </row>
    <row r="10" spans="1:8" ht="15" customHeight="1" x14ac:dyDescent="0.3">
      <c r="A10" s="124">
        <v>1993</v>
      </c>
      <c r="B10" s="127">
        <f>+stat_book_1985_2007!B10/1000000</f>
        <v>523.40384100000006</v>
      </c>
      <c r="C10" s="127">
        <f>+stat_book_1985_2007!C10/1000000</f>
        <v>584.69809599999996</v>
      </c>
      <c r="D10" s="127">
        <f>+stat_book_1985_2007!D10/1000000</f>
        <v>300.71387299999998</v>
      </c>
      <c r="E10" s="127">
        <f>+stat_book_1985_2007!E10/1000000</f>
        <v>240.07623000000001</v>
      </c>
      <c r="F10" s="127"/>
      <c r="G10" s="127">
        <f>+stat_book_1985_2007!F10/1000000</f>
        <v>0</v>
      </c>
      <c r="H10" s="127">
        <f t="shared" si="0"/>
        <v>1648.8920399999997</v>
      </c>
    </row>
    <row r="11" spans="1:8" ht="15" customHeight="1" x14ac:dyDescent="0.3">
      <c r="A11" s="124">
        <v>1994</v>
      </c>
      <c r="B11" s="127">
        <f>+stat_book_1985_2007!B11/1000000</f>
        <v>541.31640700000003</v>
      </c>
      <c r="C11" s="127">
        <f>+stat_book_1985_2007!C11/1000000</f>
        <v>621.84389599999997</v>
      </c>
      <c r="D11" s="127">
        <f>+stat_book_1985_2007!D11/1000000</f>
        <v>286.28258599999998</v>
      </c>
      <c r="E11" s="127">
        <f>+stat_book_1985_2007!E11/1000000</f>
        <v>220.11158399999999</v>
      </c>
      <c r="F11" s="127"/>
      <c r="G11" s="127">
        <f>+stat_book_1985_2007!F11/1000000</f>
        <v>0</v>
      </c>
      <c r="H11" s="127">
        <f t="shared" si="0"/>
        <v>1669.5544730000001</v>
      </c>
    </row>
    <row r="12" spans="1:8" ht="15" customHeight="1" x14ac:dyDescent="0.3">
      <c r="A12" s="124">
        <v>1995</v>
      </c>
      <c r="B12" s="127">
        <f>+stat_book_1985_2007!B12/1000000</f>
        <v>565.66850399999998</v>
      </c>
      <c r="C12" s="127">
        <f>+stat_book_1985_2007!C12/1000000</f>
        <v>715.47388999999998</v>
      </c>
      <c r="D12" s="127">
        <f>+stat_book_1985_2007!D12/1000000</f>
        <v>336.84953899999999</v>
      </c>
      <c r="E12" s="127">
        <f>+stat_book_1985_2007!E12/1000000</f>
        <v>223.37357800000001</v>
      </c>
      <c r="F12" s="127"/>
      <c r="G12" s="127">
        <f>+stat_book_1985_2007!F12/1000000</f>
        <v>0</v>
      </c>
      <c r="H12" s="127">
        <f t="shared" si="0"/>
        <v>1841.365511</v>
      </c>
    </row>
    <row r="13" spans="1:8" ht="15" customHeight="1" x14ac:dyDescent="0.3">
      <c r="A13" s="124">
        <v>1996</v>
      </c>
      <c r="B13" s="127">
        <f>+stat_book_1985_2007!B13/1000000</f>
        <v>577.52848200000005</v>
      </c>
      <c r="C13" s="127">
        <f>+stat_book_1985_2007!C13/1000000</f>
        <v>756.73389799999995</v>
      </c>
      <c r="D13" s="127">
        <f>+stat_book_1985_2007!D13/1000000</f>
        <v>282.91224499999998</v>
      </c>
      <c r="E13" s="127">
        <f>+stat_book_1985_2007!E13/1000000</f>
        <v>173.130753</v>
      </c>
      <c r="F13" s="127"/>
      <c r="G13" s="127">
        <f>+stat_book_1985_2007!F13/1000000</f>
        <v>268.49462158000006</v>
      </c>
      <c r="H13" s="127">
        <f t="shared" si="0"/>
        <v>2058.7999995800001</v>
      </c>
    </row>
    <row r="14" spans="1:8" ht="15" customHeight="1" x14ac:dyDescent="0.3">
      <c r="A14" s="124">
        <v>1997</v>
      </c>
      <c r="B14" s="127">
        <f>+stat_book_1985_2007!B14/1000000</f>
        <v>612.00540899999999</v>
      </c>
      <c r="C14" s="127">
        <f>+stat_book_1985_2007!C14/1000000</f>
        <v>803.566776</v>
      </c>
      <c r="D14" s="127">
        <f>+stat_book_1985_2007!D14/1000000</f>
        <v>287.80631799999998</v>
      </c>
      <c r="E14" s="127">
        <f>+stat_book_1985_2007!E14/1000000</f>
        <v>127.0346</v>
      </c>
      <c r="F14" s="127"/>
      <c r="G14" s="127">
        <f>+stat_book_1985_2007!F14/1000000</f>
        <v>311.38689693000015</v>
      </c>
      <c r="H14" s="127">
        <f t="shared" ref="H14:H15" si="1">SUM(B14:G14)</f>
        <v>2141.79999993</v>
      </c>
    </row>
    <row r="15" spans="1:8" ht="15" customHeight="1" x14ac:dyDescent="0.3">
      <c r="A15" s="124">
        <v>1998</v>
      </c>
      <c r="B15" s="127">
        <f>+stat_book_1985_2007!B15/1000000</f>
        <v>631.04963799999996</v>
      </c>
      <c r="C15" s="127">
        <f>+stat_book_1985_2007!C15/1000000</f>
        <v>852.36452899999995</v>
      </c>
      <c r="D15" s="127">
        <f>+stat_book_1985_2007!D15/1000000</f>
        <v>300.45790399999998</v>
      </c>
      <c r="E15" s="127">
        <f>+stat_book_1985_2007!E15/1000000</f>
        <v>125.696158</v>
      </c>
      <c r="F15" s="127"/>
      <c r="G15" s="127">
        <f>+stat_book_1985_2007!F15/1000000</f>
        <v>327.53176600000006</v>
      </c>
      <c r="H15" s="127">
        <f t="shared" si="1"/>
        <v>2237.0999949999996</v>
      </c>
    </row>
    <row r="16" spans="1:8" ht="15" customHeight="1" x14ac:dyDescent="0.3">
      <c r="A16" s="124">
        <v>1999</v>
      </c>
      <c r="B16" s="127">
        <f>(+'Stat Book'!B18/1000000)</f>
        <v>627.87708299999997</v>
      </c>
      <c r="C16" s="127">
        <f>(+'Stat Book'!B28/1000000)</f>
        <v>882.18036300000006</v>
      </c>
      <c r="D16" s="127">
        <f>(+'Stat Book'!B38/1000000)</f>
        <v>268.40482300000002</v>
      </c>
      <c r="E16" s="127">
        <f>(+'Stat Book'!B68/1000000)</f>
        <v>148.00185300000001</v>
      </c>
      <c r="F16" s="127"/>
      <c r="G16" s="127">
        <f>(+'Stat Book'!B6/1000000)</f>
        <v>537.04498999999998</v>
      </c>
      <c r="H16" s="127">
        <f t="shared" ref="H16:H37" si="2">SUM(B16:G16)</f>
        <v>2463.5091120000002</v>
      </c>
    </row>
    <row r="17" spans="1:8" ht="15" customHeight="1" x14ac:dyDescent="0.3">
      <c r="A17" s="124">
        <v>2000</v>
      </c>
      <c r="B17" s="127">
        <f>(+'Stat Book'!C18/1000000)</f>
        <v>671.96814800000004</v>
      </c>
      <c r="C17" s="127">
        <f>(+'Stat Book'!C28/1000000)</f>
        <v>941.58224800000005</v>
      </c>
      <c r="D17" s="127">
        <f>(+'Stat Book'!C38/1000000)</f>
        <v>244.90457799999999</v>
      </c>
      <c r="E17" s="127">
        <f>(+'Stat Book'!C68/1000000)</f>
        <v>132.011617</v>
      </c>
      <c r="F17" s="127"/>
      <c r="G17" s="127">
        <f>(+'Stat Book'!C6/1000000)</f>
        <v>743.63599499999998</v>
      </c>
      <c r="H17" s="127">
        <f t="shared" si="2"/>
        <v>2734.102586</v>
      </c>
    </row>
    <row r="18" spans="1:8" ht="15" customHeight="1" x14ac:dyDescent="0.3">
      <c r="A18" s="124">
        <v>2001</v>
      </c>
      <c r="B18" s="127">
        <f>(+'Stat Book'!D18/1000000)</f>
        <v>791.19674999999995</v>
      </c>
      <c r="C18" s="127">
        <f>(+'Stat Book'!D28/1000000)</f>
        <v>1101.2225800000001</v>
      </c>
      <c r="D18" s="127">
        <f>(+'Stat Book'!D38/1000000)</f>
        <v>306.79774500000002</v>
      </c>
      <c r="E18" s="127">
        <f>(+'Stat Book'!D68/1000000)</f>
        <v>133.55701099999999</v>
      </c>
      <c r="F18" s="127"/>
      <c r="G18" s="127">
        <f>(+'Stat Book'!D6/1000000)</f>
        <v>701.50703688999988</v>
      </c>
      <c r="H18" s="127">
        <f t="shared" si="2"/>
        <v>3034.28112289</v>
      </c>
    </row>
    <row r="19" spans="1:8" ht="15" customHeight="1" x14ac:dyDescent="0.3">
      <c r="A19" s="124">
        <v>2002</v>
      </c>
      <c r="B19" s="127">
        <f>(+'Stat Book'!E18/1000000)</f>
        <v>803.60901799999999</v>
      </c>
      <c r="C19" s="127">
        <f>(+'Stat Book'!E28/1000000)</f>
        <v>1111.8777889999999</v>
      </c>
      <c r="D19" s="127">
        <f>(+'Stat Book'!E38/1000000)</f>
        <v>300.55480599999999</v>
      </c>
      <c r="E19" s="127">
        <f>(+'Stat Book'!E68/1000000)</f>
        <v>121.277472</v>
      </c>
      <c r="F19" s="127"/>
      <c r="G19" s="127">
        <f>(+'Stat Book'!E6/1000000)</f>
        <v>1342.2032857400002</v>
      </c>
      <c r="H19" s="127">
        <f t="shared" si="2"/>
        <v>3679.52237074</v>
      </c>
    </row>
    <row r="20" spans="1:8" ht="15" customHeight="1" x14ac:dyDescent="0.3">
      <c r="A20" s="124">
        <v>2003</v>
      </c>
      <c r="B20" s="127">
        <f>(+'Stat Book'!F18/1000000)</f>
        <v>855.41347099999996</v>
      </c>
      <c r="C20" s="127">
        <f>(+'Stat Book'!F28/1000000)</f>
        <v>1190.3993029999999</v>
      </c>
      <c r="D20" s="127">
        <f>(+'Stat Book'!F38/1000000)</f>
        <v>308.81061799999998</v>
      </c>
      <c r="E20" s="127">
        <f>(+'Stat Book'!F68/1000000)</f>
        <v>116.96871400000001</v>
      </c>
      <c r="F20" s="127"/>
      <c r="G20" s="127">
        <f>(+'Stat Book'!F6/1000000)</f>
        <v>1155.491092</v>
      </c>
      <c r="H20" s="127">
        <f t="shared" si="2"/>
        <v>3627.0831980000003</v>
      </c>
    </row>
    <row r="21" spans="1:8" ht="15" customHeight="1" x14ac:dyDescent="0.3">
      <c r="A21" s="124">
        <v>2004</v>
      </c>
      <c r="B21" s="127">
        <f>(+'Stat Book'!G18/1000000)</f>
        <v>946.55045500000006</v>
      </c>
      <c r="C21" s="127">
        <f>(+'Stat Book'!G28/1000000)</f>
        <v>1628.4161799999999</v>
      </c>
      <c r="D21" s="127">
        <f>(+'Stat Book'!G38/1000000)</f>
        <v>636.77858400000002</v>
      </c>
      <c r="E21" s="127">
        <f>(+'Stat Book'!G68/1000000)</f>
        <v>247.55321900000001</v>
      </c>
      <c r="F21" s="127"/>
      <c r="G21" s="127">
        <f>(+'Stat Book'!G6/1000000)</f>
        <v>436.16832799999997</v>
      </c>
      <c r="H21" s="127">
        <f t="shared" si="2"/>
        <v>3895.4667659999996</v>
      </c>
    </row>
    <row r="22" spans="1:8" ht="15" customHeight="1" x14ac:dyDescent="0.3">
      <c r="A22" s="124">
        <v>2005</v>
      </c>
      <c r="B22" s="127">
        <f>(+'Stat Book'!H18/1000000)</f>
        <v>1006.038512</v>
      </c>
      <c r="C22" s="127">
        <f>(+'Stat Book'!H28/1000000)</f>
        <v>1766.8496190000001</v>
      </c>
      <c r="D22" s="127">
        <f>(+'Stat Book'!H38/1000000)</f>
        <v>783.73249899999996</v>
      </c>
      <c r="E22" s="127">
        <f>(+'Stat Book'!H68/1000000)</f>
        <v>373.41514799999999</v>
      </c>
      <c r="F22" s="127"/>
      <c r="G22" s="127">
        <f>(+'Stat Book'!H6/1000000)</f>
        <v>464.37845914999963</v>
      </c>
      <c r="H22" s="127">
        <f t="shared" si="2"/>
        <v>4394.4142371500002</v>
      </c>
    </row>
    <row r="23" spans="1:8" ht="15" customHeight="1" x14ac:dyDescent="0.3">
      <c r="A23" s="124">
        <v>2006</v>
      </c>
      <c r="B23" s="127">
        <f>(+'Stat Book'!I18/1000000)</f>
        <v>960.31786199999999</v>
      </c>
      <c r="C23" s="127">
        <f>(+'Stat Book'!I28/1000000)</f>
        <v>1927.907845</v>
      </c>
      <c r="D23" s="127">
        <f>(+'Stat Book'!I38/1000000)</f>
        <v>886.99161600000002</v>
      </c>
      <c r="E23" s="127">
        <f>(+'Stat Book'!I68/1000000)</f>
        <v>420.41281600000002</v>
      </c>
      <c r="F23" s="127"/>
      <c r="G23" s="127">
        <f>(+'Stat Book'!I6/1000000)</f>
        <v>577.04713171000003</v>
      </c>
      <c r="H23" s="127">
        <f t="shared" si="2"/>
        <v>4772.6772707099999</v>
      </c>
    </row>
    <row r="24" spans="1:8" ht="15" customHeight="1" x14ac:dyDescent="0.3">
      <c r="A24" s="124">
        <v>2007</v>
      </c>
      <c r="B24" s="127">
        <f>(+'Stat Book'!J18/1000000)</f>
        <v>879.00753999999995</v>
      </c>
      <c r="C24" s="127">
        <f>(+'Stat Book'!J28/1000000)</f>
        <v>1959.9001000000001</v>
      </c>
      <c r="D24" s="127">
        <f>(+'Stat Book'!J38/1000000)</f>
        <v>924.91150600000003</v>
      </c>
      <c r="E24" s="127">
        <f>(+'Stat Book'!J68/1000000)</f>
        <v>421.49987299999998</v>
      </c>
      <c r="F24" s="127"/>
      <c r="G24" s="127">
        <f>(+'Stat Book'!J6/1000000)</f>
        <v>856.8808274699993</v>
      </c>
      <c r="H24" s="127">
        <f t="shared" si="2"/>
        <v>5042.1998464699991</v>
      </c>
    </row>
    <row r="25" spans="1:8" ht="15" customHeight="1" x14ac:dyDescent="0.3">
      <c r="A25" s="124">
        <v>2008</v>
      </c>
      <c r="B25" s="127">
        <f>(+'Stat Book'!K18/1000000)</f>
        <v>915.641527</v>
      </c>
      <c r="C25" s="127">
        <f>(+'Stat Book'!K28/1000000)</f>
        <v>2123.2487030000002</v>
      </c>
      <c r="D25" s="127">
        <f>(+'Stat Book'!K38/1000000)</f>
        <v>1008.884322</v>
      </c>
      <c r="E25" s="127">
        <f>(+'Stat Book'!K68/1000000)</f>
        <v>450.79406399999999</v>
      </c>
      <c r="F25" s="127"/>
      <c r="G25" s="127">
        <f>(+'Stat Book'!K6/1000000)</f>
        <v>844.06227293000029</v>
      </c>
      <c r="H25" s="127">
        <f t="shared" si="2"/>
        <v>5342.6308889299999</v>
      </c>
    </row>
    <row r="26" spans="1:8" ht="15" customHeight="1" x14ac:dyDescent="0.3">
      <c r="A26" s="124">
        <v>2009</v>
      </c>
      <c r="B26" s="127">
        <f>(+'Stat Book'!L18/1000000)</f>
        <v>989.33277944609983</v>
      </c>
      <c r="C26" s="127">
        <f>(+'Stat Book'!L28/1000000)</f>
        <v>2367.7721899509997</v>
      </c>
      <c r="D26" s="127">
        <f>(+'Stat Book'!L38/1000000)</f>
        <v>1214.9878296749002</v>
      </c>
      <c r="E26" s="127">
        <f>(+'Stat Book'!L68/1000000)</f>
        <v>483.14534502769993</v>
      </c>
      <c r="F26" s="127"/>
      <c r="G26" s="127">
        <f>(+'Stat Book'!L6/1000000)</f>
        <v>717.0572212312012</v>
      </c>
      <c r="H26" s="127">
        <f t="shared" si="2"/>
        <v>5772.2953653309005</v>
      </c>
    </row>
    <row r="27" spans="1:8" ht="15" customHeight="1" x14ac:dyDescent="0.3">
      <c r="A27" s="124">
        <v>2010</v>
      </c>
      <c r="B27" s="127">
        <f>(+'Stat Book'!M18/1000000)</f>
        <v>1055.6800817954002</v>
      </c>
      <c r="C27" s="127">
        <f>(+'Stat Book'!M28/1000000)</f>
        <v>2650.5292772847001</v>
      </c>
      <c r="D27" s="127">
        <f>(+'Stat Book'!M38/1000000)</f>
        <v>1457.1908609645002</v>
      </c>
      <c r="E27" s="127">
        <f>(+'Stat Book'!M68/1000000)</f>
        <v>583.78071771779992</v>
      </c>
      <c r="F27" s="127"/>
      <c r="G27" s="127">
        <f>(+'Stat Book'!M6/1000000)</f>
        <v>801.74092376300052</v>
      </c>
      <c r="H27" s="127">
        <f t="shared" si="2"/>
        <v>6548.9218615254022</v>
      </c>
    </row>
    <row r="28" spans="1:8" ht="15" customHeight="1" x14ac:dyDescent="0.3">
      <c r="A28" s="124">
        <v>2011</v>
      </c>
      <c r="B28" s="127">
        <f>(+'Stat Book'!N18/1000000)</f>
        <v>1103.3692114154001</v>
      </c>
      <c r="C28" s="127">
        <f>(+'Stat Book'!N28/1000000)</f>
        <v>2927.3297066775999</v>
      </c>
      <c r="D28" s="127">
        <f>(+'Stat Book'!N38/1000000)</f>
        <v>1576.2237225375002</v>
      </c>
      <c r="E28" s="127">
        <f>(+'Stat Book'!N68/1000000)</f>
        <v>744.56372915510008</v>
      </c>
      <c r="F28" s="127"/>
      <c r="G28" s="127">
        <f>(+'Stat Book'!N6/1000000)</f>
        <v>814.6828565372</v>
      </c>
      <c r="H28" s="127">
        <f t="shared" si="2"/>
        <v>7166.1692263228006</v>
      </c>
    </row>
    <row r="29" spans="1:8" ht="15" customHeight="1" x14ac:dyDescent="0.3">
      <c r="A29" s="124">
        <v>2012</v>
      </c>
      <c r="B29" s="127">
        <f>(+'Stat Book'!O18/1000000)</f>
        <v>1109.4845112067997</v>
      </c>
      <c r="C29" s="127">
        <f>(+'Stat Book'!O28/1000000)</f>
        <v>2933.6973969508995</v>
      </c>
      <c r="D29" s="127">
        <f>(+'Stat Book'!O38/1000000)</f>
        <v>1417.1198110169</v>
      </c>
      <c r="E29" s="127">
        <f>(+'Stat Book'!O68/1000000)</f>
        <v>659.69938053690009</v>
      </c>
      <c r="F29" s="127"/>
      <c r="G29" s="127">
        <f>(+'Stat Book'!O6/1000000)</f>
        <v>913.37123543019777</v>
      </c>
      <c r="H29" s="127">
        <f t="shared" si="2"/>
        <v>7033.3723351416975</v>
      </c>
    </row>
    <row r="30" spans="1:8" ht="15" customHeight="1" x14ac:dyDescent="0.3">
      <c r="A30" s="124">
        <v>2013</v>
      </c>
      <c r="B30" s="127">
        <f>(+'Stat Book'!P18/1000000)</f>
        <v>1163.43836182</v>
      </c>
      <c r="C30" s="127">
        <f>(+'Stat Book'!P28/1000000)</f>
        <v>3208.3805018800003</v>
      </c>
      <c r="D30" s="127">
        <f>(+'Stat Book'!P38/1000000)</f>
        <v>1561.12259582</v>
      </c>
      <c r="E30" s="127">
        <f>(+'Stat Book'!P68/1000000)</f>
        <v>753.57234239000002</v>
      </c>
      <c r="F30" s="127"/>
      <c r="G30" s="127">
        <f>(+'Stat Book'!P6/1000000)</f>
        <v>947.91253672000119</v>
      </c>
      <c r="H30" s="127">
        <f t="shared" si="2"/>
        <v>7634.4263386300017</v>
      </c>
    </row>
    <row r="31" spans="1:8" ht="15" customHeight="1" x14ac:dyDescent="0.3">
      <c r="A31" s="124">
        <v>2014</v>
      </c>
      <c r="B31" s="127">
        <f>(+'Stat Book'!Q18/1000000)</f>
        <v>1340.078348003361</v>
      </c>
      <c r="C31" s="127">
        <f>(+'Stat Book'!Q28/1000000)</f>
        <v>3406.900920415228</v>
      </c>
      <c r="D31" s="127">
        <f>(+'Stat Book'!Q38/1000000)</f>
        <v>1559.2358475937442</v>
      </c>
      <c r="E31" s="127">
        <f>(+'Stat Book'!Q68/1000000)</f>
        <v>743.43068368146248</v>
      </c>
      <c r="F31" s="127"/>
      <c r="G31" s="127">
        <f>(+'Stat Book'!Q6/1000000)</f>
        <v>844.96269530620384</v>
      </c>
      <c r="H31" s="127">
        <f t="shared" si="2"/>
        <v>7894.6084949999986</v>
      </c>
    </row>
    <row r="32" spans="1:8" ht="15" customHeight="1" x14ac:dyDescent="0.3">
      <c r="A32" s="124">
        <v>2015</v>
      </c>
      <c r="B32" s="127">
        <f>(+'Stat Book'!R18/1000000)</f>
        <v>1525.859956</v>
      </c>
      <c r="C32" s="127">
        <f>(+'Stat Book'!R28/1000000)</f>
        <v>3881.2757360000001</v>
      </c>
      <c r="D32" s="127">
        <f>(+'Stat Book'!R38/1000000)</f>
        <v>1683.699441</v>
      </c>
      <c r="E32" s="127">
        <f>(+'Stat Book'!R68/1000000)</f>
        <v>836.84603400000003</v>
      </c>
      <c r="F32" s="127"/>
      <c r="G32" s="127">
        <f>(+'Stat Book'!R6/1000000)</f>
        <v>309.53655400000002</v>
      </c>
      <c r="H32" s="127">
        <f t="shared" si="2"/>
        <v>8237.2177209999991</v>
      </c>
    </row>
    <row r="33" spans="1:8" ht="15" customHeight="1" x14ac:dyDescent="0.3">
      <c r="A33" s="124">
        <v>2016</v>
      </c>
      <c r="B33" s="127">
        <f>(+'Stat Book'!S18/1000000)</f>
        <v>1603.5412040000001</v>
      </c>
      <c r="C33" s="127">
        <f>(+'Stat Book'!S28/1000000)</f>
        <v>4138.4498670000003</v>
      </c>
      <c r="D33" s="127">
        <f>(+'Stat Book'!S38/1000000)</f>
        <v>1703.425743</v>
      </c>
      <c r="E33" s="127">
        <f>(+'Stat Book'!S68/1000000)</f>
        <v>960.65982399999996</v>
      </c>
      <c r="F33" s="127"/>
      <c r="G33" s="127">
        <f>(+'Stat Book'!S6/1000000)</f>
        <v>433.26493827000047</v>
      </c>
      <c r="H33" s="127">
        <f t="shared" si="2"/>
        <v>8839.3415762700006</v>
      </c>
    </row>
    <row r="34" spans="1:8" x14ac:dyDescent="0.3">
      <c r="A34" s="124">
        <v>2017</v>
      </c>
      <c r="B34" s="127">
        <f>(+'Stat Book'!T18/1000000)</f>
        <v>1827.279495</v>
      </c>
      <c r="C34" s="127">
        <f>(+'Stat Book'!T28/1000000)</f>
        <v>4321.3270320000001</v>
      </c>
      <c r="D34" s="127">
        <f>(+'Stat Book'!T38/1000000)</f>
        <v>1791.209597</v>
      </c>
      <c r="E34" s="127">
        <f>(+'Stat Book'!T68/1000000)</f>
        <v>979.17881999999997</v>
      </c>
      <c r="F34" s="127"/>
      <c r="G34" s="127">
        <f>(+'Stat Book'!T6/1000000)</f>
        <v>450.04926899999998</v>
      </c>
      <c r="H34" s="127">
        <f t="shared" si="2"/>
        <v>9369.0442129999992</v>
      </c>
    </row>
    <row r="35" spans="1:8" x14ac:dyDescent="0.3">
      <c r="A35" s="124">
        <v>2018</v>
      </c>
      <c r="B35" s="127">
        <f>(+'Stat Book'!U18/1000000)</f>
        <v>2041.1707240000001</v>
      </c>
      <c r="C35" s="127">
        <f>(+'Stat Book'!U28/1000000)</f>
        <v>4444.8169390000003</v>
      </c>
      <c r="D35" s="127">
        <f>(+'Stat Book'!U38/1000000)</f>
        <v>1812.4917620000001</v>
      </c>
      <c r="E35" s="127">
        <f>(+'Stat Book'!U68/1000000)</f>
        <v>1108.950615</v>
      </c>
      <c r="F35" s="127"/>
      <c r="G35" s="127">
        <f>(+'Stat Book'!U6/1000000)</f>
        <v>441.55440636999703</v>
      </c>
      <c r="H35" s="127">
        <f t="shared" si="2"/>
        <v>9848.9844463699956</v>
      </c>
    </row>
    <row r="36" spans="1:8" x14ac:dyDescent="0.3">
      <c r="A36" s="124">
        <v>2019</v>
      </c>
      <c r="B36" s="127">
        <f>(+'Stat Book'!V18/1000000)</f>
        <v>2086.590839</v>
      </c>
      <c r="C36" s="127">
        <f>(+'Stat Book'!V28/1000000)</f>
        <v>4584.1530830000002</v>
      </c>
      <c r="D36" s="127">
        <f>(+'Stat Book'!V38/1000000)</f>
        <v>1867.758448</v>
      </c>
      <c r="E36" s="127">
        <f>(+'Stat Book'!V68/1000000)</f>
        <v>1033.4138949999999</v>
      </c>
      <c r="F36" s="143">
        <f>(+'Stat Book'!V70/1000000)</f>
        <v>862.03816099999995</v>
      </c>
      <c r="G36" s="127">
        <f>(+'Stat Book'!V6/1000000)</f>
        <v>855.65226772999767</v>
      </c>
      <c r="H36" s="127">
        <f t="shared" si="2"/>
        <v>11289.606693729998</v>
      </c>
    </row>
    <row r="37" spans="1:8" x14ac:dyDescent="0.3">
      <c r="A37" s="124">
        <v>2020</v>
      </c>
      <c r="B37" s="127">
        <f>(+'Stat Book'!W18/1000000)</f>
        <v>2225.1445229999999</v>
      </c>
      <c r="C37" s="127">
        <f>(+'Stat Book'!W28/1000000)</f>
        <v>4654.2581149999996</v>
      </c>
      <c r="D37" s="127">
        <f>(+'Stat Book'!W38/1000000)</f>
        <v>1954.5727429999999</v>
      </c>
      <c r="E37" s="127">
        <f>(+'Stat Book'!W68/1000000)</f>
        <v>954.35536300000001</v>
      </c>
      <c r="F37" s="143">
        <f>(+'Stat Book'!W70/1000000)</f>
        <v>2900.8436889999998</v>
      </c>
      <c r="G37" s="127">
        <f>(+'Stat Book'!$W6/1000000)</f>
        <v>1150.6421791099949</v>
      </c>
      <c r="H37" s="127">
        <f t="shared" si="2"/>
        <v>13839.816612109995</v>
      </c>
    </row>
  </sheetData>
  <pageMargins left="0.3" right="0.3" top="0.3" bottom="0.3" header="0" footer="0"/>
  <pageSetup orientation="portrait" r:id="rId1"/>
  <headerFooter alignWithMargins="0">
    <oddHeader>&amp;C&amp;"palatino linotpe,Bold"&amp;14Medicaid Payments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topLeftCell="A15" workbookViewId="0">
      <selection activeCell="G44" sqref="G44"/>
    </sheetView>
  </sheetViews>
  <sheetFormatPr defaultColWidth="9" defaultRowHeight="16.2" x14ac:dyDescent="0.3"/>
  <cols>
    <col min="1" max="1" width="9.8984375" style="2" customWidth="1"/>
    <col min="2" max="2" width="9.3984375" style="2" bestFit="1" customWidth="1"/>
    <col min="3" max="3" width="10.19921875" style="2" bestFit="1" customWidth="1"/>
    <col min="4" max="4" width="11.19921875" style="2" bestFit="1" customWidth="1"/>
    <col min="5" max="5" width="14.8984375" style="2" bestFit="1" customWidth="1"/>
    <col min="6" max="6" width="14.8984375" style="2" customWidth="1"/>
    <col min="7" max="7" width="16" style="3" bestFit="1" customWidth="1"/>
    <col min="8" max="8" width="7.19921875" style="2" bestFit="1" customWidth="1"/>
    <col min="9" max="9" width="17.8984375" style="2" customWidth="1"/>
    <col min="10" max="10" width="14" style="2" bestFit="1" customWidth="1"/>
    <col min="11" max="11" width="15" style="2" bestFit="1" customWidth="1"/>
    <col min="12" max="12" width="18.59765625" style="2" bestFit="1" customWidth="1"/>
    <col min="13" max="13" width="19.69921875" style="2" bestFit="1" customWidth="1"/>
    <col min="14" max="14" width="17.8984375" style="2" customWidth="1"/>
    <col min="15" max="16384" width="9" style="2"/>
  </cols>
  <sheetData>
    <row r="1" spans="1:14" ht="32.4" x14ac:dyDescent="0.35">
      <c r="A1" s="130" t="s">
        <v>100</v>
      </c>
      <c r="B1" s="123" t="s">
        <v>95</v>
      </c>
      <c r="C1" s="123" t="s">
        <v>96</v>
      </c>
      <c r="D1" s="123" t="s">
        <v>97</v>
      </c>
      <c r="E1" s="123" t="s">
        <v>98</v>
      </c>
      <c r="F1" s="146" t="s">
        <v>113</v>
      </c>
      <c r="G1" s="123" t="s">
        <v>99</v>
      </c>
      <c r="H1" s="123" t="s">
        <v>107</v>
      </c>
      <c r="I1" s="123" t="s">
        <v>101</v>
      </c>
      <c r="J1" s="123" t="s">
        <v>102</v>
      </c>
      <c r="K1" s="123" t="s">
        <v>103</v>
      </c>
      <c r="L1" s="123" t="s">
        <v>104</v>
      </c>
      <c r="M1" s="123" t="s">
        <v>105</v>
      </c>
      <c r="N1" s="123" t="s">
        <v>106</v>
      </c>
    </row>
    <row r="2" spans="1:14" ht="15" customHeight="1" x14ac:dyDescent="0.3">
      <c r="A2" s="124">
        <v>1985</v>
      </c>
      <c r="B2" s="127">
        <f>+stat_book_1985_2007!B2/1000000</f>
        <v>230.621601</v>
      </c>
      <c r="C2" s="127">
        <f>+stat_book_1985_2007!C2/1000000</f>
        <v>190.63491500000001</v>
      </c>
      <c r="D2" s="127">
        <f>+stat_book_1985_2007!D2/1000000</f>
        <v>43.533600999999997</v>
      </c>
      <c r="E2" s="127">
        <f>+stat_book_1985_2007!E2/1000000</f>
        <v>54.358089999999997</v>
      </c>
      <c r="F2" s="127"/>
      <c r="G2" s="127">
        <f>+stat_book_1985_2007!F2/1000000</f>
        <v>5.8433659999999996</v>
      </c>
      <c r="H2" s="127">
        <f>SUM(B2:G2)</f>
        <v>524.9915729999999</v>
      </c>
    </row>
    <row r="3" spans="1:14" ht="15" customHeight="1" x14ac:dyDescent="0.3">
      <c r="A3" s="124">
        <v>1986</v>
      </c>
      <c r="B3" s="127">
        <f>+stat_book_1985_2007!B3/1000000</f>
        <v>251.79159799999999</v>
      </c>
      <c r="C3" s="127">
        <f>+stat_book_1985_2007!C3/1000000</f>
        <v>213.68516700000001</v>
      </c>
      <c r="D3" s="127">
        <f>+stat_book_1985_2007!D3/1000000</f>
        <v>48.719169999999998</v>
      </c>
      <c r="E3" s="127">
        <f>+stat_book_1985_2007!E3/1000000</f>
        <v>64.736362</v>
      </c>
      <c r="F3" s="127"/>
      <c r="G3" s="127">
        <f>+stat_book_1985_2007!F3/1000000</f>
        <v>8.0373889999999992</v>
      </c>
      <c r="H3" s="127">
        <f t="shared" ref="H3:H9" si="0">SUM(B3:G3)</f>
        <v>586.96968599999991</v>
      </c>
      <c r="I3" s="69">
        <f t="shared" ref="I3:L6" si="1">+(B3-B2)/B2</f>
        <v>9.1795377831931688E-2</v>
      </c>
      <c r="J3" s="69">
        <f t="shared" si="1"/>
        <v>0.12091306568893741</v>
      </c>
      <c r="K3" s="69">
        <f t="shared" si="1"/>
        <v>0.11911647281372385</v>
      </c>
      <c r="L3" s="69">
        <f t="shared" si="1"/>
        <v>0.19092414762917539</v>
      </c>
      <c r="M3" s="69">
        <f t="shared" ref="M3:N6" si="2">+(G3-G2)/G2</f>
        <v>0.37547245885333896</v>
      </c>
      <c r="N3" s="69">
        <f t="shared" si="2"/>
        <v>0.1180554435299479</v>
      </c>
    </row>
    <row r="4" spans="1:14" ht="15" customHeight="1" x14ac:dyDescent="0.3">
      <c r="A4" s="124">
        <v>1987</v>
      </c>
      <c r="B4" s="127">
        <f>+stat_book_1985_2007!B4/1000000</f>
        <v>266.81436300000001</v>
      </c>
      <c r="C4" s="127">
        <f>+stat_book_1985_2007!C4/1000000</f>
        <v>243.94535300000001</v>
      </c>
      <c r="D4" s="127">
        <f>+stat_book_1985_2007!D4/1000000</f>
        <v>49.164960999999998</v>
      </c>
      <c r="E4" s="127">
        <f>+stat_book_1985_2007!E4/1000000</f>
        <v>72.190500999999998</v>
      </c>
      <c r="F4" s="127"/>
      <c r="G4" s="127">
        <f>+stat_book_1985_2007!F4/1000000</f>
        <v>11.539787</v>
      </c>
      <c r="H4" s="127">
        <f t="shared" si="0"/>
        <v>643.65496500000006</v>
      </c>
      <c r="I4" s="69">
        <f t="shared" si="1"/>
        <v>5.9663488056499889E-2</v>
      </c>
      <c r="J4" s="69">
        <f t="shared" si="1"/>
        <v>0.1416110740152591</v>
      </c>
      <c r="K4" s="69">
        <f t="shared" si="1"/>
        <v>9.1502174606012347E-3</v>
      </c>
      <c r="L4" s="69">
        <f t="shared" si="1"/>
        <v>0.11514609053872996</v>
      </c>
      <c r="M4" s="69">
        <f t="shared" si="2"/>
        <v>0.43576315641808572</v>
      </c>
      <c r="N4" s="69">
        <f t="shared" si="2"/>
        <v>9.6572753844054837E-2</v>
      </c>
    </row>
    <row r="5" spans="1:14" ht="15" customHeight="1" x14ac:dyDescent="0.3">
      <c r="A5" s="124">
        <v>1988</v>
      </c>
      <c r="B5" s="127">
        <f>+stat_book_1985_2007!B5/1000000</f>
        <v>302.692499</v>
      </c>
      <c r="C5" s="127">
        <f>+stat_book_1985_2007!C5/1000000</f>
        <v>278.79752100000002</v>
      </c>
      <c r="D5" s="127">
        <f>+stat_book_1985_2007!D5/1000000</f>
        <v>56.175685000000001</v>
      </c>
      <c r="E5" s="127">
        <f>+stat_book_1985_2007!E5/1000000</f>
        <v>81.796322000000004</v>
      </c>
      <c r="F5" s="127"/>
      <c r="G5" s="127">
        <f>+stat_book_1985_2007!F5/1000000</f>
        <v>19.2837</v>
      </c>
      <c r="H5" s="127">
        <f t="shared" si="0"/>
        <v>738.74572699999999</v>
      </c>
      <c r="I5" s="69">
        <f t="shared" si="1"/>
        <v>0.13446853309017695</v>
      </c>
      <c r="J5" s="69">
        <f t="shared" si="1"/>
        <v>0.14286875142893174</v>
      </c>
      <c r="K5" s="69">
        <f t="shared" si="1"/>
        <v>0.14259594348096816</v>
      </c>
      <c r="L5" s="69">
        <f t="shared" si="1"/>
        <v>0.13306211851888944</v>
      </c>
      <c r="M5" s="69">
        <f t="shared" si="2"/>
        <v>0.67106203953331189</v>
      </c>
      <c r="N5" s="69">
        <f t="shared" si="2"/>
        <v>0.14773561484140796</v>
      </c>
    </row>
    <row r="6" spans="1:14" ht="15" customHeight="1" x14ac:dyDescent="0.3">
      <c r="A6" s="124">
        <v>1989</v>
      </c>
      <c r="B6" s="127">
        <f>+stat_book_1985_2007!B6/1000000</f>
        <v>319.29207600000001</v>
      </c>
      <c r="C6" s="127">
        <f>+stat_book_1985_2007!C6/1000000</f>
        <v>300.06522200000001</v>
      </c>
      <c r="D6" s="127">
        <f>+stat_book_1985_2007!D6/1000000</f>
        <v>71.226517999999999</v>
      </c>
      <c r="E6" s="127">
        <f>+stat_book_1985_2007!E6/1000000</f>
        <v>94.225959000000003</v>
      </c>
      <c r="F6" s="127"/>
      <c r="G6" s="127">
        <f>+stat_book_1985_2007!F6/1000000</f>
        <v>23.652422999999999</v>
      </c>
      <c r="H6" s="127">
        <f t="shared" si="0"/>
        <v>808.46219800000006</v>
      </c>
      <c r="I6" s="69">
        <f t="shared" si="1"/>
        <v>5.4839736877655532E-2</v>
      </c>
      <c r="J6" s="69">
        <f t="shared" si="1"/>
        <v>7.6283680442050944E-2</v>
      </c>
      <c r="K6" s="69">
        <f t="shared" si="1"/>
        <v>0.26792433416699762</v>
      </c>
      <c r="L6" s="69">
        <f t="shared" si="1"/>
        <v>0.15195838512152171</v>
      </c>
      <c r="M6" s="69">
        <f t="shared" si="2"/>
        <v>0.22655003967081003</v>
      </c>
      <c r="N6" s="69">
        <f t="shared" si="2"/>
        <v>9.4371403382750227E-2</v>
      </c>
    </row>
    <row r="7" spans="1:14" ht="15" customHeight="1" x14ac:dyDescent="0.3">
      <c r="A7" s="124">
        <v>1990</v>
      </c>
      <c r="B7" s="127">
        <f>+stat_book_1985_2007!B7/1000000</f>
        <v>347.87333899999999</v>
      </c>
      <c r="C7" s="127">
        <f>+stat_book_1985_2007!C7/1000000</f>
        <v>334.60569600000002</v>
      </c>
      <c r="D7" s="127">
        <f>+stat_book_1985_2007!D7/1000000</f>
        <v>113.274466</v>
      </c>
      <c r="E7" s="127">
        <f>+stat_book_1985_2007!E7/1000000</f>
        <v>112.899857</v>
      </c>
      <c r="F7" s="127"/>
      <c r="G7" s="127">
        <f>+stat_book_1985_2007!F7/1000000</f>
        <v>0</v>
      </c>
      <c r="H7" s="127">
        <f t="shared" si="0"/>
        <v>908.65335800000003</v>
      </c>
      <c r="I7" s="69">
        <f t="shared" ref="I7:I33" si="3">+(B7-B6)/B6</f>
        <v>8.9514476394334255E-2</v>
      </c>
      <c r="J7" s="69">
        <f t="shared" ref="J7:J33" si="4">+(C7-C6)/C6</f>
        <v>0.1151098876763533</v>
      </c>
      <c r="K7" s="69">
        <f t="shared" ref="K7:K33" si="5">+(D7-D6)/D6</f>
        <v>0.59034119848453082</v>
      </c>
      <c r="L7" s="69">
        <f t="shared" ref="L7:L33" si="6">+(E7-E6)/E6</f>
        <v>0.1981820954456934</v>
      </c>
      <c r="M7" s="69"/>
      <c r="N7" s="69">
        <f t="shared" ref="N7:N33" si="7">+(H7-H6)/H6</f>
        <v>0.12392807016562568</v>
      </c>
    </row>
    <row r="8" spans="1:14" ht="15" customHeight="1" x14ac:dyDescent="0.3">
      <c r="A8" s="124">
        <v>1991</v>
      </c>
      <c r="B8" s="127">
        <f>+stat_book_1985_2007!B8/1000000</f>
        <v>431.47472900000002</v>
      </c>
      <c r="C8" s="127">
        <f>+stat_book_1985_2007!C8/1000000</f>
        <v>417.28895</v>
      </c>
      <c r="D8" s="127">
        <f>+stat_book_1985_2007!D8/1000000</f>
        <v>174.58380600000001</v>
      </c>
      <c r="E8" s="127">
        <f>+stat_book_1985_2007!E8/1000000</f>
        <v>164.35169400000001</v>
      </c>
      <c r="F8" s="127"/>
      <c r="G8" s="127">
        <f>+stat_book_1985_2007!F8/1000000</f>
        <v>0</v>
      </c>
      <c r="H8" s="127">
        <f t="shared" si="0"/>
        <v>1187.699179</v>
      </c>
      <c r="I8" s="69">
        <f t="shared" si="3"/>
        <v>0.24032134868490179</v>
      </c>
      <c r="J8" s="69">
        <f t="shared" si="4"/>
        <v>0.24710653461201082</v>
      </c>
      <c r="K8" s="69">
        <f t="shared" si="5"/>
        <v>0.54124589737637785</v>
      </c>
      <c r="L8" s="69">
        <f t="shared" si="6"/>
        <v>0.45572986863924914</v>
      </c>
      <c r="M8" s="69"/>
      <c r="N8" s="69">
        <f t="shared" si="7"/>
        <v>0.30709821137314275</v>
      </c>
    </row>
    <row r="9" spans="1:14" ht="15" customHeight="1" x14ac:dyDescent="0.3">
      <c r="A9" s="124">
        <v>1992</v>
      </c>
      <c r="B9" s="127">
        <f>+stat_book_1985_2007!B9/1000000</f>
        <v>467.264319</v>
      </c>
      <c r="C9" s="127">
        <f>+stat_book_1985_2007!C9/1000000</f>
        <v>489.647738</v>
      </c>
      <c r="D9" s="127">
        <f>+stat_book_1985_2007!D9/1000000</f>
        <v>229.914537</v>
      </c>
      <c r="E9" s="127">
        <f>+stat_book_1985_2007!E9/1000000</f>
        <v>203.477654</v>
      </c>
      <c r="F9" s="127"/>
      <c r="G9" s="127">
        <f>+stat_book_1985_2007!F9/1000000</f>
        <v>0</v>
      </c>
      <c r="H9" s="127">
        <f t="shared" si="0"/>
        <v>1390.3042480000001</v>
      </c>
      <c r="I9" s="69">
        <f t="shared" si="3"/>
        <v>8.2947128984696514E-2</v>
      </c>
      <c r="J9" s="69">
        <f t="shared" si="4"/>
        <v>0.17340211860390745</v>
      </c>
      <c r="K9" s="69">
        <f t="shared" si="5"/>
        <v>0.31692934337793038</v>
      </c>
      <c r="L9" s="69">
        <f t="shared" si="6"/>
        <v>0.23806240780213675</v>
      </c>
      <c r="M9" s="69"/>
      <c r="N9" s="69">
        <f t="shared" si="7"/>
        <v>0.17058618258083363</v>
      </c>
    </row>
    <row r="10" spans="1:14" ht="15" customHeight="1" x14ac:dyDescent="0.3">
      <c r="A10" s="124">
        <v>1993</v>
      </c>
      <c r="B10" s="127">
        <f>+stat_book_1985_2007!B10/1000000</f>
        <v>523.40384100000006</v>
      </c>
      <c r="C10" s="127">
        <f>+stat_book_1985_2007!C10/1000000</f>
        <v>584.69809599999996</v>
      </c>
      <c r="D10" s="127">
        <f>+stat_book_1985_2007!D10/1000000</f>
        <v>300.71387299999998</v>
      </c>
      <c r="E10" s="127">
        <f>+stat_book_1985_2007!E10/1000000</f>
        <v>240.07623000000001</v>
      </c>
      <c r="F10" s="127"/>
      <c r="G10" s="127">
        <f>+stat_book_1985_2007!F10/1000000</f>
        <v>0</v>
      </c>
      <c r="H10" s="127">
        <f>SUM(B10:G10)</f>
        <v>1648.8920399999997</v>
      </c>
      <c r="I10" s="69">
        <f t="shared" si="3"/>
        <v>0.12014510784847678</v>
      </c>
      <c r="J10" s="69">
        <f t="shared" si="4"/>
        <v>0.19411987562372843</v>
      </c>
      <c r="K10" s="69">
        <f t="shared" si="5"/>
        <v>0.30793762292638321</v>
      </c>
      <c r="L10" s="69">
        <f t="shared" si="6"/>
        <v>0.17986533302570909</v>
      </c>
      <c r="M10" s="69"/>
      <c r="N10" s="69">
        <f t="shared" si="7"/>
        <v>0.18599367179664947</v>
      </c>
    </row>
    <row r="11" spans="1:14" ht="15" customHeight="1" x14ac:dyDescent="0.3">
      <c r="A11" s="124">
        <v>1994</v>
      </c>
      <c r="B11" s="127">
        <f>+stat_book_1985_2007!B11/1000000</f>
        <v>541.31640700000003</v>
      </c>
      <c r="C11" s="127">
        <f>+stat_book_1985_2007!C11/1000000</f>
        <v>621.84389599999997</v>
      </c>
      <c r="D11" s="127">
        <f>+stat_book_1985_2007!D11/1000000</f>
        <v>286.28258599999998</v>
      </c>
      <c r="E11" s="127">
        <f>+stat_book_1985_2007!E11/1000000</f>
        <v>220.11158399999999</v>
      </c>
      <c r="F11" s="127"/>
      <c r="G11" s="127">
        <f>+stat_book_1985_2007!F11/1000000</f>
        <v>0</v>
      </c>
      <c r="H11" s="127">
        <f>SUM(B11:G11)</f>
        <v>1669.5544730000001</v>
      </c>
      <c r="I11" s="69">
        <f t="shared" si="3"/>
        <v>3.4223222293853911E-2</v>
      </c>
      <c r="J11" s="69">
        <f t="shared" si="4"/>
        <v>6.3529880213600023E-2</v>
      </c>
      <c r="K11" s="69">
        <f t="shared" si="5"/>
        <v>-4.7990093892342635E-2</v>
      </c>
      <c r="L11" s="69">
        <f t="shared" si="6"/>
        <v>-8.3159611428420113E-2</v>
      </c>
      <c r="M11" s="69"/>
      <c r="N11" s="69">
        <f t="shared" si="7"/>
        <v>1.2531101187195023E-2</v>
      </c>
    </row>
    <row r="12" spans="1:14" ht="15" customHeight="1" x14ac:dyDescent="0.3">
      <c r="A12" s="124">
        <v>1995</v>
      </c>
      <c r="B12" s="127">
        <f>+stat_book_1985_2007!B12/1000000</f>
        <v>565.66850399999998</v>
      </c>
      <c r="C12" s="127">
        <f>+stat_book_1985_2007!C12/1000000</f>
        <v>715.47388999999998</v>
      </c>
      <c r="D12" s="127">
        <f>+stat_book_1985_2007!D12/1000000</f>
        <v>336.84953899999999</v>
      </c>
      <c r="E12" s="127">
        <f>+stat_book_1985_2007!E12/1000000</f>
        <v>223.37357800000001</v>
      </c>
      <c r="F12" s="127"/>
      <c r="G12" s="127">
        <f>+stat_book_1985_2007!F12/1000000</f>
        <v>0</v>
      </c>
      <c r="H12" s="127">
        <f>SUM(B12:G12)</f>
        <v>1841.365511</v>
      </c>
      <c r="I12" s="69">
        <f t="shared" si="3"/>
        <v>4.4986807503139208E-2</v>
      </c>
      <c r="J12" s="69">
        <f t="shared" si="4"/>
        <v>0.150568325269852</v>
      </c>
      <c r="K12" s="69">
        <f t="shared" si="5"/>
        <v>0.17663300344785909</v>
      </c>
      <c r="L12" s="69">
        <f t="shared" si="6"/>
        <v>1.4819728888053505E-2</v>
      </c>
      <c r="M12" s="69"/>
      <c r="N12" s="69">
        <f t="shared" si="7"/>
        <v>0.10290831522931676</v>
      </c>
    </row>
    <row r="13" spans="1:14" ht="15" customHeight="1" x14ac:dyDescent="0.3">
      <c r="A13" s="124">
        <v>1996</v>
      </c>
      <c r="B13" s="127">
        <f>+stat_book_1985_2007!B13/1000000</f>
        <v>577.52848200000005</v>
      </c>
      <c r="C13" s="127">
        <f>+stat_book_1985_2007!C13/1000000</f>
        <v>756.73389799999995</v>
      </c>
      <c r="D13" s="127">
        <f>+stat_book_1985_2007!D13/1000000</f>
        <v>282.91224499999998</v>
      </c>
      <c r="E13" s="127">
        <f>+stat_book_1985_2007!E13/1000000</f>
        <v>173.130753</v>
      </c>
      <c r="F13" s="127"/>
      <c r="G13" s="127">
        <f>+stat_book_1985_2007!F13/1000000</f>
        <v>268.49462158000006</v>
      </c>
      <c r="H13" s="127">
        <f>SUM(B13:G13)</f>
        <v>2058.7999995800001</v>
      </c>
      <c r="I13" s="69">
        <f t="shared" si="3"/>
        <v>2.0966304321585614E-2</v>
      </c>
      <c r="J13" s="69">
        <f t="shared" si="4"/>
        <v>5.7668083457245341E-2</v>
      </c>
      <c r="K13" s="69">
        <f t="shared" si="5"/>
        <v>-0.1601228078272656</v>
      </c>
      <c r="L13" s="69">
        <f t="shared" si="6"/>
        <v>-0.22492734122743921</v>
      </c>
      <c r="M13" s="69"/>
      <c r="N13" s="69">
        <f t="shared" si="7"/>
        <v>0.11808328508440284</v>
      </c>
    </row>
    <row r="14" spans="1:14" ht="15" customHeight="1" x14ac:dyDescent="0.3">
      <c r="A14" s="124">
        <v>1997</v>
      </c>
      <c r="B14" s="127">
        <f>+stat_book_1985_2007!B14/1000000</f>
        <v>612.00540899999999</v>
      </c>
      <c r="C14" s="127">
        <f>+stat_book_1985_2007!C14/1000000</f>
        <v>803.566776</v>
      </c>
      <c r="D14" s="127">
        <f>+stat_book_1985_2007!D14/1000000</f>
        <v>287.80631799999998</v>
      </c>
      <c r="E14" s="127">
        <f>+stat_book_1985_2007!E14/1000000</f>
        <v>127.0346</v>
      </c>
      <c r="F14" s="127"/>
      <c r="G14" s="127">
        <f>+stat_book_1985_2007!F14/1000000</f>
        <v>311.38689693000015</v>
      </c>
      <c r="H14" s="127">
        <f t="shared" ref="H14:H25" si="8">SUM(B14:G14)</f>
        <v>2141.79999993</v>
      </c>
      <c r="I14" s="69">
        <f t="shared" si="3"/>
        <v>5.9697362250611785E-2</v>
      </c>
      <c r="J14" s="69">
        <f t="shared" si="4"/>
        <v>6.1888172478828288E-2</v>
      </c>
      <c r="K14" s="69">
        <f t="shared" si="5"/>
        <v>1.7298908359374802E-2</v>
      </c>
      <c r="L14" s="69">
        <f t="shared" si="6"/>
        <v>-0.26625051991774101</v>
      </c>
      <c r="M14" s="69">
        <f t="shared" ref="M14:M33" si="9">+(G14-G13)/G13</f>
        <v>0.159750966695696</v>
      </c>
      <c r="N14" s="69">
        <f t="shared" si="7"/>
        <v>4.0314746632471407E-2</v>
      </c>
    </row>
    <row r="15" spans="1:14" ht="15" customHeight="1" x14ac:dyDescent="0.3">
      <c r="A15" s="124">
        <v>1998</v>
      </c>
      <c r="B15" s="127">
        <f>+stat_book_1985_2007!B15/1000000</f>
        <v>631.04963799999996</v>
      </c>
      <c r="C15" s="127">
        <f>+stat_book_1985_2007!C15/1000000</f>
        <v>852.36452899999995</v>
      </c>
      <c r="D15" s="127">
        <f>+stat_book_1985_2007!D15/1000000</f>
        <v>300.45790399999998</v>
      </c>
      <c r="E15" s="127">
        <f>+stat_book_1985_2007!E15/1000000</f>
        <v>125.696158</v>
      </c>
      <c r="F15" s="127"/>
      <c r="G15" s="127">
        <f>+stat_book_1985_2007!F15/1000000</f>
        <v>327.53176600000006</v>
      </c>
      <c r="H15" s="127">
        <f t="shared" si="8"/>
        <v>2237.0999949999996</v>
      </c>
      <c r="I15" s="69">
        <f t="shared" si="3"/>
        <v>3.1117746215867142E-2</v>
      </c>
      <c r="J15" s="69">
        <f t="shared" si="4"/>
        <v>6.0726444220237326E-2</v>
      </c>
      <c r="K15" s="69">
        <f t="shared" si="5"/>
        <v>4.3958680573509892E-2</v>
      </c>
      <c r="L15" s="69">
        <f t="shared" si="6"/>
        <v>-1.0536042936333886E-2</v>
      </c>
      <c r="M15" s="69">
        <f t="shared" si="9"/>
        <v>5.184826089078913E-2</v>
      </c>
      <c r="N15" s="69">
        <f t="shared" si="7"/>
        <v>4.4495282039926344E-2</v>
      </c>
    </row>
    <row r="16" spans="1:14" ht="15" customHeight="1" x14ac:dyDescent="0.3">
      <c r="A16" s="124">
        <v>1999</v>
      </c>
      <c r="B16" s="127">
        <f>+stat_book_1985_2007!B16/1000000</f>
        <v>627.87708299999997</v>
      </c>
      <c r="C16" s="127">
        <f>+stat_book_1985_2007!C16/1000000</f>
        <v>882.18036199999995</v>
      </c>
      <c r="D16" s="127">
        <f>+stat_book_1985_2007!D16/1000000</f>
        <v>268.40482300000002</v>
      </c>
      <c r="E16" s="127">
        <f>+stat_book_1985_2007!E16/1000000</f>
        <v>148.00185399999998</v>
      </c>
      <c r="F16" s="127"/>
      <c r="G16" s="127">
        <f>+stat_book_1985_2007!F16/1000000</f>
        <v>537.04306353587799</v>
      </c>
      <c r="H16" s="127">
        <f t="shared" si="8"/>
        <v>2463.5071855358779</v>
      </c>
      <c r="I16" s="69">
        <f t="shared" si="3"/>
        <v>-5.0274254336867058E-3</v>
      </c>
      <c r="J16" s="69">
        <f t="shared" si="4"/>
        <v>3.4980142867958315E-2</v>
      </c>
      <c r="K16" s="69">
        <f t="shared" si="5"/>
        <v>-0.10668077149336688</v>
      </c>
      <c r="L16" s="69">
        <f t="shared" si="6"/>
        <v>0.17745726166109216</v>
      </c>
      <c r="M16" s="69">
        <f t="shared" si="9"/>
        <v>0.63966710800160342</v>
      </c>
      <c r="N16" s="69">
        <f t="shared" si="7"/>
        <v>0.10120566404805625</v>
      </c>
    </row>
    <row r="17" spans="1:14" ht="15" customHeight="1" x14ac:dyDescent="0.3">
      <c r="A17" s="124">
        <v>2000</v>
      </c>
      <c r="B17" s="127">
        <f>+stat_book_1985_2007!B17/1000000</f>
        <v>671.96814800000004</v>
      </c>
      <c r="C17" s="127">
        <f>+stat_book_1985_2007!C17/1000000</f>
        <v>941.58224800000005</v>
      </c>
      <c r="D17" s="127">
        <f>+stat_book_1985_2007!D17/1000000</f>
        <v>244.90457799999999</v>
      </c>
      <c r="E17" s="127">
        <f>+stat_book_1985_2007!E17/1000000</f>
        <v>132.011617</v>
      </c>
      <c r="F17" s="127"/>
      <c r="G17" s="127">
        <f>+stat_book_1985_2007!F17/1000000</f>
        <v>743.63400453340898</v>
      </c>
      <c r="H17" s="127">
        <f t="shared" si="8"/>
        <v>2734.100595533409</v>
      </c>
      <c r="I17" s="69">
        <f t="shared" si="3"/>
        <v>7.0222446707773972E-2</v>
      </c>
      <c r="J17" s="69">
        <f t="shared" si="4"/>
        <v>6.7335307561516664E-2</v>
      </c>
      <c r="K17" s="69">
        <f t="shared" si="5"/>
        <v>-8.7555226233770142E-2</v>
      </c>
      <c r="L17" s="69">
        <f t="shared" si="6"/>
        <v>-0.10804078846201468</v>
      </c>
      <c r="M17" s="69">
        <f t="shared" si="9"/>
        <v>0.38468226297783542</v>
      </c>
      <c r="N17" s="69">
        <f t="shared" si="7"/>
        <v>0.10984072284679369</v>
      </c>
    </row>
    <row r="18" spans="1:14" ht="15" customHeight="1" x14ac:dyDescent="0.3">
      <c r="A18" s="124">
        <v>2001</v>
      </c>
      <c r="B18" s="127">
        <f>+stat_book_1985_2007!B18/1000000</f>
        <v>791.19674899999995</v>
      </c>
      <c r="C18" s="127">
        <f>+stat_book_1985_2007!C18/1000000</f>
        <v>1101.222579</v>
      </c>
      <c r="D18" s="127">
        <f>+stat_book_1985_2007!D18/1000000</f>
        <v>306.79774200000003</v>
      </c>
      <c r="E18" s="127">
        <f>+stat_book_1985_2007!E18/1000000</f>
        <v>133.55700999999999</v>
      </c>
      <c r="F18" s="127"/>
      <c r="G18" s="127">
        <f>+stat_book_1985_2007!F18/1000000</f>
        <v>701.50471011591981</v>
      </c>
      <c r="H18" s="127">
        <f t="shared" si="8"/>
        <v>3034.2787901159199</v>
      </c>
      <c r="I18" s="69">
        <f t="shared" si="3"/>
        <v>0.17743192345480027</v>
      </c>
      <c r="J18" s="69">
        <f t="shared" si="4"/>
        <v>0.16954475441639799</v>
      </c>
      <c r="K18" s="69">
        <f t="shared" si="5"/>
        <v>0.25272358934833811</v>
      </c>
      <c r="L18" s="69">
        <f t="shared" si="6"/>
        <v>1.1706492467249984E-2</v>
      </c>
      <c r="M18" s="69">
        <f t="shared" si="9"/>
        <v>-5.665326512862074E-2</v>
      </c>
      <c r="N18" s="69">
        <f t="shared" si="7"/>
        <v>0.10979047189152444</v>
      </c>
    </row>
    <row r="19" spans="1:14" ht="15" customHeight="1" x14ac:dyDescent="0.3">
      <c r="A19" s="124">
        <v>2002</v>
      </c>
      <c r="B19" s="127">
        <f>+stat_book_1985_2007!B19/1000000</f>
        <v>803.60901699999999</v>
      </c>
      <c r="C19" s="127">
        <f>+stat_book_1985_2007!C19/1000000</f>
        <v>1111.8777930000001</v>
      </c>
      <c r="D19" s="127">
        <f>+stat_book_1985_2007!D19/1000000</f>
        <v>300.55480699999998</v>
      </c>
      <c r="E19" s="127">
        <f>+stat_book_1985_2007!E19/1000000</f>
        <v>121.27747100000001</v>
      </c>
      <c r="F19" s="127"/>
      <c r="G19" s="127">
        <f>+stat_book_1985_2007!F19/1000000</f>
        <v>1342.2009454209124</v>
      </c>
      <c r="H19" s="127">
        <f t="shared" si="8"/>
        <v>3679.5200334209121</v>
      </c>
      <c r="I19" s="69">
        <f t="shared" si="3"/>
        <v>1.5687966382177388E-2</v>
      </c>
      <c r="J19" s="69">
        <f t="shared" si="4"/>
        <v>9.6758041500346996E-3</v>
      </c>
      <c r="K19" s="69">
        <f t="shared" si="5"/>
        <v>-2.0348699306920078E-2</v>
      </c>
      <c r="L19" s="69">
        <f t="shared" si="6"/>
        <v>-9.1942302392064523E-2</v>
      </c>
      <c r="M19" s="69">
        <f t="shared" si="9"/>
        <v>0.91331708264527689</v>
      </c>
      <c r="N19" s="69">
        <f t="shared" si="7"/>
        <v>0.21265061253001796</v>
      </c>
    </row>
    <row r="20" spans="1:14" ht="15" customHeight="1" x14ac:dyDescent="0.3">
      <c r="A20" s="124">
        <v>2003</v>
      </c>
      <c r="B20" s="127">
        <f>+stat_book_1985_2007!B20/1000000</f>
        <v>855.41347099999996</v>
      </c>
      <c r="C20" s="127">
        <f>+stat_book_1985_2007!C20/1000000</f>
        <v>1190.3993009999999</v>
      </c>
      <c r="D20" s="127">
        <f>+stat_book_1985_2007!D20/1000000</f>
        <v>308.81061899999997</v>
      </c>
      <c r="E20" s="127">
        <f>+stat_book_1985_2007!E20/1000000</f>
        <v>116.968716</v>
      </c>
      <c r="F20" s="127"/>
      <c r="G20" s="127">
        <f>+stat_book_1985_2007!F20/1000000</f>
        <v>1155.4886194078929</v>
      </c>
      <c r="H20" s="127">
        <f t="shared" si="8"/>
        <v>3627.0807264078921</v>
      </c>
      <c r="I20" s="69">
        <f t="shared" si="3"/>
        <v>6.4464749528812176E-2</v>
      </c>
      <c r="J20" s="69">
        <f t="shared" si="4"/>
        <v>7.0620627999177787E-2</v>
      </c>
      <c r="K20" s="69">
        <f t="shared" si="5"/>
        <v>2.7468574142618829E-2</v>
      </c>
      <c r="L20" s="69">
        <f t="shared" si="6"/>
        <v>-3.552807429501894E-2</v>
      </c>
      <c r="M20" s="69">
        <f t="shared" si="9"/>
        <v>-0.13910907055311808</v>
      </c>
      <c r="N20" s="69">
        <f t="shared" si="7"/>
        <v>-1.4251670472430139E-2</v>
      </c>
    </row>
    <row r="21" spans="1:14" ht="15" customHeight="1" x14ac:dyDescent="0.3">
      <c r="A21" s="124">
        <v>2004</v>
      </c>
      <c r="B21" s="127">
        <f>+stat_book_1985_2007!B21/1000000</f>
        <v>946.55044999999996</v>
      </c>
      <c r="C21" s="127">
        <f>+stat_book_1985_2007!C21/1000000</f>
        <v>1628.4161839999999</v>
      </c>
      <c r="D21" s="127">
        <f>+stat_book_1985_2007!D21/1000000</f>
        <v>636.77858600000002</v>
      </c>
      <c r="E21" s="127">
        <f>+stat_book_1985_2007!E21/1000000</f>
        <v>247.55322100000001</v>
      </c>
      <c r="F21" s="127"/>
      <c r="G21" s="127">
        <f>+stat_book_1985_2007!F21/1000000</f>
        <v>436.16486570155899</v>
      </c>
      <c r="H21" s="127">
        <f t="shared" si="8"/>
        <v>3895.4633067015588</v>
      </c>
      <c r="I21" s="69">
        <f t="shared" si="3"/>
        <v>0.10654143532888086</v>
      </c>
      <c r="J21" s="69">
        <f t="shared" si="4"/>
        <v>0.36795794707880131</v>
      </c>
      <c r="K21" s="69">
        <f t="shared" si="5"/>
        <v>1.0620359107534449</v>
      </c>
      <c r="L21" s="69">
        <f t="shared" si="6"/>
        <v>1.1164053899676902</v>
      </c>
      <c r="M21" s="69">
        <f t="shared" si="9"/>
        <v>-0.62252777017824468</v>
      </c>
      <c r="N21" s="69">
        <f t="shared" si="7"/>
        <v>7.3994101741281473E-2</v>
      </c>
    </row>
    <row r="22" spans="1:14" ht="15" customHeight="1" x14ac:dyDescent="0.3">
      <c r="A22" s="124">
        <v>2005</v>
      </c>
      <c r="B22" s="127">
        <f>+stat_book_1985_2007!B22/1000000</f>
        <v>1006.038512</v>
      </c>
      <c r="C22" s="127">
        <f>+stat_book_1985_2007!C22/1000000</f>
        <v>1766.8496190000001</v>
      </c>
      <c r="D22" s="127">
        <f>+stat_book_1985_2007!D22/1000000</f>
        <v>783.73249799999996</v>
      </c>
      <c r="E22" s="127">
        <f>+stat_book_1985_2007!E22/1000000</f>
        <v>373.41515100000004</v>
      </c>
      <c r="F22" s="127"/>
      <c r="G22" s="127">
        <f>+stat_book_1985_2007!F22/1000000</f>
        <v>464.37452711421963</v>
      </c>
      <c r="H22" s="127">
        <f t="shared" si="8"/>
        <v>4394.4103071142199</v>
      </c>
      <c r="I22" s="69">
        <f t="shared" si="3"/>
        <v>6.2847217493795515E-2</v>
      </c>
      <c r="J22" s="69">
        <f t="shared" si="4"/>
        <v>8.5011090137876055E-2</v>
      </c>
      <c r="K22" s="69">
        <f t="shared" si="5"/>
        <v>0.23077709463050308</v>
      </c>
      <c r="L22" s="69">
        <f t="shared" si="6"/>
        <v>0.50842372194381602</v>
      </c>
      <c r="M22" s="69">
        <f t="shared" si="9"/>
        <v>6.467660197087674E-2</v>
      </c>
      <c r="N22" s="69">
        <f t="shared" si="7"/>
        <v>0.1280841227677072</v>
      </c>
    </row>
    <row r="23" spans="1:14" ht="15" customHeight="1" x14ac:dyDescent="0.3">
      <c r="A23" s="124">
        <v>2006</v>
      </c>
      <c r="B23" s="127">
        <f>+stat_book_1985_2007!B23/1000000</f>
        <v>960.31786199999999</v>
      </c>
      <c r="C23" s="127">
        <f>+stat_book_1985_2007!C23/1000000</f>
        <v>1927.9078460000001</v>
      </c>
      <c r="D23" s="127">
        <f>+stat_book_1985_2007!D23/1000000</f>
        <v>886.99162000000001</v>
      </c>
      <c r="E23" s="127">
        <f>+stat_book_1985_2007!E23/1000000</f>
        <v>420.41281700000002</v>
      </c>
      <c r="F23" s="127"/>
      <c r="G23" s="127">
        <f>+stat_book_1985_2007!F23/1000000</f>
        <v>577.04293007985507</v>
      </c>
      <c r="H23" s="127">
        <f t="shared" si="8"/>
        <v>4772.6730750798552</v>
      </c>
      <c r="I23" s="69">
        <f t="shared" si="3"/>
        <v>-4.5446222440438722E-2</v>
      </c>
      <c r="J23" s="69">
        <f t="shared" si="4"/>
        <v>9.115559426679197E-2</v>
      </c>
      <c r="K23" s="69">
        <f t="shared" si="5"/>
        <v>0.13175301810695114</v>
      </c>
      <c r="L23" s="69">
        <f t="shared" si="6"/>
        <v>0.12585902279042763</v>
      </c>
      <c r="M23" s="69">
        <f t="shared" si="9"/>
        <v>0.24262399504510937</v>
      </c>
      <c r="N23" s="69">
        <f t="shared" si="7"/>
        <v>8.6078163286950296E-2</v>
      </c>
    </row>
    <row r="24" spans="1:14" ht="15" customHeight="1" x14ac:dyDescent="0.3">
      <c r="A24" s="124">
        <v>2007</v>
      </c>
      <c r="B24" s="127">
        <f>+stat_book_1985_2007!B24/1000000</f>
        <v>879.00753999999995</v>
      </c>
      <c r="C24" s="127">
        <f>+stat_book_1985_2007!C24/1000000</f>
        <v>1959.9001000000001</v>
      </c>
      <c r="D24" s="127">
        <f>+stat_book_1985_2007!D24/1000000</f>
        <v>924.91150400000004</v>
      </c>
      <c r="E24" s="127">
        <f>+stat_book_1985_2007!E24/1000000</f>
        <v>421.49987499999997</v>
      </c>
      <c r="F24" s="127"/>
      <c r="G24" s="127">
        <f>+stat_book_1985_2007!F24/1000000</f>
        <v>856.87664215098039</v>
      </c>
      <c r="H24" s="127">
        <f t="shared" si="8"/>
        <v>5042.1956611509813</v>
      </c>
      <c r="I24" s="69">
        <f t="shared" si="3"/>
        <v>-8.4670217245214632E-2</v>
      </c>
      <c r="J24" s="69">
        <f t="shared" si="4"/>
        <v>1.6594285907584817E-2</v>
      </c>
      <c r="K24" s="69">
        <f t="shared" si="5"/>
        <v>4.2751118663330805E-2</v>
      </c>
      <c r="L24" s="69">
        <f t="shared" si="6"/>
        <v>2.5856918629575377E-3</v>
      </c>
      <c r="M24" s="69">
        <f t="shared" si="9"/>
        <v>0.48494435592928947</v>
      </c>
      <c r="N24" s="69">
        <f t="shared" si="7"/>
        <v>5.6472040265740722E-2</v>
      </c>
    </row>
    <row r="25" spans="1:14" ht="15" customHeight="1" x14ac:dyDescent="0.3">
      <c r="A25" s="124">
        <v>2008</v>
      </c>
      <c r="B25" s="127">
        <f>+stat_book_1985_2007!B25/1000000</f>
        <v>915.64151900000002</v>
      </c>
      <c r="C25" s="127">
        <f>+stat_book_1985_2007!C25/1000000</f>
        <v>2123.2487080000001</v>
      </c>
      <c r="D25" s="127">
        <f>+stat_book_1985_2007!D25/1000000</f>
        <v>1008.884323</v>
      </c>
      <c r="E25" s="127">
        <f>+stat_book_1985_2007!E25/1000000</f>
        <v>450.79406599999999</v>
      </c>
      <c r="F25" s="127"/>
      <c r="G25" s="127">
        <f>+stat_book_1985_2007!F25/1000000</f>
        <v>844.0577743613843</v>
      </c>
      <c r="H25" s="127">
        <f t="shared" si="8"/>
        <v>5342.6263903613844</v>
      </c>
      <c r="I25" s="69">
        <f t="shared" si="3"/>
        <v>4.1676524185446769E-2</v>
      </c>
      <c r="J25" s="69">
        <f t="shared" si="4"/>
        <v>8.3345374593327484E-2</v>
      </c>
      <c r="K25" s="69">
        <f t="shared" si="5"/>
        <v>9.0790111958646322E-2</v>
      </c>
      <c r="L25" s="69">
        <f t="shared" si="6"/>
        <v>6.9499880634602829E-2</v>
      </c>
      <c r="M25" s="69">
        <f t="shared" si="9"/>
        <v>-1.4959992091063929E-2</v>
      </c>
      <c r="N25" s="69">
        <f t="shared" si="7"/>
        <v>5.9583314373370395E-2</v>
      </c>
    </row>
    <row r="26" spans="1:14" ht="15" customHeight="1" x14ac:dyDescent="0.3">
      <c r="A26" s="124">
        <v>2009</v>
      </c>
      <c r="B26" s="127">
        <f>(+'Stat Book'!L18/1000000)</f>
        <v>989.33277944609983</v>
      </c>
      <c r="C26" s="127">
        <f>(+'Stat Book'!L28/1000000)</f>
        <v>2367.7721899509997</v>
      </c>
      <c r="D26" s="127">
        <f>(+'Stat Book'!L38/1000000)</f>
        <v>1214.9878296749002</v>
      </c>
      <c r="E26" s="127">
        <f>(+'Stat Book'!L68/1000000)</f>
        <v>483.14534502769993</v>
      </c>
      <c r="F26" s="127"/>
      <c r="G26" s="127">
        <f>(+'Stat Book'!L6/1000000)</f>
        <v>717.0572212312012</v>
      </c>
      <c r="H26" s="127">
        <f t="shared" ref="H26:H31" si="10">SUM(B26:G26)</f>
        <v>5772.2953653309005</v>
      </c>
      <c r="I26" s="69">
        <f t="shared" si="3"/>
        <v>8.0480470704932958E-2</v>
      </c>
      <c r="J26" s="69">
        <f t="shared" si="4"/>
        <v>0.11516478546751559</v>
      </c>
      <c r="K26" s="69">
        <f t="shared" si="5"/>
        <v>0.2042885412888909</v>
      </c>
      <c r="L26" s="69">
        <f t="shared" si="6"/>
        <v>7.1765095123723185E-2</v>
      </c>
      <c r="M26" s="69">
        <f t="shared" si="9"/>
        <v>-0.15046428927957209</v>
      </c>
      <c r="N26" s="69">
        <f t="shared" si="7"/>
        <v>8.0422800243842713E-2</v>
      </c>
    </row>
    <row r="27" spans="1:14" ht="15" customHeight="1" x14ac:dyDescent="0.3">
      <c r="A27" s="124">
        <v>2010</v>
      </c>
      <c r="B27" s="127">
        <f>(+'Stat Book'!M18/1000000)</f>
        <v>1055.6800817954002</v>
      </c>
      <c r="C27" s="127">
        <f>(+'Stat Book'!M28/1000000)</f>
        <v>2650.5292772847001</v>
      </c>
      <c r="D27" s="127">
        <f>(+'Stat Book'!M38/1000000)</f>
        <v>1457.1908609645002</v>
      </c>
      <c r="E27" s="127">
        <f>(+'Stat Book'!M68/1000000)</f>
        <v>583.78071771779992</v>
      </c>
      <c r="F27" s="127"/>
      <c r="G27" s="127">
        <f>(+'Stat Book'!M6/1000000)</f>
        <v>801.74092376300052</v>
      </c>
      <c r="H27" s="127">
        <f t="shared" si="10"/>
        <v>6548.9218615254022</v>
      </c>
      <c r="I27" s="69">
        <f t="shared" si="3"/>
        <v>6.7062674691165447E-2</v>
      </c>
      <c r="J27" s="69">
        <f t="shared" si="4"/>
        <v>0.11941904231063376</v>
      </c>
      <c r="K27" s="69">
        <f t="shared" si="5"/>
        <v>0.19934605546987849</v>
      </c>
      <c r="L27" s="69">
        <f t="shared" si="6"/>
        <v>0.20829212932669425</v>
      </c>
      <c r="M27" s="69">
        <f t="shared" si="9"/>
        <v>0.1180989466731759</v>
      </c>
      <c r="N27" s="69">
        <f t="shared" si="7"/>
        <v>0.13454379012879586</v>
      </c>
    </row>
    <row r="28" spans="1:14" ht="15" customHeight="1" x14ac:dyDescent="0.3">
      <c r="A28" s="124">
        <v>2011</v>
      </c>
      <c r="B28" s="127">
        <f>(+'Stat Book'!N18/1000000)</f>
        <v>1103.3692114154001</v>
      </c>
      <c r="C28" s="127">
        <f>(+'Stat Book'!N28/1000000)</f>
        <v>2927.3297066775999</v>
      </c>
      <c r="D28" s="127">
        <f>(+'Stat Book'!N38/1000000)</f>
        <v>1576.2237225375002</v>
      </c>
      <c r="E28" s="127">
        <f>(+'Stat Book'!N68/1000000)</f>
        <v>744.56372915510008</v>
      </c>
      <c r="F28" s="127"/>
      <c r="G28" s="127">
        <f>(+'Stat Book'!N6/1000000)</f>
        <v>814.6828565372</v>
      </c>
      <c r="H28" s="127">
        <f t="shared" si="10"/>
        <v>7166.1692263228006</v>
      </c>
      <c r="I28" s="69">
        <f t="shared" si="3"/>
        <v>4.5173846170228744E-2</v>
      </c>
      <c r="J28" s="69">
        <f t="shared" si="4"/>
        <v>0.10443213427789952</v>
      </c>
      <c r="K28" s="69">
        <f t="shared" si="5"/>
        <v>8.1686527662006694E-2</v>
      </c>
      <c r="L28" s="69">
        <f t="shared" si="6"/>
        <v>0.27541679017055648</v>
      </c>
      <c r="M28" s="69">
        <f t="shared" si="9"/>
        <v>1.6142287852110672E-2</v>
      </c>
      <c r="N28" s="69">
        <f t="shared" si="7"/>
        <v>9.4251752860832969E-2</v>
      </c>
    </row>
    <row r="29" spans="1:14" ht="15" customHeight="1" x14ac:dyDescent="0.3">
      <c r="A29" s="124">
        <v>2012</v>
      </c>
      <c r="B29" s="127">
        <f>(+'Stat Book'!O18/1000000)</f>
        <v>1109.4845112067997</v>
      </c>
      <c r="C29" s="127">
        <f>(+'Stat Book'!O28/1000000)</f>
        <v>2933.6973969508995</v>
      </c>
      <c r="D29" s="127">
        <f>(+'Stat Book'!O38/1000000)</f>
        <v>1417.1198110169</v>
      </c>
      <c r="E29" s="127">
        <f>(+'Stat Book'!O68/1000000)</f>
        <v>659.69938053690009</v>
      </c>
      <c r="F29" s="127"/>
      <c r="G29" s="127">
        <f>(+'Stat Book'!O6/1000000)</f>
        <v>913.37123543019777</v>
      </c>
      <c r="H29" s="127">
        <f t="shared" si="10"/>
        <v>7033.3723351416975</v>
      </c>
      <c r="I29" s="69">
        <f t="shared" si="3"/>
        <v>5.542387559967255E-3</v>
      </c>
      <c r="J29" s="69">
        <f t="shared" si="4"/>
        <v>2.1752555780696898E-3</v>
      </c>
      <c r="K29" s="69">
        <f t="shared" si="5"/>
        <v>-0.10093992955801037</v>
      </c>
      <c r="L29" s="69">
        <f t="shared" si="6"/>
        <v>-0.11397862304480036</v>
      </c>
      <c r="M29" s="69">
        <f t="shared" si="9"/>
        <v>0.12113717393351271</v>
      </c>
      <c r="N29" s="69">
        <f t="shared" si="7"/>
        <v>-1.8531085017265993E-2</v>
      </c>
    </row>
    <row r="30" spans="1:14" ht="15" customHeight="1" x14ac:dyDescent="0.3">
      <c r="A30" s="124">
        <v>2013</v>
      </c>
      <c r="B30" s="127">
        <f>(+'Stat Book'!P18/1000000)</f>
        <v>1163.43836182</v>
      </c>
      <c r="C30" s="127">
        <f>(+'Stat Book'!P28/1000000)</f>
        <v>3208.3805018800003</v>
      </c>
      <c r="D30" s="127">
        <f>(+'Stat Book'!P38/1000000)</f>
        <v>1561.12259582</v>
      </c>
      <c r="E30" s="127">
        <f>(+'Stat Book'!P68/1000000)</f>
        <v>753.57234239000002</v>
      </c>
      <c r="F30" s="127"/>
      <c r="G30" s="127">
        <f>(+'Stat Book'!P6/1000000)</f>
        <v>947.91253672000119</v>
      </c>
      <c r="H30" s="127">
        <f>SUM(B30:G30)</f>
        <v>7634.4263386300017</v>
      </c>
      <c r="I30" s="69">
        <f t="shared" si="3"/>
        <v>4.8629656446951254E-2</v>
      </c>
      <c r="J30" s="69">
        <f t="shared" si="4"/>
        <v>9.3630346883966015E-2</v>
      </c>
      <c r="K30" s="69">
        <f t="shared" si="5"/>
        <v>0.10161652083585378</v>
      </c>
      <c r="L30" s="69">
        <f t="shared" si="6"/>
        <v>0.14229657420126859</v>
      </c>
      <c r="M30" s="69">
        <f t="shared" si="9"/>
        <v>3.7817373648223622E-2</v>
      </c>
      <c r="N30" s="69">
        <f t="shared" si="7"/>
        <v>8.5457441302401224E-2</v>
      </c>
    </row>
    <row r="31" spans="1:14" ht="15" customHeight="1" x14ac:dyDescent="0.3">
      <c r="A31" s="124">
        <v>2014</v>
      </c>
      <c r="B31" s="127" t="e">
        <f>+#REF!</f>
        <v>#REF!</v>
      </c>
      <c r="C31" s="127" t="e">
        <f>+#REF!</f>
        <v>#REF!</v>
      </c>
      <c r="D31" s="127" t="e">
        <f>+#REF!</f>
        <v>#REF!</v>
      </c>
      <c r="E31" s="127" t="e">
        <f>+#REF!</f>
        <v>#REF!</v>
      </c>
      <c r="F31" s="127"/>
      <c r="G31" s="127" t="e">
        <f>+#REF!</f>
        <v>#REF!</v>
      </c>
      <c r="H31" s="127" t="e">
        <f t="shared" si="10"/>
        <v>#REF!</v>
      </c>
      <c r="I31" s="69" t="e">
        <f t="shared" si="3"/>
        <v>#REF!</v>
      </c>
      <c r="J31" s="69" t="e">
        <f t="shared" si="4"/>
        <v>#REF!</v>
      </c>
      <c r="K31" s="69" t="e">
        <f t="shared" si="5"/>
        <v>#REF!</v>
      </c>
      <c r="L31" s="69" t="e">
        <f t="shared" si="6"/>
        <v>#REF!</v>
      </c>
      <c r="M31" s="69" t="e">
        <f t="shared" si="9"/>
        <v>#REF!</v>
      </c>
      <c r="N31" s="69" t="e">
        <f t="shared" si="7"/>
        <v>#REF!</v>
      </c>
    </row>
    <row r="32" spans="1:14" ht="15" customHeight="1" x14ac:dyDescent="0.3">
      <c r="A32" s="124">
        <v>2015</v>
      </c>
      <c r="B32" s="127" t="e">
        <f>+#REF!</f>
        <v>#REF!</v>
      </c>
      <c r="C32" s="127" t="e">
        <f>+#REF!</f>
        <v>#REF!</v>
      </c>
      <c r="D32" s="127" t="e">
        <f>+#REF!</f>
        <v>#REF!</v>
      </c>
      <c r="E32" s="127" t="e">
        <f>+#REF!</f>
        <v>#REF!</v>
      </c>
      <c r="F32" s="127"/>
      <c r="G32" s="127" t="e">
        <f>+#REF!</f>
        <v>#REF!</v>
      </c>
      <c r="H32" s="127" t="e">
        <f t="shared" ref="H32" si="11">SUM(B32:G32)</f>
        <v>#REF!</v>
      </c>
      <c r="I32" s="69" t="e">
        <f t="shared" si="3"/>
        <v>#REF!</v>
      </c>
      <c r="J32" s="69" t="e">
        <f t="shared" si="4"/>
        <v>#REF!</v>
      </c>
      <c r="K32" s="69" t="e">
        <f t="shared" si="5"/>
        <v>#REF!</v>
      </c>
      <c r="L32" s="69" t="e">
        <f t="shared" si="6"/>
        <v>#REF!</v>
      </c>
      <c r="M32" s="69" t="e">
        <f t="shared" si="9"/>
        <v>#REF!</v>
      </c>
      <c r="N32" s="69" t="e">
        <f t="shared" si="7"/>
        <v>#REF!</v>
      </c>
    </row>
    <row r="33" spans="1:14" ht="15" customHeight="1" x14ac:dyDescent="0.3">
      <c r="A33" s="124">
        <v>2016</v>
      </c>
      <c r="B33" s="127" t="e">
        <f>+#REF!</f>
        <v>#REF!</v>
      </c>
      <c r="C33" s="127" t="e">
        <f>+#REF!</f>
        <v>#REF!</v>
      </c>
      <c r="D33" s="127" t="e">
        <f>+#REF!</f>
        <v>#REF!</v>
      </c>
      <c r="E33" s="127" t="e">
        <f>+#REF!</f>
        <v>#REF!</v>
      </c>
      <c r="F33" s="127"/>
      <c r="G33" s="127" t="e">
        <f>+#REF!</f>
        <v>#REF!</v>
      </c>
      <c r="H33" s="127" t="e">
        <f t="shared" ref="H33" si="12">SUM(B33:G33)</f>
        <v>#REF!</v>
      </c>
      <c r="I33" s="69" t="e">
        <f t="shared" si="3"/>
        <v>#REF!</v>
      </c>
      <c r="J33" s="69" t="e">
        <f t="shared" si="4"/>
        <v>#REF!</v>
      </c>
      <c r="K33" s="69" t="e">
        <f t="shared" si="5"/>
        <v>#REF!</v>
      </c>
      <c r="L33" s="69" t="e">
        <f t="shared" si="6"/>
        <v>#REF!</v>
      </c>
      <c r="M33" s="69" t="e">
        <f t="shared" si="9"/>
        <v>#REF!</v>
      </c>
      <c r="N33" s="69" t="e">
        <f t="shared" si="7"/>
        <v>#REF!</v>
      </c>
    </row>
    <row r="34" spans="1:14" x14ac:dyDescent="0.3">
      <c r="A34" s="124">
        <v>2017</v>
      </c>
      <c r="B34" s="127" t="e">
        <f>+#REF!</f>
        <v>#REF!</v>
      </c>
      <c r="C34" s="127" t="e">
        <f>+#REF!</f>
        <v>#REF!</v>
      </c>
      <c r="D34" s="127" t="e">
        <f>+#REF!</f>
        <v>#REF!</v>
      </c>
      <c r="E34" s="127" t="e">
        <f>+#REF!</f>
        <v>#REF!</v>
      </c>
      <c r="F34" s="127"/>
      <c r="G34" s="127" t="e">
        <f>+#REF!</f>
        <v>#REF!</v>
      </c>
      <c r="H34" s="127" t="e">
        <f t="shared" ref="H34" si="13">SUM(B34:G34)</f>
        <v>#REF!</v>
      </c>
      <c r="I34" s="69" t="e">
        <f t="shared" ref="I34" si="14">+(B34-B33)/B33</f>
        <v>#REF!</v>
      </c>
      <c r="J34" s="69" t="e">
        <f t="shared" ref="J34" si="15">+(C34-C33)/C33</f>
        <v>#REF!</v>
      </c>
      <c r="K34" s="69" t="e">
        <f t="shared" ref="K34" si="16">+(D34-D33)/D33</f>
        <v>#REF!</v>
      </c>
      <c r="L34" s="69" t="e">
        <f t="shared" ref="L34" si="17">+(E34-E33)/E33</f>
        <v>#REF!</v>
      </c>
      <c r="M34" s="69" t="e">
        <f t="shared" ref="M34" si="18">+(G34-G33)/G33</f>
        <v>#REF!</v>
      </c>
      <c r="N34" s="69" t="e">
        <f t="shared" ref="N34" si="19">+(H34-H33)/H33</f>
        <v>#REF!</v>
      </c>
    </row>
    <row r="35" spans="1:14" x14ac:dyDescent="0.3">
      <c r="A35" s="124">
        <v>2018</v>
      </c>
      <c r="B35" s="127" t="e">
        <f>+#REF!</f>
        <v>#REF!</v>
      </c>
      <c r="C35" s="127" t="e">
        <f>+#REF!</f>
        <v>#REF!</v>
      </c>
      <c r="D35" s="127" t="e">
        <f>+#REF!</f>
        <v>#REF!</v>
      </c>
      <c r="E35" s="127" t="e">
        <f>+#REF!</f>
        <v>#REF!</v>
      </c>
      <c r="F35" s="127"/>
      <c r="G35" s="127" t="e">
        <f>+#REF!</f>
        <v>#REF!</v>
      </c>
      <c r="H35" s="127" t="e">
        <f t="shared" ref="H35" si="20">SUM(B35:G35)</f>
        <v>#REF!</v>
      </c>
      <c r="I35" s="69" t="e">
        <f t="shared" ref="I35" si="21">+(B35-B34)/B34</f>
        <v>#REF!</v>
      </c>
      <c r="J35" s="69" t="e">
        <f t="shared" ref="J35" si="22">+(C35-C34)/C34</f>
        <v>#REF!</v>
      </c>
      <c r="K35" s="69" t="e">
        <f t="shared" ref="K35" si="23">+(D35-D34)/D34</f>
        <v>#REF!</v>
      </c>
      <c r="L35" s="69" t="e">
        <f t="shared" ref="L35" si="24">+(E35-E34)/E34</f>
        <v>#REF!</v>
      </c>
      <c r="M35" s="69" t="e">
        <f t="shared" ref="M35" si="25">+(G35-G34)/G34</f>
        <v>#REF!</v>
      </c>
      <c r="N35" s="69" t="e">
        <f t="shared" ref="N35" si="26">+(H35-H34)/H34</f>
        <v>#REF!</v>
      </c>
    </row>
    <row r="36" spans="1:14" x14ac:dyDescent="0.3">
      <c r="A36" s="124">
        <v>2019</v>
      </c>
      <c r="B36" s="127" t="e">
        <f>+#REF!</f>
        <v>#REF!</v>
      </c>
      <c r="C36" s="127" t="e">
        <f>+#REF!</f>
        <v>#REF!</v>
      </c>
      <c r="D36" s="127" t="e">
        <f>+#REF!</f>
        <v>#REF!</v>
      </c>
      <c r="E36" s="127" t="e">
        <f>+#REF!</f>
        <v>#REF!</v>
      </c>
      <c r="F36" s="127" t="e">
        <f>+#REF!</f>
        <v>#REF!</v>
      </c>
      <c r="G36" s="127" t="e">
        <f>+#REF!</f>
        <v>#REF!</v>
      </c>
      <c r="H36" s="127" t="e">
        <f t="shared" ref="H36" si="27">SUM(B36:G36)</f>
        <v>#REF!</v>
      </c>
      <c r="I36" s="69" t="e">
        <f t="shared" ref="I36" si="28">+(B36-B35)/B35</f>
        <v>#REF!</v>
      </c>
      <c r="J36" s="69" t="e">
        <f t="shared" ref="J36" si="29">+(C36-C35)/C35</f>
        <v>#REF!</v>
      </c>
      <c r="K36" s="69" t="e">
        <f t="shared" ref="K36" si="30">+(D36-D35)/D35</f>
        <v>#REF!</v>
      </c>
      <c r="L36" s="69" t="e">
        <f t="shared" ref="L36" si="31">+(E36-E35)/E35</f>
        <v>#REF!</v>
      </c>
      <c r="M36" s="69" t="e">
        <f t="shared" ref="M36" si="32">+(G36-G35)/G35</f>
        <v>#REF!</v>
      </c>
      <c r="N36" s="69" t="e">
        <f t="shared" ref="N36" si="33">+(H36-H35)/H35</f>
        <v>#REF!</v>
      </c>
    </row>
  </sheetData>
  <pageMargins left="0.3" right="0.3" top="0.3" bottom="0.3" header="0" footer="0"/>
  <pageSetup orientation="portrait" r:id="rId1"/>
  <headerFooter alignWithMargins="0">
    <oddHeader>&amp;C&amp;"palatino linotpe,Bold"&amp;14Medicaid Payments</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N78"/>
  <sheetViews>
    <sheetView workbookViewId="0">
      <pane xSplit="1" ySplit="7" topLeftCell="T59" activePane="bottomRight" state="frozen"/>
      <selection pane="topRight" activeCell="B1" sqref="B1"/>
      <selection pane="bottomLeft" activeCell="A8" sqref="A8"/>
      <selection pane="bottomRight" activeCell="W59" sqref="W59"/>
    </sheetView>
  </sheetViews>
  <sheetFormatPr defaultColWidth="12.8984375" defaultRowHeight="15.6" x14ac:dyDescent="0.3"/>
  <cols>
    <col min="1" max="1" width="33.59765625" customWidth="1"/>
    <col min="2" max="2" width="12.69921875" style="36" customWidth="1"/>
    <col min="3" max="3" width="13.09765625" style="36" customWidth="1"/>
    <col min="4" max="5" width="14" style="36" customWidth="1"/>
    <col min="6" max="6" width="13.09765625" style="36" bestFit="1" customWidth="1"/>
    <col min="7" max="7" width="13.8984375" style="36" customWidth="1"/>
    <col min="8" max="8" width="14.19921875" style="36" customWidth="1"/>
    <col min="9" max="9" width="13.3984375" style="36" customWidth="1"/>
    <col min="10" max="10" width="13.09765625" style="36" bestFit="1" customWidth="1"/>
    <col min="11" max="17" width="13.09765625" style="36" customWidth="1"/>
    <col min="18" max="23" width="14.3984375" customWidth="1"/>
    <col min="24" max="24" width="12.8984375" customWidth="1"/>
    <col min="25" max="25" width="13.5" customWidth="1"/>
    <col min="26" max="26" width="18.5" bestFit="1" customWidth="1"/>
    <col min="27" max="27" width="17.19921875" bestFit="1" customWidth="1"/>
    <col min="28" max="28" width="29.5" bestFit="1" customWidth="1"/>
    <col min="29" max="29" width="16.69921875" bestFit="1" customWidth="1"/>
    <col min="30" max="31" width="14.09765625" bestFit="1" customWidth="1"/>
    <col min="33" max="34" width="14.09765625" bestFit="1" customWidth="1"/>
  </cols>
  <sheetData>
    <row r="1" spans="1:196" ht="15" customHeight="1" x14ac:dyDescent="0.3">
      <c r="A1" s="13" t="s">
        <v>15</v>
      </c>
      <c r="B1" s="14"/>
      <c r="C1" s="14"/>
      <c r="D1" s="15"/>
      <c r="E1" s="16"/>
      <c r="F1" s="16"/>
      <c r="G1" s="16"/>
      <c r="H1" s="16"/>
      <c r="I1" s="16"/>
      <c r="J1" s="16"/>
      <c r="K1" s="16"/>
      <c r="L1" s="16"/>
      <c r="M1" s="16"/>
      <c r="N1" s="16"/>
      <c r="O1" s="16"/>
      <c r="P1" s="16"/>
      <c r="Q1" s="16"/>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row>
    <row r="2" spans="1:196" x14ac:dyDescent="0.3">
      <c r="A2" s="18" t="s">
        <v>16</v>
      </c>
      <c r="B2" s="14"/>
      <c r="C2" s="14"/>
      <c r="D2" s="14"/>
      <c r="E2" s="16"/>
      <c r="F2" s="16"/>
      <c r="G2" s="16"/>
      <c r="H2" s="16"/>
      <c r="I2" s="16"/>
      <c r="J2" s="16"/>
      <c r="K2" s="16"/>
      <c r="L2" s="16"/>
      <c r="M2" s="16"/>
      <c r="N2" s="16"/>
      <c r="O2" s="16"/>
      <c r="P2" s="16"/>
      <c r="Q2" s="16"/>
      <c r="R2" s="17"/>
      <c r="S2" s="17"/>
      <c r="T2" s="17"/>
      <c r="U2" s="17"/>
      <c r="V2" s="17"/>
      <c r="W2" s="17"/>
      <c r="X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row>
    <row r="3" spans="1:196" x14ac:dyDescent="0.3">
      <c r="A3" s="19"/>
      <c r="B3" s="20"/>
      <c r="C3" s="20"/>
      <c r="D3" s="20"/>
      <c r="E3" s="20"/>
      <c r="F3" s="20"/>
      <c r="G3" s="20"/>
      <c r="H3" s="20"/>
      <c r="I3" s="20"/>
      <c r="J3" s="20"/>
      <c r="K3" s="20"/>
      <c r="L3" s="20"/>
      <c r="M3" s="20"/>
      <c r="N3" s="20"/>
      <c r="O3" s="20"/>
      <c r="P3" s="20"/>
      <c r="Q3" s="20"/>
      <c r="R3" s="17"/>
      <c r="S3" s="17"/>
      <c r="T3" s="17"/>
      <c r="U3" s="17"/>
      <c r="V3" s="17"/>
      <c r="W3" s="17"/>
      <c r="X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row>
    <row r="4" spans="1:196" x14ac:dyDescent="0.3">
      <c r="A4" s="21" t="s">
        <v>17</v>
      </c>
      <c r="B4" s="22" t="s">
        <v>18</v>
      </c>
      <c r="C4" s="22" t="s">
        <v>19</v>
      </c>
      <c r="D4" s="22" t="s">
        <v>20</v>
      </c>
      <c r="E4" s="22" t="s">
        <v>21</v>
      </c>
      <c r="F4" s="23" t="s">
        <v>22</v>
      </c>
      <c r="G4" s="22" t="s">
        <v>23</v>
      </c>
      <c r="H4" s="22" t="s">
        <v>24</v>
      </c>
      <c r="I4" s="22" t="s">
        <v>25</v>
      </c>
      <c r="J4" s="24" t="s">
        <v>26</v>
      </c>
      <c r="K4" s="24">
        <v>2008</v>
      </c>
      <c r="L4" s="24">
        <v>2009</v>
      </c>
      <c r="M4" s="103">
        <v>2010</v>
      </c>
      <c r="N4" s="103">
        <v>2011</v>
      </c>
      <c r="O4" s="103">
        <v>2012</v>
      </c>
      <c r="P4" s="103">
        <v>2013</v>
      </c>
      <c r="Q4" s="103">
        <v>2014</v>
      </c>
      <c r="R4" s="103">
        <v>2015</v>
      </c>
      <c r="S4" s="103">
        <v>2016</v>
      </c>
      <c r="T4" s="103">
        <v>2017</v>
      </c>
      <c r="U4" s="103">
        <v>2018</v>
      </c>
      <c r="V4" s="103">
        <v>2019</v>
      </c>
      <c r="W4" s="103">
        <v>2020</v>
      </c>
    </row>
    <row r="5" spans="1:196" x14ac:dyDescent="0.3">
      <c r="A5" s="21" t="s">
        <v>69</v>
      </c>
      <c r="B5" s="117">
        <v>2463509112</v>
      </c>
      <c r="C5" s="117">
        <v>2734102586</v>
      </c>
      <c r="D5" s="117">
        <v>3034281122.8899999</v>
      </c>
      <c r="E5" s="117">
        <v>3679522370.7400002</v>
      </c>
      <c r="F5" s="117">
        <v>3627083198</v>
      </c>
      <c r="G5" s="117">
        <v>3895466766</v>
      </c>
      <c r="H5" s="117">
        <v>4394414237.1499996</v>
      </c>
      <c r="I5" s="117">
        <v>4772677270.71</v>
      </c>
      <c r="J5" s="117">
        <v>5042199846.4699993</v>
      </c>
      <c r="K5" s="117">
        <v>5342630888.9300003</v>
      </c>
      <c r="L5" s="117">
        <v>5772295365.3200016</v>
      </c>
      <c r="M5" s="106">
        <v>6548921861.5300007</v>
      </c>
      <c r="N5" s="104">
        <v>7166169226.3100004</v>
      </c>
      <c r="O5" s="104">
        <v>7033372334.8399982</v>
      </c>
      <c r="P5" s="104">
        <v>7634426338.6300001</v>
      </c>
      <c r="Q5" s="104">
        <v>7894608495</v>
      </c>
      <c r="R5" s="111">
        <v>8237217721</v>
      </c>
      <c r="S5" s="111">
        <v>8839341576.2700005</v>
      </c>
      <c r="T5" s="131">
        <v>9369044213</v>
      </c>
      <c r="U5" s="131">
        <v>9848984446.369997</v>
      </c>
      <c r="V5" s="131">
        <v>11289606693.729998</v>
      </c>
      <c r="W5" s="131">
        <v>13839816612.109995</v>
      </c>
      <c r="X5" s="109" t="s">
        <v>84</v>
      </c>
    </row>
    <row r="6" spans="1:196" x14ac:dyDescent="0.3">
      <c r="A6" s="21" t="s">
        <v>83</v>
      </c>
      <c r="B6" s="106">
        <f t="shared" ref="B6:J6" si="0">+B5-B7</f>
        <v>537044990</v>
      </c>
      <c r="C6" s="106">
        <f t="shared" si="0"/>
        <v>743635995</v>
      </c>
      <c r="D6" s="106">
        <f t="shared" si="0"/>
        <v>701507036.88999987</v>
      </c>
      <c r="E6" s="106">
        <f t="shared" si="0"/>
        <v>1342203285.7400002</v>
      </c>
      <c r="F6" s="106">
        <f t="shared" si="0"/>
        <v>1155491092</v>
      </c>
      <c r="G6" s="106">
        <f t="shared" si="0"/>
        <v>436168328</v>
      </c>
      <c r="H6" s="106">
        <f t="shared" si="0"/>
        <v>464378459.14999962</v>
      </c>
      <c r="I6" s="106">
        <f t="shared" si="0"/>
        <v>577047131.71000004</v>
      </c>
      <c r="J6" s="106">
        <f t="shared" si="0"/>
        <v>856880827.46999931</v>
      </c>
      <c r="K6" s="106">
        <f t="shared" ref="K6:R6" si="1">+K5-K7</f>
        <v>844062272.93000031</v>
      </c>
      <c r="L6" s="106">
        <f t="shared" si="1"/>
        <v>717057221.23120117</v>
      </c>
      <c r="M6" s="106">
        <f t="shared" si="1"/>
        <v>801740923.76300049</v>
      </c>
      <c r="N6" s="108">
        <f t="shared" si="1"/>
        <v>814682856.53719997</v>
      </c>
      <c r="O6" s="108">
        <f t="shared" si="1"/>
        <v>913371235.43019772</v>
      </c>
      <c r="P6" s="108">
        <f t="shared" si="1"/>
        <v>947912536.72000122</v>
      </c>
      <c r="Q6" s="108">
        <f t="shared" si="1"/>
        <v>844962695.30620384</v>
      </c>
      <c r="R6" s="108">
        <f t="shared" si="1"/>
        <v>309536554</v>
      </c>
      <c r="S6" s="108">
        <f t="shared" ref="S6:T6" si="2">+S5-S7</f>
        <v>433264938.27000046</v>
      </c>
      <c r="T6" s="108">
        <f t="shared" si="2"/>
        <v>450049269</v>
      </c>
      <c r="U6" s="108">
        <f t="shared" ref="U6:V6" si="3">+U5-U7</f>
        <v>441554406.36999702</v>
      </c>
      <c r="V6" s="108">
        <f t="shared" si="3"/>
        <v>855652267.72999763</v>
      </c>
      <c r="W6" s="108">
        <f t="shared" ref="W6" si="4">+W5-W7</f>
        <v>1150642179.1099949</v>
      </c>
    </row>
    <row r="7" spans="1:196" x14ac:dyDescent="0.3">
      <c r="A7" s="25" t="s">
        <v>27</v>
      </c>
      <c r="B7" s="113">
        <f t="shared" ref="B7:J7" si="5">SUM(B8:B16)</f>
        <v>1926464122</v>
      </c>
      <c r="C7" s="113">
        <f t="shared" si="5"/>
        <v>1990466591</v>
      </c>
      <c r="D7" s="113">
        <f t="shared" si="5"/>
        <v>2332774086</v>
      </c>
      <c r="E7" s="113">
        <f t="shared" si="5"/>
        <v>2337319085</v>
      </c>
      <c r="F7" s="113">
        <f t="shared" si="5"/>
        <v>2471592106</v>
      </c>
      <c r="G7" s="113">
        <f t="shared" si="5"/>
        <v>3459298438</v>
      </c>
      <c r="H7" s="113">
        <f t="shared" si="5"/>
        <v>3930035778</v>
      </c>
      <c r="I7" s="113">
        <f t="shared" si="5"/>
        <v>4195630139</v>
      </c>
      <c r="J7" s="113">
        <f t="shared" si="5"/>
        <v>4185319019</v>
      </c>
      <c r="K7" s="113">
        <f t="shared" ref="K7:O7" si="6">SUM(K8:K16)</f>
        <v>4498568616</v>
      </c>
      <c r="L7" s="108">
        <f t="shared" si="6"/>
        <v>5055238144.0888004</v>
      </c>
      <c r="M7" s="108">
        <f t="shared" si="6"/>
        <v>5747180937.7670002</v>
      </c>
      <c r="N7" s="108">
        <f t="shared" si="6"/>
        <v>6351486369.7728004</v>
      </c>
      <c r="O7" s="108">
        <f t="shared" si="6"/>
        <v>6120001099.4098005</v>
      </c>
      <c r="P7" s="108">
        <f t="shared" ref="P7:U7" si="7">P18+P28+P38+P48+P58</f>
        <v>6686513801.9099989</v>
      </c>
      <c r="Q7" s="108">
        <f t="shared" si="7"/>
        <v>7049645799.6937962</v>
      </c>
      <c r="R7" s="108">
        <f t="shared" si="7"/>
        <v>7927681167</v>
      </c>
      <c r="S7" s="108">
        <f t="shared" si="7"/>
        <v>8406076638</v>
      </c>
      <c r="T7" s="108">
        <f t="shared" si="7"/>
        <v>8918994944</v>
      </c>
      <c r="U7" s="108">
        <f t="shared" si="7"/>
        <v>9407430040</v>
      </c>
      <c r="V7" s="108">
        <f>V18+V28+V38+V48+V58+V70</f>
        <v>10433954426</v>
      </c>
      <c r="W7" s="108">
        <f>W18+W28+W38+W48+W58+W70</f>
        <v>12689174433</v>
      </c>
    </row>
    <row r="8" spans="1:196" x14ac:dyDescent="0.3">
      <c r="A8" s="26" t="s">
        <v>28</v>
      </c>
      <c r="B8" s="27">
        <f t="shared" ref="B8:K8" si="8">+B19+B29+B39+B49+B59</f>
        <v>56720651</v>
      </c>
      <c r="C8" s="27">
        <f t="shared" si="8"/>
        <v>55090715</v>
      </c>
      <c r="D8" s="27">
        <f t="shared" si="8"/>
        <v>60291433</v>
      </c>
      <c r="E8" s="27">
        <f t="shared" si="8"/>
        <v>58516420</v>
      </c>
      <c r="F8" s="27">
        <f t="shared" si="8"/>
        <v>55008098</v>
      </c>
      <c r="G8" s="27">
        <f t="shared" si="8"/>
        <v>107905635</v>
      </c>
      <c r="H8" s="27">
        <f t="shared" si="8"/>
        <v>114414199</v>
      </c>
      <c r="I8" s="27">
        <f t="shared" si="8"/>
        <v>142049537</v>
      </c>
      <c r="J8" s="27">
        <f t="shared" si="8"/>
        <v>156192482</v>
      </c>
      <c r="K8" s="27">
        <f t="shared" si="8"/>
        <v>154733555</v>
      </c>
      <c r="L8" s="27">
        <v>146325923.47919998</v>
      </c>
      <c r="M8" s="27">
        <v>145290514.49930003</v>
      </c>
      <c r="N8" s="27">
        <v>166407371.89910004</v>
      </c>
      <c r="O8" s="27">
        <v>144603283.51000002</v>
      </c>
      <c r="P8" s="27"/>
      <c r="Q8" s="27"/>
      <c r="R8" s="102"/>
      <c r="S8" s="102"/>
      <c r="T8" s="102"/>
      <c r="U8" s="102"/>
      <c r="V8" s="102"/>
      <c r="W8" s="102"/>
    </row>
    <row r="9" spans="1:196" x14ac:dyDescent="0.3">
      <c r="A9" s="118" t="s">
        <v>29</v>
      </c>
      <c r="B9" s="27">
        <f t="shared" ref="B9:K9" si="9">+B20+B30+B40+B50+B60</f>
        <v>123362522</v>
      </c>
      <c r="C9" s="27">
        <f t="shared" si="9"/>
        <v>105765774</v>
      </c>
      <c r="D9" s="27">
        <f t="shared" si="9"/>
        <v>113270544</v>
      </c>
      <c r="E9" s="27">
        <f t="shared" si="9"/>
        <v>107059880</v>
      </c>
      <c r="F9" s="27">
        <f t="shared" si="9"/>
        <v>95427376</v>
      </c>
      <c r="G9" s="27">
        <f t="shared" si="9"/>
        <v>235569575</v>
      </c>
      <c r="H9" s="27">
        <f t="shared" si="9"/>
        <v>285017578</v>
      </c>
      <c r="I9" s="27">
        <f t="shared" si="9"/>
        <v>328807985</v>
      </c>
      <c r="J9" s="27">
        <f t="shared" si="9"/>
        <v>335039945</v>
      </c>
      <c r="K9" s="27">
        <f t="shared" si="9"/>
        <v>360657169</v>
      </c>
      <c r="L9" s="27">
        <v>414945243.10729992</v>
      </c>
      <c r="M9" s="27">
        <v>497578913.80700004</v>
      </c>
      <c r="N9" s="27">
        <v>551554913.32520008</v>
      </c>
      <c r="O9" s="27">
        <v>481377983.29980004</v>
      </c>
      <c r="P9" s="27"/>
      <c r="Q9" s="27"/>
      <c r="R9" s="102"/>
      <c r="S9" s="102"/>
      <c r="T9" s="102"/>
      <c r="U9" s="102"/>
      <c r="V9" s="102"/>
      <c r="W9" s="102"/>
      <c r="Y9" s="21" t="str">
        <f>+A18</f>
        <v>AGED</v>
      </c>
      <c r="Z9" s="21" t="str">
        <f>+A28</f>
        <v>BLIND AND DISABLED</v>
      </c>
      <c r="AA9" s="21" t="str">
        <f>+A38</f>
        <v>LOW INCOME CHILD</v>
      </c>
      <c r="AB9" s="21" t="str">
        <f>+A48</f>
        <v>LOW INCOME CARETAKER ADULTS</v>
      </c>
      <c r="AC9" s="21" t="str">
        <f>+A58</f>
        <v>PREGNANT WOMEN</v>
      </c>
      <c r="AD9" s="45"/>
      <c r="AE9" s="44"/>
    </row>
    <row r="10" spans="1:196" ht="12" customHeight="1" x14ac:dyDescent="0.3">
      <c r="A10" s="26" t="s">
        <v>30</v>
      </c>
      <c r="B10" s="27">
        <f t="shared" ref="B10:K10" si="10">+B21+B31+B41+B51+B61</f>
        <v>119767336</v>
      </c>
      <c r="C10" s="27">
        <f t="shared" si="10"/>
        <v>118668063</v>
      </c>
      <c r="D10" s="27">
        <f t="shared" si="10"/>
        <v>150490849</v>
      </c>
      <c r="E10" s="27">
        <f t="shared" si="10"/>
        <v>148215258</v>
      </c>
      <c r="F10" s="27">
        <f t="shared" si="10"/>
        <v>161038253</v>
      </c>
      <c r="G10" s="27">
        <f t="shared" si="10"/>
        <v>276098665</v>
      </c>
      <c r="H10" s="27">
        <f t="shared" si="10"/>
        <v>338895279</v>
      </c>
      <c r="I10" s="27">
        <f t="shared" si="10"/>
        <v>358250820</v>
      </c>
      <c r="J10" s="27">
        <f t="shared" si="10"/>
        <v>381653121</v>
      </c>
      <c r="K10" s="27">
        <f t="shared" si="10"/>
        <v>433303661</v>
      </c>
      <c r="L10" s="27">
        <v>572519343.33790004</v>
      </c>
      <c r="M10" s="27">
        <v>701432751.04890001</v>
      </c>
      <c r="N10" s="27">
        <v>757422721.60729992</v>
      </c>
      <c r="O10" s="27">
        <v>715820742.42000008</v>
      </c>
      <c r="P10" s="27"/>
      <c r="Q10" s="27"/>
      <c r="R10" s="102"/>
      <c r="S10" s="102"/>
      <c r="T10" s="102"/>
      <c r="U10" s="102"/>
      <c r="V10" s="102"/>
      <c r="W10" s="102"/>
      <c r="X10" s="22" t="s">
        <v>18</v>
      </c>
      <c r="Y10" s="43">
        <v>627877083</v>
      </c>
      <c r="Z10" s="43">
        <v>882180363</v>
      </c>
      <c r="AA10" s="43">
        <v>268404823</v>
      </c>
      <c r="AB10" s="43">
        <v>69625282</v>
      </c>
      <c r="AC10" s="43">
        <v>78376571</v>
      </c>
      <c r="AD10" s="43">
        <f t="shared" ref="AD10:AD19" si="11">SUM(X10:AC10)</f>
        <v>1926464122</v>
      </c>
    </row>
    <row r="11" spans="1:196" ht="12" customHeight="1" x14ac:dyDescent="0.3">
      <c r="A11" s="118" t="s">
        <v>31</v>
      </c>
      <c r="B11" s="27">
        <f t="shared" ref="B11:K11" si="12">+B22+B32+B42+B52+B62</f>
        <v>93737706</v>
      </c>
      <c r="C11" s="27">
        <f t="shared" si="12"/>
        <v>89957781</v>
      </c>
      <c r="D11" s="27">
        <f t="shared" si="12"/>
        <v>123076343</v>
      </c>
      <c r="E11" s="27">
        <f t="shared" si="12"/>
        <v>123617617</v>
      </c>
      <c r="F11" s="27">
        <f t="shared" si="12"/>
        <v>131683745</v>
      </c>
      <c r="G11" s="27">
        <f t="shared" si="12"/>
        <v>236650472</v>
      </c>
      <c r="H11" s="27">
        <f t="shared" si="12"/>
        <v>282397221</v>
      </c>
      <c r="I11" s="27">
        <f t="shared" si="12"/>
        <v>323718092</v>
      </c>
      <c r="J11" s="27">
        <f t="shared" si="12"/>
        <v>339849357</v>
      </c>
      <c r="K11" s="27">
        <f t="shared" si="12"/>
        <v>379685231</v>
      </c>
      <c r="L11" s="27">
        <v>453332945.08850002</v>
      </c>
      <c r="M11" s="27">
        <v>525735498.92340016</v>
      </c>
      <c r="N11" s="27">
        <v>547536868.93800008</v>
      </c>
      <c r="O11" s="27">
        <v>490330295.06999999</v>
      </c>
      <c r="P11" s="27"/>
      <c r="Q11" s="27"/>
      <c r="R11" s="102"/>
      <c r="S11" s="102"/>
      <c r="T11" s="102"/>
      <c r="U11" s="102"/>
      <c r="V11" s="102"/>
      <c r="W11" s="102"/>
      <c r="X11" s="22" t="s">
        <v>19</v>
      </c>
      <c r="Y11" s="43">
        <v>671968148</v>
      </c>
      <c r="Z11" s="43">
        <v>941582248</v>
      </c>
      <c r="AA11" s="43">
        <v>244904578</v>
      </c>
      <c r="AB11" s="43">
        <v>57573121</v>
      </c>
      <c r="AC11" s="43">
        <v>74438496</v>
      </c>
      <c r="AD11" s="43">
        <f t="shared" si="11"/>
        <v>1990466591</v>
      </c>
    </row>
    <row r="12" spans="1:196" ht="12" customHeight="1" x14ac:dyDescent="0.3">
      <c r="A12" s="26" t="s">
        <v>32</v>
      </c>
      <c r="B12" s="27">
        <f t="shared" ref="B12:K12" si="13">+B23+B33+B43+B53+B63</f>
        <v>490615481</v>
      </c>
      <c r="C12" s="27">
        <f t="shared" si="13"/>
        <v>502451025</v>
      </c>
      <c r="D12" s="27">
        <f t="shared" si="13"/>
        <v>562829729</v>
      </c>
      <c r="E12" s="27">
        <f t="shared" si="13"/>
        <v>542596514</v>
      </c>
      <c r="F12" s="27">
        <f t="shared" si="13"/>
        <v>566254178</v>
      </c>
      <c r="G12" s="27">
        <f t="shared" si="13"/>
        <v>814648471</v>
      </c>
      <c r="H12" s="27">
        <f t="shared" si="13"/>
        <v>948574867</v>
      </c>
      <c r="I12" s="27">
        <f t="shared" si="13"/>
        <v>1035297001</v>
      </c>
      <c r="J12" s="27">
        <f t="shared" si="13"/>
        <v>1033168548</v>
      </c>
      <c r="K12" s="27">
        <f t="shared" si="13"/>
        <v>1100919710</v>
      </c>
      <c r="L12" s="27">
        <v>1196362088.0653002</v>
      </c>
      <c r="M12" s="27">
        <v>1353957962.1231999</v>
      </c>
      <c r="N12" s="27">
        <v>1555935848.0597999</v>
      </c>
      <c r="O12" s="27">
        <v>1492606015.7</v>
      </c>
      <c r="P12" s="27"/>
      <c r="Q12" s="27"/>
      <c r="R12" s="102"/>
      <c r="S12" s="102"/>
      <c r="T12" s="102"/>
      <c r="U12" s="102"/>
      <c r="V12" s="102"/>
      <c r="W12" s="102"/>
      <c r="X12" s="22" t="s">
        <v>20</v>
      </c>
      <c r="Y12" s="43">
        <v>791196750</v>
      </c>
      <c r="Z12" s="43">
        <v>1101222580</v>
      </c>
      <c r="AA12" s="43">
        <v>306797745</v>
      </c>
      <c r="AB12" s="43">
        <v>59423694</v>
      </c>
      <c r="AC12" s="43">
        <v>74133317</v>
      </c>
      <c r="AD12" s="43">
        <f t="shared" si="11"/>
        <v>2332774086</v>
      </c>
    </row>
    <row r="13" spans="1:196" ht="12" customHeight="1" x14ac:dyDescent="0.3">
      <c r="A13" s="118" t="s">
        <v>33</v>
      </c>
      <c r="B13" s="27">
        <f t="shared" ref="B13:K13" si="14">+B24+B34+B44+B54+B64</f>
        <v>385580191</v>
      </c>
      <c r="C13" s="27">
        <f t="shared" si="14"/>
        <v>416511122</v>
      </c>
      <c r="D13" s="27">
        <f t="shared" si="14"/>
        <v>497382298</v>
      </c>
      <c r="E13" s="27">
        <f t="shared" si="14"/>
        <v>518889368</v>
      </c>
      <c r="F13" s="27">
        <f t="shared" si="14"/>
        <v>571604926</v>
      </c>
      <c r="G13" s="27">
        <f t="shared" si="14"/>
        <v>800971896</v>
      </c>
      <c r="H13" s="27">
        <f t="shared" si="14"/>
        <v>905108727</v>
      </c>
      <c r="I13" s="27">
        <f t="shared" si="14"/>
        <v>993848468</v>
      </c>
      <c r="J13" s="27">
        <f t="shared" si="14"/>
        <v>1006828929</v>
      </c>
      <c r="K13" s="27">
        <f t="shared" si="14"/>
        <v>1089099633</v>
      </c>
      <c r="L13" s="27">
        <v>1209029140.3845997</v>
      </c>
      <c r="M13" s="27">
        <v>1371356721.6494</v>
      </c>
      <c r="N13" s="27">
        <v>1550201723.9981999</v>
      </c>
      <c r="O13" s="27">
        <v>1540094054.3199999</v>
      </c>
      <c r="P13" s="27"/>
      <c r="Q13" s="27"/>
      <c r="R13" s="102"/>
      <c r="S13" s="102"/>
      <c r="T13" s="102"/>
      <c r="U13" s="102"/>
      <c r="V13" s="102"/>
      <c r="W13" s="102"/>
      <c r="X13" s="22" t="s">
        <v>21</v>
      </c>
      <c r="Y13" s="43">
        <v>803609018</v>
      </c>
      <c r="Z13" s="43">
        <v>1111877789</v>
      </c>
      <c r="AA13" s="43">
        <v>300554806</v>
      </c>
      <c r="AB13" s="43">
        <v>53844150</v>
      </c>
      <c r="AC13" s="43">
        <v>67433322</v>
      </c>
      <c r="AD13" s="43">
        <f t="shared" si="11"/>
        <v>2337319085</v>
      </c>
    </row>
    <row r="14" spans="1:196" ht="12" customHeight="1" x14ac:dyDescent="0.3">
      <c r="A14" s="26" t="s">
        <v>34</v>
      </c>
      <c r="B14" s="27">
        <f t="shared" ref="B14:K14" si="15">+B25+B35+B45+B55+B65</f>
        <v>191579014</v>
      </c>
      <c r="C14" s="27">
        <f t="shared" si="15"/>
        <v>204946295</v>
      </c>
      <c r="D14" s="27">
        <f t="shared" si="15"/>
        <v>235798218</v>
      </c>
      <c r="E14" s="27">
        <f t="shared" si="15"/>
        <v>240843193</v>
      </c>
      <c r="F14" s="27">
        <f t="shared" si="15"/>
        <v>259375835</v>
      </c>
      <c r="G14" s="27">
        <f t="shared" si="15"/>
        <v>302636233</v>
      </c>
      <c r="H14" s="27">
        <f t="shared" si="15"/>
        <v>320552370</v>
      </c>
      <c r="I14" s="27">
        <f t="shared" si="15"/>
        <v>296958899</v>
      </c>
      <c r="J14" s="27">
        <f t="shared" si="15"/>
        <v>265721493</v>
      </c>
      <c r="K14" s="27">
        <f t="shared" si="15"/>
        <v>287325672</v>
      </c>
      <c r="L14" s="27">
        <v>318386115.04900002</v>
      </c>
      <c r="M14" s="27">
        <v>347972191.10400003</v>
      </c>
      <c r="N14" s="27">
        <v>374556929.10870004</v>
      </c>
      <c r="O14" s="27">
        <v>402313255.68000001</v>
      </c>
      <c r="P14" s="27"/>
      <c r="Q14" s="27"/>
      <c r="R14" s="102"/>
      <c r="S14" s="102"/>
      <c r="T14" s="102"/>
      <c r="U14" s="102"/>
      <c r="V14" s="102"/>
      <c r="W14" s="102"/>
      <c r="X14" s="23" t="s">
        <v>22</v>
      </c>
      <c r="Y14" s="43">
        <v>855413471</v>
      </c>
      <c r="Z14" s="43">
        <v>1190399303</v>
      </c>
      <c r="AA14" s="43">
        <v>308810618</v>
      </c>
      <c r="AB14" s="43">
        <v>51607246</v>
      </c>
      <c r="AC14" s="43">
        <v>65361468</v>
      </c>
      <c r="AD14" s="43">
        <f t="shared" si="11"/>
        <v>2471592106</v>
      </c>
    </row>
    <row r="15" spans="1:196" ht="12" customHeight="1" x14ac:dyDescent="0.3">
      <c r="A15" s="118" t="s">
        <v>35</v>
      </c>
      <c r="B15" s="27">
        <f t="shared" ref="B15:K15" si="16">+B26+B36+B46+B56+B66</f>
        <v>237100309</v>
      </c>
      <c r="C15" s="27">
        <f t="shared" si="16"/>
        <v>255030693</v>
      </c>
      <c r="D15" s="27">
        <f t="shared" si="16"/>
        <v>299448305</v>
      </c>
      <c r="E15" s="27">
        <f t="shared" si="16"/>
        <v>306526030</v>
      </c>
      <c r="F15" s="27">
        <f t="shared" si="16"/>
        <v>324703876</v>
      </c>
      <c r="G15" s="27">
        <f t="shared" si="16"/>
        <v>356724786</v>
      </c>
      <c r="H15" s="27">
        <f t="shared" si="16"/>
        <v>381489398</v>
      </c>
      <c r="I15" s="27">
        <f t="shared" si="16"/>
        <v>363608779</v>
      </c>
      <c r="J15" s="27">
        <f t="shared" si="16"/>
        <v>325350520</v>
      </c>
      <c r="K15" s="27">
        <f t="shared" si="16"/>
        <v>337238596</v>
      </c>
      <c r="L15" s="27">
        <v>359317632.21859992</v>
      </c>
      <c r="M15" s="27">
        <v>381530533.29359996</v>
      </c>
      <c r="N15" s="27">
        <v>402838738.51840001</v>
      </c>
      <c r="O15" s="27">
        <v>399390540.01999998</v>
      </c>
      <c r="P15" s="27"/>
      <c r="Q15" s="27"/>
      <c r="R15" s="102"/>
      <c r="S15" s="102"/>
      <c r="T15" s="102"/>
      <c r="U15" s="102"/>
      <c r="V15" s="102"/>
      <c r="W15" s="102"/>
      <c r="X15" s="22" t="s">
        <v>23</v>
      </c>
      <c r="Y15" s="43">
        <v>946550455</v>
      </c>
      <c r="Z15" s="43">
        <v>1628416180</v>
      </c>
      <c r="AA15" s="43">
        <v>636778584</v>
      </c>
      <c r="AB15" s="43">
        <v>153716139</v>
      </c>
      <c r="AC15" s="43">
        <v>93837080</v>
      </c>
      <c r="AD15" s="43">
        <f t="shared" si="11"/>
        <v>3459298438</v>
      </c>
    </row>
    <row r="16" spans="1:196" ht="12" customHeight="1" x14ac:dyDescent="0.3">
      <c r="A16" s="28" t="s">
        <v>36</v>
      </c>
      <c r="B16" s="29">
        <f t="shared" ref="B16:K16" si="17">+B27+B37+B47+B57+B67</f>
        <v>228000912</v>
      </c>
      <c r="C16" s="29">
        <f t="shared" si="17"/>
        <v>242045123</v>
      </c>
      <c r="D16" s="29">
        <f t="shared" si="17"/>
        <v>290186367</v>
      </c>
      <c r="E16" s="29">
        <f t="shared" si="17"/>
        <v>291054805</v>
      </c>
      <c r="F16" s="29">
        <f t="shared" si="17"/>
        <v>306495819</v>
      </c>
      <c r="G16" s="29">
        <f t="shared" si="17"/>
        <v>328092705</v>
      </c>
      <c r="H16" s="29">
        <f t="shared" si="17"/>
        <v>353586139</v>
      </c>
      <c r="I16" s="29">
        <f t="shared" si="17"/>
        <v>353090558</v>
      </c>
      <c r="J16" s="29">
        <f t="shared" si="17"/>
        <v>341514624</v>
      </c>
      <c r="K16" s="29">
        <f t="shared" si="17"/>
        <v>355605389</v>
      </c>
      <c r="L16" s="29">
        <v>385019713.35839999</v>
      </c>
      <c r="M16" s="29">
        <v>422325851.31820005</v>
      </c>
      <c r="N16" s="29">
        <v>445031254.31810004</v>
      </c>
      <c r="O16" s="27">
        <v>453464929.39000005</v>
      </c>
      <c r="P16" s="27"/>
      <c r="Q16" s="27"/>
      <c r="R16" s="102"/>
      <c r="S16" s="102"/>
      <c r="T16" s="102"/>
      <c r="U16" s="102"/>
      <c r="V16" s="102"/>
      <c r="W16" s="102"/>
      <c r="X16" s="22" t="s">
        <v>24</v>
      </c>
      <c r="Y16" s="43">
        <v>1006038512</v>
      </c>
      <c r="Z16" s="43">
        <v>1766849619</v>
      </c>
      <c r="AA16" s="43">
        <v>783732499</v>
      </c>
      <c r="AB16" s="43">
        <v>251649591</v>
      </c>
      <c r="AC16" s="43">
        <v>121765557</v>
      </c>
      <c r="AD16" s="43">
        <f t="shared" si="11"/>
        <v>3930035778</v>
      </c>
    </row>
    <row r="17" spans="1:38" ht="12" customHeight="1" x14ac:dyDescent="0.3">
      <c r="A17" s="30"/>
      <c r="B17" s="31"/>
      <c r="C17" s="31" t="s">
        <v>37</v>
      </c>
      <c r="D17" s="31"/>
      <c r="E17" s="31"/>
      <c r="F17" s="32"/>
      <c r="G17" s="31"/>
      <c r="H17" s="31"/>
      <c r="I17" s="31"/>
      <c r="J17" s="31"/>
      <c r="K17" s="31"/>
      <c r="L17" s="105"/>
      <c r="M17" s="31"/>
      <c r="N17" s="31"/>
      <c r="O17" s="31"/>
      <c r="P17" s="31"/>
      <c r="Q17" s="31"/>
      <c r="R17" s="102"/>
      <c r="S17" s="102"/>
      <c r="T17" s="102"/>
      <c r="U17" s="102"/>
      <c r="V17" s="102"/>
      <c r="W17" s="102"/>
      <c r="X17" s="22" t="s">
        <v>25</v>
      </c>
      <c r="Y17" s="43">
        <v>960317862</v>
      </c>
      <c r="Z17" s="43">
        <v>1927907845</v>
      </c>
      <c r="AA17" s="43">
        <v>886991616</v>
      </c>
      <c r="AB17" s="43">
        <v>285002681</v>
      </c>
      <c r="AC17" s="43">
        <v>135410135</v>
      </c>
      <c r="AD17" s="43">
        <f t="shared" si="11"/>
        <v>4195630139</v>
      </c>
    </row>
    <row r="18" spans="1:38" ht="12" customHeight="1" x14ac:dyDescent="0.3">
      <c r="A18" s="25" t="s">
        <v>38</v>
      </c>
      <c r="B18" s="113">
        <f t="shared" ref="B18:J18" si="18">SUM(B19:B27)</f>
        <v>627877083</v>
      </c>
      <c r="C18" s="113">
        <f t="shared" si="18"/>
        <v>671968148</v>
      </c>
      <c r="D18" s="113">
        <f t="shared" si="18"/>
        <v>791196750</v>
      </c>
      <c r="E18" s="113">
        <f t="shared" si="18"/>
        <v>803609018</v>
      </c>
      <c r="F18" s="113">
        <f t="shared" si="18"/>
        <v>855413471</v>
      </c>
      <c r="G18" s="113">
        <f t="shared" si="18"/>
        <v>946550455</v>
      </c>
      <c r="H18" s="113">
        <f t="shared" si="18"/>
        <v>1006038512</v>
      </c>
      <c r="I18" s="113">
        <f t="shared" si="18"/>
        <v>960317862</v>
      </c>
      <c r="J18" s="108">
        <f t="shared" si="18"/>
        <v>879007540</v>
      </c>
      <c r="K18" s="108">
        <f>SUM(K19:K27)</f>
        <v>915641527</v>
      </c>
      <c r="L18" s="108">
        <v>989332779.44609988</v>
      </c>
      <c r="M18" s="108">
        <v>1055680081.7954001</v>
      </c>
      <c r="N18" s="108">
        <v>1103369211.4154</v>
      </c>
      <c r="O18" s="43">
        <v>1109484511.2067997</v>
      </c>
      <c r="P18" s="43">
        <v>1163438361.8199999</v>
      </c>
      <c r="Q18" s="43">
        <v>1340078348.003361</v>
      </c>
      <c r="R18" s="126">
        <v>1525859956</v>
      </c>
      <c r="S18" s="126">
        <v>1603541204</v>
      </c>
      <c r="T18" s="132">
        <v>1827279495</v>
      </c>
      <c r="U18" s="136">
        <v>2041170724</v>
      </c>
      <c r="V18" s="136">
        <v>2086590839</v>
      </c>
      <c r="W18" s="136">
        <v>2225144523</v>
      </c>
      <c r="X18" s="24" t="s">
        <v>26</v>
      </c>
      <c r="Y18" s="43">
        <v>879007540</v>
      </c>
      <c r="Z18" s="43">
        <v>341086266</v>
      </c>
      <c r="AA18" s="43">
        <v>924911506</v>
      </c>
      <c r="AB18" s="43">
        <v>284787267</v>
      </c>
      <c r="AC18" s="43">
        <v>136712606</v>
      </c>
      <c r="AD18" s="43">
        <f t="shared" si="11"/>
        <v>2566505185</v>
      </c>
    </row>
    <row r="19" spans="1:38" ht="12" customHeight="1" x14ac:dyDescent="0.3">
      <c r="A19" s="26" t="s">
        <v>28</v>
      </c>
      <c r="B19" s="27">
        <v>0</v>
      </c>
      <c r="C19" s="27">
        <v>437</v>
      </c>
      <c r="D19" s="27">
        <v>0</v>
      </c>
      <c r="E19" s="27">
        <v>0</v>
      </c>
      <c r="F19" s="27">
        <v>0</v>
      </c>
      <c r="G19" s="27">
        <v>7105</v>
      </c>
      <c r="H19" s="27">
        <v>5547</v>
      </c>
      <c r="I19" s="27">
        <v>1692</v>
      </c>
      <c r="J19" s="27">
        <v>43</v>
      </c>
      <c r="K19" s="27">
        <f>196+11</f>
        <v>207</v>
      </c>
      <c r="L19" s="27"/>
      <c r="M19" s="27"/>
      <c r="N19" s="27"/>
      <c r="O19" s="104"/>
      <c r="P19" s="104"/>
      <c r="Q19" s="104"/>
      <c r="R19" s="128"/>
      <c r="S19" s="128"/>
      <c r="T19" s="128"/>
      <c r="U19" s="128"/>
      <c r="V19" s="128"/>
      <c r="W19" s="128"/>
      <c r="X19" s="24">
        <v>2008</v>
      </c>
      <c r="Y19" s="43">
        <v>915641527</v>
      </c>
      <c r="Z19" s="43">
        <v>2123248703</v>
      </c>
      <c r="AA19" s="43">
        <v>1008884322</v>
      </c>
      <c r="AB19" s="43">
        <v>310939346</v>
      </c>
      <c r="AC19" s="43">
        <v>139854718</v>
      </c>
      <c r="AD19" s="43">
        <f t="shared" si="11"/>
        <v>4498570624</v>
      </c>
    </row>
    <row r="20" spans="1:38" ht="12" customHeight="1" x14ac:dyDescent="0.3">
      <c r="A20" s="118" t="s">
        <v>29</v>
      </c>
      <c r="B20" s="27">
        <v>0</v>
      </c>
      <c r="C20" s="27">
        <v>0</v>
      </c>
      <c r="D20" s="27">
        <v>0</v>
      </c>
      <c r="E20" s="27">
        <v>0</v>
      </c>
      <c r="F20" s="27">
        <v>0</v>
      </c>
      <c r="G20" s="27">
        <v>16</v>
      </c>
      <c r="H20" s="27">
        <v>20</v>
      </c>
      <c r="I20" s="27">
        <v>3110</v>
      </c>
      <c r="J20" s="27">
        <v>23189</v>
      </c>
      <c r="K20" s="27">
        <v>0</v>
      </c>
      <c r="L20" s="27"/>
      <c r="M20" s="27"/>
      <c r="N20" s="27"/>
      <c r="O20" s="104"/>
      <c r="P20" s="104"/>
      <c r="Q20" s="104"/>
      <c r="R20" s="129"/>
      <c r="S20" s="129"/>
      <c r="T20" s="129"/>
      <c r="U20" s="129"/>
      <c r="V20" s="129"/>
      <c r="W20" s="129"/>
      <c r="X20" s="24">
        <v>2008</v>
      </c>
      <c r="Y20" s="43">
        <v>955541749</v>
      </c>
      <c r="Z20" s="43">
        <v>2286464557</v>
      </c>
      <c r="AA20" s="43">
        <v>1115914112</v>
      </c>
      <c r="AB20" s="43">
        <v>342326676</v>
      </c>
      <c r="AC20" s="43">
        <v>136484575</v>
      </c>
      <c r="AD20" s="43">
        <f>SUM(X20:AC20)</f>
        <v>4836733677</v>
      </c>
    </row>
    <row r="21" spans="1:38" ht="12" customHeight="1" x14ac:dyDescent="0.3">
      <c r="A21" s="26" t="s">
        <v>30</v>
      </c>
      <c r="B21" s="27">
        <v>0</v>
      </c>
      <c r="C21" s="27">
        <v>0</v>
      </c>
      <c r="D21" s="27">
        <v>50</v>
      </c>
      <c r="E21" s="27">
        <v>0</v>
      </c>
      <c r="F21" s="27">
        <v>0</v>
      </c>
      <c r="G21" s="27">
        <v>770</v>
      </c>
      <c r="H21" s="27">
        <v>2730</v>
      </c>
      <c r="I21" s="27">
        <v>0</v>
      </c>
      <c r="J21" s="27">
        <v>0</v>
      </c>
      <c r="K21" s="27">
        <v>2022</v>
      </c>
      <c r="L21" s="27"/>
      <c r="M21" s="27"/>
      <c r="N21" s="27"/>
      <c r="O21" s="104"/>
      <c r="P21" s="104"/>
      <c r="Q21" s="104"/>
      <c r="R21" s="129"/>
      <c r="S21" s="129"/>
      <c r="T21" s="129"/>
      <c r="U21" s="129"/>
      <c r="V21" s="129"/>
      <c r="W21" s="129"/>
    </row>
    <row r="22" spans="1:38" ht="12" customHeight="1" x14ac:dyDescent="0.3">
      <c r="A22" s="118" t="s">
        <v>31</v>
      </c>
      <c r="B22" s="27">
        <v>0</v>
      </c>
      <c r="C22" s="27">
        <v>0</v>
      </c>
      <c r="D22" s="27">
        <v>0</v>
      </c>
      <c r="E22" s="27">
        <v>2446</v>
      </c>
      <c r="F22" s="27">
        <v>0</v>
      </c>
      <c r="G22" s="27">
        <v>0</v>
      </c>
      <c r="H22" s="27">
        <v>0</v>
      </c>
      <c r="I22" s="27">
        <v>2792</v>
      </c>
      <c r="J22" s="27">
        <v>0</v>
      </c>
      <c r="K22" s="27">
        <v>0</v>
      </c>
      <c r="L22" s="27"/>
      <c r="M22" s="27"/>
      <c r="N22" s="27"/>
      <c r="O22" s="104"/>
      <c r="P22" s="104"/>
      <c r="Q22" s="104"/>
      <c r="R22" s="129"/>
      <c r="S22" s="129"/>
      <c r="T22" s="129"/>
      <c r="U22" s="129"/>
      <c r="V22" s="129"/>
      <c r="W22" s="129"/>
    </row>
    <row r="23" spans="1:38" ht="12" customHeight="1" x14ac:dyDescent="0.3">
      <c r="A23" s="26" t="s">
        <v>32</v>
      </c>
      <c r="B23" s="27">
        <v>1926</v>
      </c>
      <c r="C23" s="27">
        <v>175</v>
      </c>
      <c r="D23" s="27">
        <v>48</v>
      </c>
      <c r="E23" s="27">
        <v>0</v>
      </c>
      <c r="F23" s="27">
        <v>128229</v>
      </c>
      <c r="G23" s="27">
        <v>2572</v>
      </c>
      <c r="H23" s="27">
        <v>17536</v>
      </c>
      <c r="I23" s="27">
        <v>75460</v>
      </c>
      <c r="J23" s="27">
        <v>29107</v>
      </c>
      <c r="K23" s="27">
        <v>33123</v>
      </c>
      <c r="L23" s="27"/>
      <c r="M23" s="27"/>
      <c r="N23" s="27"/>
      <c r="O23" s="104"/>
      <c r="P23" s="104"/>
      <c r="Q23" s="104"/>
      <c r="R23" s="129"/>
      <c r="S23" s="129"/>
      <c r="T23" s="129"/>
      <c r="U23" s="129"/>
      <c r="V23" s="129"/>
      <c r="W23" s="129"/>
      <c r="X23" s="46" t="s">
        <v>59</v>
      </c>
    </row>
    <row r="24" spans="1:38" ht="12" customHeight="1" x14ac:dyDescent="0.3">
      <c r="A24" s="118" t="s">
        <v>33</v>
      </c>
      <c r="B24" s="27">
        <v>110710</v>
      </c>
      <c r="C24" s="27">
        <v>166042</v>
      </c>
      <c r="D24" s="27">
        <v>101083</v>
      </c>
      <c r="E24" s="27">
        <v>182979</v>
      </c>
      <c r="F24" s="27">
        <v>146477</v>
      </c>
      <c r="G24" s="27">
        <v>124884</v>
      </c>
      <c r="H24" s="27">
        <v>262997</v>
      </c>
      <c r="I24" s="27">
        <v>144344</v>
      </c>
      <c r="J24" s="27">
        <v>196085</v>
      </c>
      <c r="K24" s="27">
        <v>178466</v>
      </c>
      <c r="L24" s="27"/>
      <c r="M24" s="27"/>
      <c r="N24" s="27"/>
      <c r="O24" s="104"/>
      <c r="P24" s="104"/>
      <c r="Q24" s="104"/>
      <c r="R24" s="129"/>
      <c r="S24" s="129"/>
      <c r="T24" s="129"/>
      <c r="U24" s="129"/>
      <c r="V24" s="129"/>
      <c r="W24" s="129"/>
      <c r="X24" s="152" t="s">
        <v>60</v>
      </c>
      <c r="Y24" s="152"/>
      <c r="Z24" s="152"/>
      <c r="AA24" s="152"/>
      <c r="AB24" s="152"/>
      <c r="AC24" s="152"/>
      <c r="AD24" s="152"/>
      <c r="AE24" s="152"/>
      <c r="AF24" s="152"/>
      <c r="AG24" s="152"/>
      <c r="AH24" s="152"/>
      <c r="AI24" s="152"/>
      <c r="AJ24" s="152"/>
      <c r="AK24" s="152"/>
      <c r="AL24" s="152"/>
    </row>
    <row r="25" spans="1:38" ht="12" customHeight="1" x14ac:dyDescent="0.3">
      <c r="A25" s="26" t="s">
        <v>34</v>
      </c>
      <c r="B25" s="27">
        <v>164310646</v>
      </c>
      <c r="C25" s="27">
        <v>176400837</v>
      </c>
      <c r="D25" s="27">
        <v>203479029</v>
      </c>
      <c r="E25" s="27">
        <v>207770368</v>
      </c>
      <c r="F25" s="27">
        <v>225921872</v>
      </c>
      <c r="G25" s="27">
        <v>263108808</v>
      </c>
      <c r="H25" s="27">
        <v>272331951</v>
      </c>
      <c r="I25" s="27">
        <v>244907749</v>
      </c>
      <c r="J25" s="27">
        <v>213125101</v>
      </c>
      <c r="K25" s="27">
        <v>223824068</v>
      </c>
      <c r="L25" s="27"/>
      <c r="M25" s="27"/>
      <c r="N25" s="27"/>
      <c r="O25" s="104"/>
      <c r="P25" s="104"/>
      <c r="Q25" s="104"/>
      <c r="R25" s="129"/>
      <c r="S25" s="129"/>
      <c r="T25" s="129"/>
      <c r="U25" s="129"/>
      <c r="V25" s="129"/>
      <c r="W25" s="129"/>
      <c r="X25" s="48" t="s">
        <v>61</v>
      </c>
      <c r="Y25" s="48" t="s">
        <v>0</v>
      </c>
      <c r="Z25" s="48" t="s">
        <v>2</v>
      </c>
      <c r="AA25" s="48" t="s">
        <v>62</v>
      </c>
      <c r="AB25" s="48" t="s">
        <v>63</v>
      </c>
      <c r="AC25" s="48" t="s">
        <v>64</v>
      </c>
      <c r="AD25" s="48" t="s">
        <v>65</v>
      </c>
      <c r="AE25" s="48" t="s">
        <v>66</v>
      </c>
      <c r="AF25" s="48" t="s">
        <v>63</v>
      </c>
      <c r="AG25" s="48" t="s">
        <v>67</v>
      </c>
      <c r="AH25" s="48"/>
      <c r="AI25" s="48" t="s">
        <v>75</v>
      </c>
      <c r="AJ25" s="48" t="s">
        <v>68</v>
      </c>
      <c r="AK25" s="49" t="s">
        <v>69</v>
      </c>
      <c r="AL25" s="49" t="s">
        <v>70</v>
      </c>
    </row>
    <row r="26" spans="1:38" ht="12" customHeight="1" thickBot="1" x14ac:dyDescent="0.35">
      <c r="A26" s="118" t="s">
        <v>35</v>
      </c>
      <c r="B26" s="27">
        <v>236015932</v>
      </c>
      <c r="C26" s="27">
        <v>253969887</v>
      </c>
      <c r="D26" s="27">
        <v>298007817</v>
      </c>
      <c r="E26" s="27">
        <v>305182021</v>
      </c>
      <c r="F26" s="27">
        <v>323120058</v>
      </c>
      <c r="G26" s="27">
        <v>355614859</v>
      </c>
      <c r="H26" s="27">
        <v>380382745</v>
      </c>
      <c r="I26" s="27">
        <v>362611935</v>
      </c>
      <c r="J26" s="27">
        <v>324547749</v>
      </c>
      <c r="K26" s="27">
        <v>336368768</v>
      </c>
      <c r="L26" s="27"/>
      <c r="M26" s="27"/>
      <c r="N26" s="27"/>
      <c r="O26" s="104"/>
      <c r="P26" s="104"/>
      <c r="Q26" s="104"/>
      <c r="R26" s="129"/>
      <c r="S26" s="129"/>
      <c r="T26" s="129"/>
      <c r="U26" s="129"/>
      <c r="V26" s="129"/>
      <c r="W26" s="129"/>
      <c r="X26" s="50">
        <v>1999</v>
      </c>
      <c r="Y26" s="51">
        <v>627.87708299999997</v>
      </c>
      <c r="Z26" s="51">
        <v>882.18036199999995</v>
      </c>
      <c r="AA26" s="51">
        <f>+Z26+Y26</f>
        <v>1510.0574449999999</v>
      </c>
      <c r="AB26" s="52">
        <f>+AA26/AK26</f>
        <v>0.63947549970356565</v>
      </c>
      <c r="AC26" s="51">
        <v>268.40482300000002</v>
      </c>
      <c r="AD26" s="51">
        <v>69.625282999999996</v>
      </c>
      <c r="AE26" s="51">
        <f>+AD26+AC26</f>
        <v>338.03010600000005</v>
      </c>
      <c r="AF26" s="52">
        <f>+AE26/AK26</f>
        <v>0.14314817735241808</v>
      </c>
      <c r="AG26" s="51">
        <v>78.376570999999998</v>
      </c>
      <c r="AH26" s="52">
        <f>+AG26/AK26</f>
        <v>3.3190722029304648E-2</v>
      </c>
      <c r="AI26" s="53">
        <f>+AK26-AG26-AE26-AA26</f>
        <v>434.93587800000023</v>
      </c>
      <c r="AJ26" s="73">
        <v>0.14599999999999999</v>
      </c>
      <c r="AK26" s="54">
        <v>2361.4</v>
      </c>
      <c r="AL26" s="72">
        <v>4.3999999999999997E-2</v>
      </c>
    </row>
    <row r="27" spans="1:38" ht="12" customHeight="1" thickBot="1" x14ac:dyDescent="0.35">
      <c r="A27" s="28" t="s">
        <v>36</v>
      </c>
      <c r="B27" s="29">
        <v>227437869</v>
      </c>
      <c r="C27" s="29">
        <v>241430770</v>
      </c>
      <c r="D27" s="29">
        <v>289608723</v>
      </c>
      <c r="E27" s="29">
        <v>290471204</v>
      </c>
      <c r="F27" s="29">
        <v>306096835</v>
      </c>
      <c r="G27" s="29">
        <v>327691441</v>
      </c>
      <c r="H27" s="29">
        <v>353034986</v>
      </c>
      <c r="I27" s="29">
        <v>352570780</v>
      </c>
      <c r="J27" s="29">
        <v>341086266</v>
      </c>
      <c r="K27" s="29">
        <v>355234873</v>
      </c>
      <c r="L27" s="29"/>
      <c r="M27" s="29"/>
      <c r="N27" s="29"/>
      <c r="O27" s="104"/>
      <c r="P27" s="104"/>
      <c r="Q27" s="104"/>
      <c r="R27" s="129"/>
      <c r="S27" s="129"/>
      <c r="T27" s="129"/>
      <c r="U27" s="129"/>
      <c r="V27" s="129"/>
      <c r="W27" s="129"/>
      <c r="X27" s="50">
        <v>2000</v>
      </c>
      <c r="Y27" s="51">
        <v>671.96814800000004</v>
      </c>
      <c r="Z27" s="51">
        <v>941.58224800000005</v>
      </c>
      <c r="AA27" s="51">
        <f t="shared" ref="AA27:AA36" si="19">+Z27+Y27</f>
        <v>1613.5503960000001</v>
      </c>
      <c r="AB27" s="52">
        <f t="shared" ref="AB27:AB36" si="20">+AA27/AK27</f>
        <v>0.61826591922752705</v>
      </c>
      <c r="AC27" s="51">
        <v>244.90457799999999</v>
      </c>
      <c r="AD27" s="51">
        <v>57.573120000000003</v>
      </c>
      <c r="AE27" s="51">
        <f t="shared" ref="AE27:AE36" si="21">+AD27+AC27</f>
        <v>302.47769799999998</v>
      </c>
      <c r="AF27" s="52">
        <f t="shared" ref="AF27:AF36" si="22">+AE27/AK27</f>
        <v>0.11590071959537128</v>
      </c>
      <c r="AG27" s="51">
        <v>74.438496999999998</v>
      </c>
      <c r="AH27" s="52">
        <f t="shared" ref="AH27:AH36" si="23">+AG27/AK27</f>
        <v>2.8522682581040688E-2</v>
      </c>
      <c r="AI27" s="53">
        <f t="shared" ref="AI27:AI34" si="24">+AK27-AG27-AE27-AA27</f>
        <v>619.33340899999985</v>
      </c>
      <c r="AJ27" s="73">
        <v>6.9000000000000006E-2</v>
      </c>
      <c r="AK27" s="54">
        <v>2609.8000000000002</v>
      </c>
      <c r="AL27" s="72">
        <v>5.6000000000000001E-2</v>
      </c>
    </row>
    <row r="28" spans="1:38" ht="14.1" customHeight="1" thickBot="1" x14ac:dyDescent="0.35">
      <c r="A28" s="33" t="s">
        <v>39</v>
      </c>
      <c r="B28" s="113">
        <f t="shared" ref="B28:I28" si="25">SUM(B29:B37)</f>
        <v>882180363</v>
      </c>
      <c r="C28" s="113">
        <f t="shared" si="25"/>
        <v>941582248</v>
      </c>
      <c r="D28" s="113">
        <f t="shared" si="25"/>
        <v>1101222580</v>
      </c>
      <c r="E28" s="113">
        <f t="shared" si="25"/>
        <v>1111877789</v>
      </c>
      <c r="F28" s="113">
        <f t="shared" si="25"/>
        <v>1190399303</v>
      </c>
      <c r="G28" s="113">
        <f t="shared" si="25"/>
        <v>1628416180</v>
      </c>
      <c r="H28" s="113">
        <f t="shared" si="25"/>
        <v>1766849619</v>
      </c>
      <c r="I28" s="114">
        <f t="shared" si="25"/>
        <v>1927907845</v>
      </c>
      <c r="J28" s="115">
        <f>SUM(J29:J37)</f>
        <v>1959900100</v>
      </c>
      <c r="K28" s="115">
        <f>SUM(K29:K37)</f>
        <v>2123248703</v>
      </c>
      <c r="L28" s="115">
        <v>2367772189.9509997</v>
      </c>
      <c r="M28" s="108">
        <v>2650529277.2846999</v>
      </c>
      <c r="N28" s="108">
        <v>2927329706.6775999</v>
      </c>
      <c r="O28" s="43">
        <v>2933697396.9508996</v>
      </c>
      <c r="P28" s="43">
        <v>3208380501.8800001</v>
      </c>
      <c r="Q28" s="43">
        <v>3406900920.4152279</v>
      </c>
      <c r="R28" s="126">
        <v>3881275736</v>
      </c>
      <c r="S28" s="126">
        <v>4138449867</v>
      </c>
      <c r="T28" s="133">
        <v>4321327032</v>
      </c>
      <c r="U28" s="136">
        <v>4444816939</v>
      </c>
      <c r="V28" s="136">
        <v>4584153083</v>
      </c>
      <c r="W28" s="136">
        <v>4654258115</v>
      </c>
      <c r="X28" s="50">
        <v>2001</v>
      </c>
      <c r="Y28" s="51">
        <v>791.19674899999995</v>
      </c>
      <c r="Z28" s="51">
        <v>1101.222579</v>
      </c>
      <c r="AA28" s="51">
        <f t="shared" si="19"/>
        <v>1892.419328</v>
      </c>
      <c r="AB28" s="52">
        <f t="shared" si="20"/>
        <v>0.65395650286820095</v>
      </c>
      <c r="AC28" s="51">
        <v>306.79774200000003</v>
      </c>
      <c r="AD28" s="51">
        <v>59.423693</v>
      </c>
      <c r="AE28" s="51">
        <f t="shared" si="21"/>
        <v>366.22143500000004</v>
      </c>
      <c r="AF28" s="52">
        <f t="shared" si="22"/>
        <v>0.12655381678070357</v>
      </c>
      <c r="AG28" s="51">
        <v>74.133317000000005</v>
      </c>
      <c r="AH28" s="52">
        <f t="shared" si="23"/>
        <v>2.5617982237887898E-2</v>
      </c>
      <c r="AI28" s="53">
        <f t="shared" si="24"/>
        <v>561.0259200000005</v>
      </c>
      <c r="AJ28" s="73">
        <v>7.5999999999999998E-2</v>
      </c>
      <c r="AK28" s="54">
        <v>2893.8</v>
      </c>
      <c r="AL28" s="72">
        <v>0.105</v>
      </c>
    </row>
    <row r="29" spans="1:38" ht="12" customHeight="1" thickBot="1" x14ac:dyDescent="0.35">
      <c r="A29" s="26" t="s">
        <v>28</v>
      </c>
      <c r="B29" s="27">
        <v>1294434</v>
      </c>
      <c r="C29" s="27">
        <v>1106355</v>
      </c>
      <c r="D29" s="27">
        <v>1438929</v>
      </c>
      <c r="E29" s="27">
        <v>1006696</v>
      </c>
      <c r="F29" s="27">
        <v>1525384</v>
      </c>
      <c r="G29" s="27">
        <v>1841008</v>
      </c>
      <c r="H29" s="27">
        <v>2016914</v>
      </c>
      <c r="I29" s="27">
        <v>2505584</v>
      </c>
      <c r="J29" s="27">
        <v>4762368</v>
      </c>
      <c r="K29" s="27">
        <v>2698729</v>
      </c>
      <c r="L29" s="27"/>
      <c r="M29" s="27"/>
      <c r="N29" s="27"/>
      <c r="O29" s="104"/>
      <c r="P29" s="104"/>
      <c r="Q29" s="104"/>
      <c r="R29" s="129"/>
      <c r="S29" s="129"/>
      <c r="T29" s="129"/>
      <c r="U29" s="129"/>
      <c r="V29" s="129"/>
      <c r="W29" s="129"/>
      <c r="X29" s="55">
        <v>2002</v>
      </c>
      <c r="Y29" s="51">
        <v>803.60901699999999</v>
      </c>
      <c r="Z29" s="51">
        <v>1111.8777930000001</v>
      </c>
      <c r="AA29" s="51">
        <f t="shared" si="19"/>
        <v>1915.4868100000001</v>
      </c>
      <c r="AB29" s="52">
        <f t="shared" si="20"/>
        <v>0.63082061913387122</v>
      </c>
      <c r="AC29" s="51">
        <v>300.55480699999998</v>
      </c>
      <c r="AD29" s="51">
        <v>53.844149000000002</v>
      </c>
      <c r="AE29" s="51">
        <f t="shared" si="21"/>
        <v>354.398956</v>
      </c>
      <c r="AF29" s="52">
        <f t="shared" si="22"/>
        <v>0.11671297744113289</v>
      </c>
      <c r="AG29" s="51">
        <v>67.433322000000004</v>
      </c>
      <c r="AH29" s="52">
        <f t="shared" si="23"/>
        <v>2.2207581755310391E-2</v>
      </c>
      <c r="AI29" s="53">
        <f t="shared" si="24"/>
        <v>699.18091200000003</v>
      </c>
      <c r="AJ29" s="73">
        <v>0.08</v>
      </c>
      <c r="AK29" s="54">
        <v>3036.5</v>
      </c>
      <c r="AL29" s="72">
        <v>0.109</v>
      </c>
    </row>
    <row r="30" spans="1:38" ht="12" customHeight="1" thickBot="1" x14ac:dyDescent="0.35">
      <c r="A30" s="118" t="s">
        <v>29</v>
      </c>
      <c r="B30" s="27">
        <v>22899902</v>
      </c>
      <c r="C30" s="27">
        <v>22580569</v>
      </c>
      <c r="D30" s="27">
        <v>23682360</v>
      </c>
      <c r="E30" s="27">
        <v>24729081</v>
      </c>
      <c r="F30" s="27">
        <v>20087283</v>
      </c>
      <c r="G30" s="27">
        <v>32231698</v>
      </c>
      <c r="H30" s="27">
        <v>36156254</v>
      </c>
      <c r="I30" s="27">
        <v>41419733</v>
      </c>
      <c r="J30" s="27">
        <v>44324105</v>
      </c>
      <c r="K30" s="27">
        <v>49172309</v>
      </c>
      <c r="L30" s="27"/>
      <c r="M30" s="27"/>
      <c r="N30" s="27"/>
      <c r="O30" s="104"/>
      <c r="P30" s="104"/>
      <c r="Q30" s="104"/>
      <c r="R30" s="129"/>
      <c r="S30" s="129"/>
      <c r="T30" s="129"/>
      <c r="U30" s="129"/>
      <c r="V30" s="129"/>
      <c r="W30" s="129"/>
      <c r="X30" s="55">
        <v>2003</v>
      </c>
      <c r="Y30" s="51">
        <v>855.41347099999996</v>
      </c>
      <c r="Z30" s="51">
        <v>1190.3993009999999</v>
      </c>
      <c r="AA30" s="51">
        <f t="shared" si="19"/>
        <v>2045.8127719999998</v>
      </c>
      <c r="AB30" s="52">
        <f t="shared" si="20"/>
        <v>0.59321273871313829</v>
      </c>
      <c r="AC30" s="51">
        <v>308.81061899999997</v>
      </c>
      <c r="AD30" s="51">
        <v>51.607246000000004</v>
      </c>
      <c r="AE30" s="51">
        <f t="shared" si="21"/>
        <v>360.41786500000001</v>
      </c>
      <c r="AF30" s="52">
        <f t="shared" si="22"/>
        <v>0.10450832632586192</v>
      </c>
      <c r="AG30" s="51">
        <v>65.361469999999997</v>
      </c>
      <c r="AH30" s="52">
        <f t="shared" si="23"/>
        <v>1.8952495143097398E-2</v>
      </c>
      <c r="AI30" s="53">
        <f t="shared" si="24"/>
        <v>977.10789300000033</v>
      </c>
      <c r="AJ30" s="73">
        <v>6.0999999999999999E-2</v>
      </c>
      <c r="AK30" s="54">
        <v>3448.7</v>
      </c>
      <c r="AL30" s="72">
        <v>4.9000000000000002E-2</v>
      </c>
    </row>
    <row r="31" spans="1:38" ht="12" customHeight="1" thickBot="1" x14ac:dyDescent="0.35">
      <c r="A31" s="26" t="s">
        <v>30</v>
      </c>
      <c r="B31" s="27">
        <v>44440859</v>
      </c>
      <c r="C31" s="27">
        <v>47773346</v>
      </c>
      <c r="D31" s="27">
        <v>54723301</v>
      </c>
      <c r="E31" s="27">
        <v>53804569</v>
      </c>
      <c r="F31" s="27">
        <v>56127692</v>
      </c>
      <c r="G31" s="27">
        <v>86977608</v>
      </c>
      <c r="H31" s="27">
        <v>94842867</v>
      </c>
      <c r="I31" s="27">
        <v>102857485</v>
      </c>
      <c r="J31" s="27">
        <v>110734888</v>
      </c>
      <c r="K31" s="27">
        <v>123529955</v>
      </c>
      <c r="L31" s="27"/>
      <c r="M31" s="27"/>
      <c r="N31" s="27"/>
      <c r="O31" s="104"/>
      <c r="P31" s="104"/>
      <c r="Q31" s="104"/>
      <c r="R31" s="129"/>
      <c r="S31" s="129"/>
      <c r="T31" s="129"/>
      <c r="U31" s="129"/>
      <c r="V31" s="129"/>
      <c r="W31" s="129"/>
      <c r="X31" s="50">
        <v>2004</v>
      </c>
      <c r="Y31" s="51">
        <v>946.55044999999996</v>
      </c>
      <c r="Z31" s="51">
        <v>1628.4161839999999</v>
      </c>
      <c r="AA31" s="51">
        <f t="shared" si="19"/>
        <v>2574.9666339999999</v>
      </c>
      <c r="AB31" s="52">
        <f t="shared" si="20"/>
        <v>0.67772980839079855</v>
      </c>
      <c r="AC31" s="51">
        <v>636.77858600000002</v>
      </c>
      <c r="AD31" s="51">
        <v>153.71614099999999</v>
      </c>
      <c r="AE31" s="51">
        <f t="shared" si="21"/>
        <v>790.49472700000001</v>
      </c>
      <c r="AF31" s="52">
        <f t="shared" si="22"/>
        <v>0.20805777938621889</v>
      </c>
      <c r="AG31" s="51">
        <v>93.83708</v>
      </c>
      <c r="AH31" s="52">
        <f t="shared" si="23"/>
        <v>2.4697868084434384E-2</v>
      </c>
      <c r="AI31" s="53">
        <f t="shared" si="24"/>
        <v>340.10155900000018</v>
      </c>
      <c r="AJ31" s="73">
        <v>6.5000000000000002E-2</v>
      </c>
      <c r="AK31" s="54">
        <v>3799.4</v>
      </c>
      <c r="AL31" s="72">
        <v>0.13600000000000001</v>
      </c>
    </row>
    <row r="32" spans="1:38" ht="12" customHeight="1" thickBot="1" x14ac:dyDescent="0.35">
      <c r="A32" s="118" t="s">
        <v>31</v>
      </c>
      <c r="B32" s="27">
        <v>33005104</v>
      </c>
      <c r="C32" s="27">
        <v>32161918</v>
      </c>
      <c r="D32" s="27">
        <v>41159806</v>
      </c>
      <c r="E32" s="27">
        <v>40877896</v>
      </c>
      <c r="F32" s="27">
        <v>42462736</v>
      </c>
      <c r="G32" s="27">
        <v>77072420</v>
      </c>
      <c r="H32" s="27">
        <v>80339280</v>
      </c>
      <c r="I32" s="27">
        <v>94645597</v>
      </c>
      <c r="J32" s="27">
        <v>104611066</v>
      </c>
      <c r="K32" s="27">
        <v>120644282</v>
      </c>
      <c r="L32" s="27"/>
      <c r="M32" s="27"/>
      <c r="N32" s="27"/>
      <c r="O32" s="104"/>
      <c r="P32" s="104"/>
      <c r="Q32" s="104"/>
      <c r="R32" s="129"/>
      <c r="S32" s="129"/>
      <c r="T32" s="129"/>
      <c r="U32" s="129"/>
      <c r="V32" s="129"/>
      <c r="W32" s="129"/>
      <c r="X32" s="50">
        <v>2005</v>
      </c>
      <c r="Y32" s="51">
        <v>1006.038512</v>
      </c>
      <c r="Z32" s="51">
        <v>1766.8496190000001</v>
      </c>
      <c r="AA32" s="51">
        <f t="shared" si="19"/>
        <v>2772.8881310000002</v>
      </c>
      <c r="AB32" s="52">
        <f t="shared" si="20"/>
        <v>0.65062252305309842</v>
      </c>
      <c r="AC32" s="51">
        <v>783.73249799999996</v>
      </c>
      <c r="AD32" s="51">
        <v>251.64959200000001</v>
      </c>
      <c r="AE32" s="51">
        <f t="shared" si="21"/>
        <v>1035.3820900000001</v>
      </c>
      <c r="AF32" s="52">
        <f t="shared" si="22"/>
        <v>0.24293908585372725</v>
      </c>
      <c r="AG32" s="51">
        <v>121.765559</v>
      </c>
      <c r="AH32" s="52">
        <f t="shared" si="23"/>
        <v>2.857072174382318E-2</v>
      </c>
      <c r="AI32" s="53">
        <f t="shared" si="24"/>
        <v>331.86421999999902</v>
      </c>
      <c r="AJ32" s="73">
        <v>8.8999999999999996E-2</v>
      </c>
      <c r="AK32" s="54">
        <v>4261.8999999999996</v>
      </c>
      <c r="AL32" s="72">
        <v>0.10199999999999999</v>
      </c>
    </row>
    <row r="33" spans="1:39" ht="12" customHeight="1" thickBot="1" x14ac:dyDescent="0.35">
      <c r="A33" s="26" t="s">
        <v>32</v>
      </c>
      <c r="B33" s="27">
        <v>374036033</v>
      </c>
      <c r="C33" s="27">
        <v>398150017</v>
      </c>
      <c r="D33" s="27">
        <v>456142501</v>
      </c>
      <c r="E33" s="27">
        <v>445219419</v>
      </c>
      <c r="F33" s="27">
        <v>471043734</v>
      </c>
      <c r="G33" s="27">
        <v>606389483</v>
      </c>
      <c r="H33" s="27">
        <v>628041737</v>
      </c>
      <c r="I33" s="27">
        <v>675638390</v>
      </c>
      <c r="J33" s="27">
        <v>673438146</v>
      </c>
      <c r="K33" s="27">
        <v>715829885</v>
      </c>
      <c r="L33" s="27"/>
      <c r="M33" s="27"/>
      <c r="N33" s="27"/>
      <c r="O33" s="104"/>
      <c r="P33" s="104"/>
      <c r="Q33" s="104"/>
      <c r="R33" s="129"/>
      <c r="S33" s="129"/>
      <c r="T33" s="129"/>
      <c r="U33" s="129"/>
      <c r="V33" s="129"/>
      <c r="W33" s="129"/>
      <c r="X33" s="50">
        <v>2006</v>
      </c>
      <c r="Y33" s="51">
        <v>960.31786199999999</v>
      </c>
      <c r="Z33" s="51">
        <v>1927.9078460000001</v>
      </c>
      <c r="AA33" s="51">
        <f t="shared" si="19"/>
        <v>2888.2257079999999</v>
      </c>
      <c r="AB33" s="52">
        <f t="shared" si="20"/>
        <v>0.6172477577363652</v>
      </c>
      <c r="AC33" s="51">
        <v>886.99162000000001</v>
      </c>
      <c r="AD33" s="51">
        <v>285.002681</v>
      </c>
      <c r="AE33" s="51">
        <f t="shared" si="21"/>
        <v>1171.994301</v>
      </c>
      <c r="AF33" s="52">
        <f t="shared" si="22"/>
        <v>0.25046894789707641</v>
      </c>
      <c r="AG33" s="51">
        <v>135.41013599999999</v>
      </c>
      <c r="AH33" s="52">
        <f t="shared" si="23"/>
        <v>2.8938736536160026E-2</v>
      </c>
      <c r="AI33" s="53">
        <f t="shared" si="24"/>
        <v>483.56985499999973</v>
      </c>
      <c r="AJ33" s="73">
        <v>7.8E-2</v>
      </c>
      <c r="AK33" s="54">
        <v>4679.2</v>
      </c>
      <c r="AL33" s="72">
        <v>0.122</v>
      </c>
      <c r="AM33" s="71"/>
    </row>
    <row r="34" spans="1:39" ht="12" customHeight="1" thickBot="1" x14ac:dyDescent="0.35">
      <c r="A34" s="118" t="s">
        <v>33</v>
      </c>
      <c r="B34" s="27">
        <v>377733311</v>
      </c>
      <c r="C34" s="27">
        <v>409692446</v>
      </c>
      <c r="D34" s="27">
        <v>489896780</v>
      </c>
      <c r="E34" s="27">
        <v>511342929</v>
      </c>
      <c r="F34" s="27">
        <v>564099511</v>
      </c>
      <c r="G34" s="27">
        <v>782974249</v>
      </c>
      <c r="H34" s="27">
        <v>875691685</v>
      </c>
      <c r="I34" s="27">
        <v>957378919</v>
      </c>
      <c r="J34" s="27">
        <v>968354308</v>
      </c>
      <c r="K34" s="27">
        <v>1046950852</v>
      </c>
      <c r="L34" s="27"/>
      <c r="M34" s="27"/>
      <c r="N34" s="27"/>
      <c r="O34" s="104"/>
      <c r="P34" s="104"/>
      <c r="Q34" s="104"/>
      <c r="R34" s="129"/>
      <c r="S34" s="129"/>
      <c r="T34" s="129"/>
      <c r="U34" s="129"/>
      <c r="V34" s="129"/>
      <c r="W34" s="129"/>
      <c r="X34" s="56">
        <v>2007</v>
      </c>
      <c r="Y34" s="51">
        <v>879.00753999999995</v>
      </c>
      <c r="Z34" s="51">
        <v>1959.9001000000001</v>
      </c>
      <c r="AA34" s="51">
        <f t="shared" si="19"/>
        <v>2838.9076399999999</v>
      </c>
      <c r="AB34" s="52">
        <f t="shared" si="20"/>
        <v>0.57936890612244896</v>
      </c>
      <c r="AC34" s="51">
        <v>924.91150400000004</v>
      </c>
      <c r="AD34" s="51">
        <v>284.78726799999998</v>
      </c>
      <c r="AE34" s="51">
        <f t="shared" si="21"/>
        <v>1209.698772</v>
      </c>
      <c r="AF34" s="52">
        <f t="shared" si="22"/>
        <v>0.24687730040816325</v>
      </c>
      <c r="AG34" s="51">
        <v>136.71260699999999</v>
      </c>
      <c r="AH34" s="52">
        <f t="shared" si="23"/>
        <v>2.7900532040816325E-2</v>
      </c>
      <c r="AI34" s="53">
        <f t="shared" si="24"/>
        <v>714.68098099999997</v>
      </c>
      <c r="AJ34" s="73">
        <v>0.10299999999999999</v>
      </c>
      <c r="AK34" s="54">
        <v>4900</v>
      </c>
      <c r="AL34" s="72">
        <v>9.8000000000000004E-2</v>
      </c>
    </row>
    <row r="35" spans="1:39" ht="12" customHeight="1" thickBot="1" x14ac:dyDescent="0.35">
      <c r="A35" s="26" t="s">
        <v>34</v>
      </c>
      <c r="B35" s="27">
        <v>27131088</v>
      </c>
      <c r="C35" s="27">
        <v>28447584</v>
      </c>
      <c r="D35" s="27">
        <v>32202634</v>
      </c>
      <c r="E35" s="27">
        <v>33001121</v>
      </c>
      <c r="F35" s="27">
        <v>33402304</v>
      </c>
      <c r="G35" s="27">
        <v>39438187</v>
      </c>
      <c r="H35" s="27">
        <v>48129056</v>
      </c>
      <c r="I35" s="27">
        <v>51959162</v>
      </c>
      <c r="J35" s="27">
        <v>52458916</v>
      </c>
      <c r="K35" s="27">
        <v>63192923</v>
      </c>
      <c r="L35" s="27"/>
      <c r="M35" s="27"/>
      <c r="N35" s="27"/>
      <c r="O35" s="104"/>
      <c r="P35" s="104"/>
      <c r="Q35" s="104"/>
      <c r="R35" s="129"/>
      <c r="S35" s="129"/>
      <c r="T35" s="129"/>
      <c r="U35" s="129"/>
      <c r="V35" s="129"/>
      <c r="W35" s="129"/>
      <c r="X35" s="56">
        <v>2008</v>
      </c>
      <c r="Y35" s="51">
        <v>915.64151900000002</v>
      </c>
      <c r="Z35" s="51">
        <v>2123.2487080000001</v>
      </c>
      <c r="AA35" s="51">
        <f t="shared" si="19"/>
        <v>3038.8902269999999</v>
      </c>
      <c r="AB35" s="52">
        <f t="shared" si="20"/>
        <v>0.57301872928176789</v>
      </c>
      <c r="AC35" s="51">
        <v>1008.884323</v>
      </c>
      <c r="AD35" s="51">
        <v>310.939347</v>
      </c>
      <c r="AE35" s="51">
        <f t="shared" si="21"/>
        <v>1319.82367</v>
      </c>
      <c r="AF35" s="52">
        <f t="shared" si="22"/>
        <v>0.24886837817962401</v>
      </c>
      <c r="AG35" s="51">
        <v>139.85471899999999</v>
      </c>
      <c r="AH35" s="52">
        <f t="shared" si="23"/>
        <v>2.6371262987196647E-2</v>
      </c>
      <c r="AI35" s="53">
        <f>+AK35-AG35-AE35-AA35</f>
        <v>804.73138400000062</v>
      </c>
      <c r="AJ35" s="73">
        <v>0.14599999999999999</v>
      </c>
      <c r="AK35" s="54">
        <v>5303.3</v>
      </c>
      <c r="AL35" s="72">
        <v>4.7E-2</v>
      </c>
    </row>
    <row r="36" spans="1:39" ht="12" customHeight="1" thickBot="1" x14ac:dyDescent="0.35">
      <c r="A36" s="118" t="s">
        <v>35</v>
      </c>
      <c r="B36" s="27">
        <v>1076705</v>
      </c>
      <c r="C36" s="27">
        <v>1055660</v>
      </c>
      <c r="D36" s="27">
        <v>1408236</v>
      </c>
      <c r="E36" s="27">
        <v>1316581</v>
      </c>
      <c r="F36" s="27">
        <v>1254710</v>
      </c>
      <c r="G36" s="27">
        <v>1090263</v>
      </c>
      <c r="H36" s="27">
        <v>1084065</v>
      </c>
      <c r="I36" s="27">
        <v>983197</v>
      </c>
      <c r="J36" s="27">
        <v>788164</v>
      </c>
      <c r="K36" s="27">
        <v>864847</v>
      </c>
      <c r="L36" s="27"/>
      <c r="M36" s="27"/>
      <c r="N36" s="27"/>
      <c r="O36" s="104"/>
      <c r="P36" s="104"/>
      <c r="Q36" s="104"/>
      <c r="R36" s="129"/>
      <c r="S36" s="129"/>
      <c r="T36" s="129"/>
      <c r="U36" s="129"/>
      <c r="V36" s="129"/>
      <c r="W36" s="129"/>
      <c r="X36" s="56">
        <v>2009</v>
      </c>
      <c r="Y36" s="51">
        <f>+Y20/1000000</f>
        <v>955.54174899999998</v>
      </c>
      <c r="Z36" s="51">
        <f>+Z20/1000000</f>
        <v>2286.4645569999998</v>
      </c>
      <c r="AA36" s="51">
        <f t="shared" si="19"/>
        <v>3242.0063059999998</v>
      </c>
      <c r="AB36" s="52">
        <f t="shared" si="20"/>
        <v>0.5616489624586386</v>
      </c>
      <c r="AC36" s="51">
        <f>+AA20/1000000</f>
        <v>1115.9141119999999</v>
      </c>
      <c r="AD36" s="51">
        <f>+AB20/1000000</f>
        <v>342.32667600000002</v>
      </c>
      <c r="AE36" s="51">
        <f t="shared" si="21"/>
        <v>1458.2407880000001</v>
      </c>
      <c r="AF36" s="52">
        <f t="shared" si="22"/>
        <v>0.25262733884240252</v>
      </c>
      <c r="AG36" s="51">
        <f>+AC20/1000000</f>
        <v>136.48457500000001</v>
      </c>
      <c r="AH36" s="52">
        <f t="shared" si="23"/>
        <v>2.364474732775497E-2</v>
      </c>
      <c r="AI36" s="53">
        <f>+AK36-AG36-AE36-AA36</f>
        <v>935.56833099999994</v>
      </c>
      <c r="AJ36" s="73"/>
      <c r="AK36" s="54">
        <v>5772.3</v>
      </c>
    </row>
    <row r="37" spans="1:39" ht="12" customHeight="1" x14ac:dyDescent="0.3">
      <c r="A37" s="28" t="s">
        <v>36</v>
      </c>
      <c r="B37" s="29">
        <v>562927</v>
      </c>
      <c r="C37" s="29">
        <v>614353</v>
      </c>
      <c r="D37" s="29">
        <v>568033</v>
      </c>
      <c r="E37" s="29">
        <v>579497</v>
      </c>
      <c r="F37" s="29">
        <v>395949</v>
      </c>
      <c r="G37" s="29">
        <v>401264</v>
      </c>
      <c r="H37" s="29">
        <v>547761</v>
      </c>
      <c r="I37" s="29">
        <v>519778</v>
      </c>
      <c r="J37" s="29">
        <v>428139</v>
      </c>
      <c r="K37" s="29">
        <v>364921</v>
      </c>
      <c r="L37" s="29"/>
      <c r="M37" s="29"/>
      <c r="N37" s="29"/>
      <c r="O37" s="104"/>
      <c r="P37" s="104"/>
      <c r="Q37" s="104"/>
      <c r="R37" s="129"/>
      <c r="S37" s="129"/>
      <c r="T37" s="129"/>
      <c r="U37" s="129"/>
      <c r="V37" s="129"/>
      <c r="W37" s="129"/>
      <c r="X37" s="57" t="s">
        <v>71</v>
      </c>
      <c r="Y37" s="49"/>
      <c r="Z37" s="49"/>
      <c r="AA37" s="49"/>
      <c r="AB37" s="58"/>
      <c r="AC37" s="49"/>
      <c r="AD37" s="49"/>
      <c r="AE37" s="49"/>
      <c r="AF37" s="58"/>
      <c r="AG37" s="59"/>
      <c r="AH37" s="59"/>
      <c r="AI37" s="49"/>
      <c r="AJ37" s="58"/>
      <c r="AK37" s="49"/>
      <c r="AL37" s="49"/>
    </row>
    <row r="38" spans="1:39" ht="14.1" customHeight="1" x14ac:dyDescent="0.3">
      <c r="A38" s="33" t="s">
        <v>40</v>
      </c>
      <c r="B38" s="114">
        <f t="shared" ref="B38:J38" si="26">SUM(B39:B47)</f>
        <v>268404823</v>
      </c>
      <c r="C38" s="114">
        <f t="shared" si="26"/>
        <v>244904578</v>
      </c>
      <c r="D38" s="114">
        <f t="shared" si="26"/>
        <v>306797745</v>
      </c>
      <c r="E38" s="114">
        <f t="shared" si="26"/>
        <v>300554806</v>
      </c>
      <c r="F38" s="114">
        <f t="shared" si="26"/>
        <v>308810618</v>
      </c>
      <c r="G38" s="114">
        <f t="shared" si="26"/>
        <v>636778584</v>
      </c>
      <c r="H38" s="113">
        <f t="shared" si="26"/>
        <v>783732499</v>
      </c>
      <c r="I38" s="114">
        <f t="shared" si="26"/>
        <v>886991616</v>
      </c>
      <c r="J38" s="116">
        <f t="shared" si="26"/>
        <v>924911506</v>
      </c>
      <c r="K38" s="116">
        <f>SUM(K39:K47)</f>
        <v>1008884322</v>
      </c>
      <c r="L38" s="116">
        <v>1214987829.6749003</v>
      </c>
      <c r="M38" s="108">
        <v>1457190860.9645002</v>
      </c>
      <c r="N38" s="108">
        <v>1576223722.5375001</v>
      </c>
      <c r="O38" s="43">
        <f>1411529221.0169+5590590</f>
        <v>1417119811.0169001</v>
      </c>
      <c r="P38" s="43">
        <v>1561122595.8199999</v>
      </c>
      <c r="Q38" s="43">
        <v>1559235847.5937443</v>
      </c>
      <c r="R38" s="126">
        <v>1683699441</v>
      </c>
      <c r="S38" s="126">
        <v>1703425743</v>
      </c>
      <c r="T38" s="134">
        <v>1791209597</v>
      </c>
      <c r="U38" s="136">
        <v>1812491762</v>
      </c>
      <c r="V38" s="136">
        <v>1867758448</v>
      </c>
      <c r="W38" s="136">
        <v>1954572743</v>
      </c>
      <c r="X38" s="57" t="s">
        <v>76</v>
      </c>
      <c r="Y38" s="60">
        <f>(+Y36-Y26)/Y26</f>
        <v>0.52186116498219126</v>
      </c>
      <c r="Z38" s="60">
        <f>(+Z36-Z26)/Z26</f>
        <v>1.5918334339435225</v>
      </c>
      <c r="AA38" s="60">
        <f>(+AA36-AA26)/AA26</f>
        <v>1.1469423674805961</v>
      </c>
      <c r="AB38" s="58"/>
      <c r="AC38" s="60">
        <f>(+AC36-AC26)/AC26</f>
        <v>3.1575784649741552</v>
      </c>
      <c r="AD38" s="60">
        <f>(+AD36-AD26)/AD26</f>
        <v>3.9167006761035363</v>
      </c>
      <c r="AE38" s="60">
        <f>(+AE36-AE26)/AE26</f>
        <v>3.3139376112256693</v>
      </c>
      <c r="AF38" s="58"/>
      <c r="AG38" s="60">
        <f>(+AG36-AG26)/AG26</f>
        <v>0.74139507838381968</v>
      </c>
      <c r="AH38" s="59"/>
      <c r="AI38" s="60"/>
      <c r="AJ38" s="58"/>
      <c r="AK38" s="60">
        <f>(+AK36-AK26)/AK26</f>
        <v>1.4444397391377997</v>
      </c>
      <c r="AL38" s="49"/>
    </row>
    <row r="39" spans="1:39" ht="12" customHeight="1" x14ac:dyDescent="0.3">
      <c r="A39" s="26" t="s">
        <v>28</v>
      </c>
      <c r="B39" s="27">
        <v>55426217</v>
      </c>
      <c r="C39" s="27">
        <v>53983923</v>
      </c>
      <c r="D39" s="27">
        <v>58852504</v>
      </c>
      <c r="E39" s="27">
        <v>57500422</v>
      </c>
      <c r="F39" s="27">
        <v>53482714</v>
      </c>
      <c r="G39" s="27">
        <v>106057522</v>
      </c>
      <c r="H39" s="27">
        <v>112391738</v>
      </c>
      <c r="I39" s="27">
        <v>139542261</v>
      </c>
      <c r="J39" s="27">
        <v>151430071</v>
      </c>
      <c r="K39" s="27">
        <v>152034619</v>
      </c>
      <c r="L39" s="27"/>
      <c r="M39" s="27"/>
      <c r="N39" s="27"/>
      <c r="O39" s="104"/>
      <c r="P39" s="104"/>
      <c r="Q39" s="104"/>
      <c r="R39" s="129"/>
      <c r="S39" s="129"/>
      <c r="T39" s="129"/>
      <c r="U39" s="129"/>
      <c r="V39" s="129"/>
      <c r="W39" s="129"/>
      <c r="X39" s="61"/>
      <c r="AG39" s="62"/>
      <c r="AH39" s="62"/>
      <c r="AJ39" s="70"/>
    </row>
    <row r="40" spans="1:39" ht="12" customHeight="1" x14ac:dyDescent="0.3">
      <c r="A40" s="118" t="s">
        <v>29</v>
      </c>
      <c r="B40" s="27">
        <v>100462620</v>
      </c>
      <c r="C40" s="27">
        <v>83185205</v>
      </c>
      <c r="D40" s="27">
        <v>89588184</v>
      </c>
      <c r="E40" s="27">
        <v>82330799</v>
      </c>
      <c r="F40" s="27">
        <v>75340093</v>
      </c>
      <c r="G40" s="27">
        <v>203337825</v>
      </c>
      <c r="H40" s="27">
        <v>248861304</v>
      </c>
      <c r="I40" s="27">
        <v>287385142</v>
      </c>
      <c r="J40" s="27">
        <v>290692651</v>
      </c>
      <c r="K40" s="27">
        <v>311484860</v>
      </c>
      <c r="L40" s="27"/>
      <c r="M40" s="27"/>
      <c r="N40" s="27"/>
      <c r="O40" s="104"/>
      <c r="P40" s="104"/>
      <c r="Q40" s="104"/>
      <c r="R40" s="129"/>
      <c r="S40" s="129"/>
      <c r="T40" s="129"/>
      <c r="U40" s="129"/>
      <c r="V40" s="129"/>
      <c r="W40" s="129"/>
      <c r="X40" s="47" t="s">
        <v>72</v>
      </c>
      <c r="AI40" s="63"/>
      <c r="AJ40" s="63"/>
    </row>
    <row r="41" spans="1:39" ht="12" customHeight="1" x14ac:dyDescent="0.3">
      <c r="A41" s="26" t="s">
        <v>30</v>
      </c>
      <c r="B41" s="27">
        <v>74908355</v>
      </c>
      <c r="C41" s="27">
        <v>70692915</v>
      </c>
      <c r="D41" s="27">
        <v>95533740</v>
      </c>
      <c r="E41" s="27">
        <v>94176632</v>
      </c>
      <c r="F41" s="27">
        <v>104721157</v>
      </c>
      <c r="G41" s="27">
        <v>188948550</v>
      </c>
      <c r="H41" s="27">
        <v>243854760</v>
      </c>
      <c r="I41" s="27">
        <v>255072909</v>
      </c>
      <c r="J41" s="27">
        <v>270660225</v>
      </c>
      <c r="K41" s="27">
        <v>309526836</v>
      </c>
      <c r="L41" s="27"/>
      <c r="M41" s="27"/>
      <c r="N41" s="27"/>
      <c r="O41" s="104"/>
      <c r="P41" s="104"/>
      <c r="Q41" s="104"/>
      <c r="R41" s="129"/>
      <c r="S41" s="129"/>
      <c r="T41" s="129"/>
      <c r="U41" s="129"/>
      <c r="V41" s="129"/>
      <c r="W41" s="129"/>
      <c r="X41" s="57" t="s">
        <v>73</v>
      </c>
      <c r="AI41" s="63"/>
      <c r="AJ41" s="63"/>
    </row>
    <row r="42" spans="1:39" ht="12" customHeight="1" x14ac:dyDescent="0.3">
      <c r="A42" s="118" t="s">
        <v>31</v>
      </c>
      <c r="B42" s="27">
        <v>37235373</v>
      </c>
      <c r="C42" s="27">
        <v>36862313</v>
      </c>
      <c r="D42" s="27">
        <v>62522354</v>
      </c>
      <c r="E42" s="27">
        <v>66212023</v>
      </c>
      <c r="F42" s="27">
        <v>74632756</v>
      </c>
      <c r="G42" s="27">
        <v>137966818</v>
      </c>
      <c r="H42" s="27">
        <v>177695105</v>
      </c>
      <c r="I42" s="27">
        <v>204136114</v>
      </c>
      <c r="J42" s="27">
        <v>211086768</v>
      </c>
      <c r="K42" s="27">
        <v>234668647</v>
      </c>
      <c r="L42" s="27"/>
      <c r="M42" s="27"/>
      <c r="N42" s="27"/>
      <c r="O42" s="104"/>
      <c r="P42" s="104"/>
      <c r="Q42" s="104"/>
      <c r="R42" s="129"/>
      <c r="S42" s="129"/>
      <c r="T42" s="129"/>
      <c r="U42" s="129"/>
      <c r="V42" s="129"/>
      <c r="W42" s="129"/>
    </row>
    <row r="43" spans="1:39" ht="12" customHeight="1" x14ac:dyDescent="0.3">
      <c r="A43" s="26" t="s">
        <v>32</v>
      </c>
      <c r="B43" s="27">
        <v>372258</v>
      </c>
      <c r="C43" s="27">
        <v>180222</v>
      </c>
      <c r="D43" s="27">
        <v>300963</v>
      </c>
      <c r="E43" s="27">
        <v>318616</v>
      </c>
      <c r="F43" s="27">
        <v>597505</v>
      </c>
      <c r="G43" s="27">
        <v>436514</v>
      </c>
      <c r="H43" s="27">
        <v>919272</v>
      </c>
      <c r="I43" s="27">
        <v>854672</v>
      </c>
      <c r="J43" s="27">
        <v>1014594</v>
      </c>
      <c r="K43" s="27">
        <v>1152012</v>
      </c>
      <c r="L43" s="27"/>
      <c r="M43" s="27"/>
      <c r="N43" s="27"/>
      <c r="O43" s="104"/>
      <c r="P43" s="104"/>
      <c r="Q43" s="104"/>
      <c r="R43" s="129"/>
      <c r="S43" s="129"/>
      <c r="T43" s="129"/>
      <c r="U43" s="129"/>
      <c r="V43" s="129"/>
      <c r="W43" s="129"/>
    </row>
    <row r="44" spans="1:39" ht="12" customHeight="1" x14ac:dyDescent="0.3">
      <c r="A44" s="118" t="s">
        <v>33</v>
      </c>
      <c r="B44" s="27">
        <v>0</v>
      </c>
      <c r="C44" s="27">
        <v>0</v>
      </c>
      <c r="D44" s="27">
        <v>0</v>
      </c>
      <c r="E44" s="27">
        <v>12713</v>
      </c>
      <c r="F44" s="27">
        <v>33378</v>
      </c>
      <c r="G44" s="27">
        <v>31344</v>
      </c>
      <c r="H44" s="27">
        <v>9932</v>
      </c>
      <c r="I44" s="27">
        <v>518</v>
      </c>
      <c r="J44" s="27">
        <v>26978</v>
      </c>
      <c r="K44" s="27">
        <v>17348</v>
      </c>
      <c r="L44" s="27"/>
      <c r="M44" s="27"/>
      <c r="N44" s="27"/>
      <c r="O44" s="104"/>
      <c r="P44" s="104"/>
      <c r="Q44" s="104"/>
      <c r="R44" s="129"/>
      <c r="S44" s="129"/>
      <c r="T44" s="129"/>
      <c r="U44" s="129"/>
      <c r="V44" s="129"/>
      <c r="W44" s="129"/>
      <c r="Y44" s="122">
        <v>15000000</v>
      </c>
    </row>
    <row r="45" spans="1:39" ht="12" customHeight="1" x14ac:dyDescent="0.3">
      <c r="A45" s="26" t="s">
        <v>34</v>
      </c>
      <c r="B45" s="27">
        <v>0</v>
      </c>
      <c r="C45" s="27">
        <v>0</v>
      </c>
      <c r="D45" s="27">
        <v>0</v>
      </c>
      <c r="E45" s="27">
        <v>0</v>
      </c>
      <c r="F45" s="27">
        <v>0</v>
      </c>
      <c r="G45" s="27">
        <v>11</v>
      </c>
      <c r="H45" s="27">
        <v>128</v>
      </c>
      <c r="I45" s="27">
        <v>0</v>
      </c>
      <c r="J45" s="27">
        <v>0</v>
      </c>
      <c r="K45" s="27">
        <v>0</v>
      </c>
      <c r="L45" s="27"/>
      <c r="M45" s="27"/>
      <c r="N45" s="27"/>
      <c r="O45" s="104"/>
      <c r="P45" s="104"/>
      <c r="Q45" s="104"/>
      <c r="R45" s="129"/>
      <c r="S45" s="129"/>
      <c r="T45" s="129"/>
      <c r="U45" s="129"/>
      <c r="V45" s="129"/>
      <c r="W45" s="129"/>
      <c r="Y45" s="122">
        <f>+Y44*16</f>
        <v>240000000</v>
      </c>
      <c r="Z45" s="122">
        <f>+Y45*1600</f>
        <v>384000000000</v>
      </c>
    </row>
    <row r="46" spans="1:39" ht="12" customHeight="1" x14ac:dyDescent="0.3">
      <c r="A46" s="118" t="s">
        <v>35</v>
      </c>
      <c r="B46" s="27">
        <v>0</v>
      </c>
      <c r="C46" s="27">
        <v>0</v>
      </c>
      <c r="D46" s="27">
        <v>0</v>
      </c>
      <c r="E46" s="27">
        <v>0</v>
      </c>
      <c r="F46" s="27">
        <v>0</v>
      </c>
      <c r="G46" s="27">
        <v>0</v>
      </c>
      <c r="H46" s="27">
        <v>0</v>
      </c>
      <c r="I46" s="27">
        <v>0</v>
      </c>
      <c r="J46" s="27">
        <v>0</v>
      </c>
      <c r="K46" s="27">
        <v>0</v>
      </c>
      <c r="L46" s="27"/>
      <c r="M46" s="27"/>
      <c r="N46" s="27"/>
      <c r="O46" s="104"/>
      <c r="P46" s="104"/>
      <c r="Q46" s="104"/>
      <c r="R46" s="129"/>
      <c r="S46" s="129"/>
      <c r="T46" s="129"/>
      <c r="U46" s="129"/>
      <c r="V46" s="129"/>
      <c r="W46" s="129"/>
    </row>
    <row r="47" spans="1:39" ht="12.75" customHeight="1" x14ac:dyDescent="0.3">
      <c r="A47" s="28" t="s">
        <v>36</v>
      </c>
      <c r="B47" s="29">
        <v>0</v>
      </c>
      <c r="C47" s="29">
        <v>0</v>
      </c>
      <c r="D47" s="29">
        <v>0</v>
      </c>
      <c r="E47" s="29">
        <v>3601</v>
      </c>
      <c r="F47" s="29">
        <v>3015</v>
      </c>
      <c r="G47" s="29">
        <v>0</v>
      </c>
      <c r="H47" s="29">
        <v>260</v>
      </c>
      <c r="I47" s="29">
        <v>0</v>
      </c>
      <c r="J47" s="29">
        <v>219</v>
      </c>
      <c r="K47" s="29">
        <v>0</v>
      </c>
      <c r="L47" s="29"/>
      <c r="M47" s="29"/>
      <c r="N47" s="29"/>
      <c r="O47" s="104"/>
      <c r="P47" s="104"/>
      <c r="Q47" s="104"/>
      <c r="R47" s="129"/>
      <c r="S47" s="129"/>
      <c r="T47" s="129"/>
      <c r="U47" s="129"/>
      <c r="V47" s="129"/>
      <c r="W47" s="129"/>
    </row>
    <row r="48" spans="1:39" ht="14.1" customHeight="1" x14ac:dyDescent="0.3">
      <c r="A48" s="34" t="s">
        <v>41</v>
      </c>
      <c r="B48" s="108">
        <f t="shared" ref="B48:H48" si="27">SUM(B49:B57)</f>
        <v>69625282</v>
      </c>
      <c r="C48" s="108">
        <f t="shared" si="27"/>
        <v>57573121</v>
      </c>
      <c r="D48" s="108">
        <f t="shared" si="27"/>
        <v>59423694</v>
      </c>
      <c r="E48" s="108">
        <f t="shared" si="27"/>
        <v>53844150</v>
      </c>
      <c r="F48" s="108">
        <f t="shared" si="27"/>
        <v>51607246</v>
      </c>
      <c r="G48" s="108">
        <f t="shared" si="27"/>
        <v>153716139</v>
      </c>
      <c r="H48" s="108">
        <f t="shared" si="27"/>
        <v>251649591</v>
      </c>
      <c r="I48" s="108">
        <f>SUM(I50:I57)</f>
        <v>285002681</v>
      </c>
      <c r="J48" s="108">
        <f>SUM(J49:J57)</f>
        <v>284787267</v>
      </c>
      <c r="K48" s="108">
        <f>SUM(K49:K57)</f>
        <v>310939346</v>
      </c>
      <c r="L48" s="108">
        <v>345564066.84829998</v>
      </c>
      <c r="M48" s="108">
        <v>443480663.74829996</v>
      </c>
      <c r="N48" s="108">
        <v>594447665.69570005</v>
      </c>
      <c r="O48" s="43">
        <v>520962586.29740006</v>
      </c>
      <c r="P48" s="43">
        <v>615861990.24000001</v>
      </c>
      <c r="Q48" s="43">
        <v>613846871.45258772</v>
      </c>
      <c r="R48" s="126">
        <v>686299438</v>
      </c>
      <c r="S48" s="126">
        <v>797925552</v>
      </c>
      <c r="T48" s="135">
        <v>826219537</v>
      </c>
      <c r="U48" s="136">
        <v>944660279</v>
      </c>
      <c r="V48" s="136">
        <v>832358983</v>
      </c>
      <c r="W48" s="136">
        <v>691248077</v>
      </c>
    </row>
    <row r="49" spans="1:23" ht="12" customHeight="1" x14ac:dyDescent="0.3">
      <c r="A49" s="26" t="s">
        <v>28</v>
      </c>
      <c r="B49" s="27">
        <v>0</v>
      </c>
      <c r="C49" s="27">
        <v>0</v>
      </c>
      <c r="D49" s="27">
        <v>0</v>
      </c>
      <c r="E49" s="27">
        <v>9302</v>
      </c>
      <c r="F49" s="27">
        <v>0</v>
      </c>
      <c r="G49" s="27">
        <v>0</v>
      </c>
      <c r="H49" s="27">
        <v>0</v>
      </c>
      <c r="I49" s="27">
        <v>0</v>
      </c>
      <c r="J49" s="27">
        <v>0</v>
      </c>
      <c r="K49" s="27">
        <v>0</v>
      </c>
      <c r="L49" s="27"/>
      <c r="M49" s="27"/>
      <c r="N49" s="27"/>
      <c r="O49" s="104"/>
      <c r="P49" s="104"/>
      <c r="Q49" s="104"/>
      <c r="R49" s="129"/>
      <c r="S49" s="129"/>
      <c r="T49" s="129"/>
      <c r="U49" s="129"/>
      <c r="V49" s="129"/>
      <c r="W49" s="129"/>
    </row>
    <row r="50" spans="1:23" ht="12" customHeight="1" x14ac:dyDescent="0.3">
      <c r="A50" s="118" t="s">
        <v>29</v>
      </c>
      <c r="B50" s="27">
        <v>0</v>
      </c>
      <c r="C50" s="27">
        <v>0</v>
      </c>
      <c r="D50" s="27">
        <v>0</v>
      </c>
      <c r="E50" s="27">
        <v>0</v>
      </c>
      <c r="F50" s="27">
        <v>0</v>
      </c>
      <c r="G50" s="27">
        <v>36</v>
      </c>
      <c r="H50" s="27">
        <v>0</v>
      </c>
      <c r="I50" s="27">
        <v>0</v>
      </c>
      <c r="J50" s="27">
        <v>0</v>
      </c>
      <c r="K50" s="27">
        <v>0</v>
      </c>
      <c r="L50" s="27"/>
      <c r="M50" s="27"/>
      <c r="N50" s="27"/>
      <c r="O50" s="104"/>
      <c r="P50" s="104"/>
      <c r="Q50" s="104"/>
      <c r="R50" s="129"/>
      <c r="S50" s="129"/>
      <c r="T50" s="129"/>
      <c r="U50" s="129"/>
      <c r="V50" s="129"/>
      <c r="W50" s="129"/>
    </row>
    <row r="51" spans="1:23" ht="12" customHeight="1" x14ac:dyDescent="0.3">
      <c r="A51" s="26" t="s">
        <v>30</v>
      </c>
      <c r="B51" s="27">
        <v>0</v>
      </c>
      <c r="C51" s="27">
        <v>0</v>
      </c>
      <c r="D51" s="27">
        <v>0</v>
      </c>
      <c r="E51" s="27">
        <v>0</v>
      </c>
      <c r="F51" s="27">
        <v>0</v>
      </c>
      <c r="G51" s="27">
        <v>0</v>
      </c>
      <c r="H51" s="27">
        <v>0</v>
      </c>
      <c r="I51" s="27">
        <v>0</v>
      </c>
      <c r="J51" s="27">
        <v>0</v>
      </c>
      <c r="K51" s="27">
        <v>0</v>
      </c>
      <c r="L51" s="27"/>
      <c r="M51" s="27"/>
      <c r="N51" s="27"/>
      <c r="O51" s="104"/>
      <c r="P51" s="104"/>
      <c r="Q51" s="104"/>
      <c r="R51" s="129"/>
      <c r="S51" s="129"/>
      <c r="T51" s="129"/>
      <c r="U51" s="129"/>
      <c r="V51" s="129"/>
      <c r="W51" s="129"/>
    </row>
    <row r="52" spans="1:23" ht="12" customHeight="1" x14ac:dyDescent="0.3">
      <c r="A52" s="118" t="s">
        <v>31</v>
      </c>
      <c r="B52" s="27">
        <v>3753026</v>
      </c>
      <c r="C52" s="27">
        <v>2859365</v>
      </c>
      <c r="D52" s="27">
        <v>2500224</v>
      </c>
      <c r="E52" s="27">
        <v>1863827</v>
      </c>
      <c r="F52" s="27">
        <v>1306430</v>
      </c>
      <c r="G52" s="27">
        <v>5251114</v>
      </c>
      <c r="H52" s="27">
        <v>5794263</v>
      </c>
      <c r="I52" s="27">
        <v>5530684</v>
      </c>
      <c r="J52" s="27">
        <v>5441202</v>
      </c>
      <c r="K52" s="27">
        <v>5976522</v>
      </c>
      <c r="L52" s="27"/>
      <c r="M52" s="27"/>
      <c r="N52" s="27"/>
      <c r="O52" s="104"/>
      <c r="P52" s="104"/>
      <c r="Q52" s="104"/>
      <c r="R52" s="129"/>
      <c r="S52" s="129"/>
      <c r="T52" s="129"/>
      <c r="U52" s="129"/>
      <c r="V52" s="129"/>
      <c r="W52" s="129"/>
    </row>
    <row r="53" spans="1:23" ht="12" customHeight="1" x14ac:dyDescent="0.3">
      <c r="A53" s="26" t="s">
        <v>32</v>
      </c>
      <c r="B53" s="27">
        <v>58062287</v>
      </c>
      <c r="C53" s="27">
        <v>48066648</v>
      </c>
      <c r="D53" s="27">
        <v>49425311</v>
      </c>
      <c r="E53" s="27">
        <v>44638920</v>
      </c>
      <c r="F53" s="27">
        <v>42684045</v>
      </c>
      <c r="G53" s="27">
        <v>130664145</v>
      </c>
      <c r="H53" s="27">
        <v>216762930</v>
      </c>
      <c r="I53" s="27">
        <v>243284971</v>
      </c>
      <c r="J53" s="27">
        <v>241194280</v>
      </c>
      <c r="K53" s="27">
        <v>262979827</v>
      </c>
      <c r="L53" s="27"/>
      <c r="M53" s="27"/>
      <c r="N53" s="27"/>
      <c r="O53" s="104"/>
      <c r="P53" s="104"/>
      <c r="Q53" s="104"/>
      <c r="R53" s="129"/>
      <c r="S53" s="129"/>
      <c r="T53" s="129"/>
      <c r="U53" s="129"/>
      <c r="V53" s="129"/>
      <c r="W53" s="129"/>
    </row>
    <row r="54" spans="1:23" ht="12" customHeight="1" x14ac:dyDescent="0.3">
      <c r="A54" s="118" t="s">
        <v>33</v>
      </c>
      <c r="B54" s="27">
        <v>7664881</v>
      </c>
      <c r="C54" s="27">
        <v>6544088</v>
      </c>
      <c r="D54" s="27">
        <v>7339741</v>
      </c>
      <c r="E54" s="27">
        <v>7232466</v>
      </c>
      <c r="F54" s="27">
        <v>7235984</v>
      </c>
      <c r="G54" s="27">
        <v>17691953</v>
      </c>
      <c r="H54" s="27">
        <v>28975443</v>
      </c>
      <c r="I54" s="27">
        <v>36081391</v>
      </c>
      <c r="J54" s="27">
        <v>37999702</v>
      </c>
      <c r="K54" s="27">
        <v>41663740</v>
      </c>
      <c r="L54" s="27"/>
      <c r="M54" s="27"/>
      <c r="N54" s="27"/>
      <c r="O54" s="104"/>
      <c r="P54" s="104"/>
      <c r="Q54" s="104"/>
      <c r="R54" s="129"/>
      <c r="S54" s="129"/>
      <c r="T54" s="129"/>
      <c r="U54" s="129"/>
      <c r="V54" s="129"/>
      <c r="W54" s="129"/>
    </row>
    <row r="55" spans="1:23" ht="12" customHeight="1" x14ac:dyDescent="0.3">
      <c r="A55" s="26" t="s">
        <v>34</v>
      </c>
      <c r="B55" s="27">
        <v>137280</v>
      </c>
      <c r="C55" s="27">
        <v>97874</v>
      </c>
      <c r="D55" s="27">
        <v>116555</v>
      </c>
      <c r="E55" s="27">
        <v>71704</v>
      </c>
      <c r="F55" s="27">
        <v>51659</v>
      </c>
      <c r="G55" s="27">
        <v>89227</v>
      </c>
      <c r="H55" s="27">
        <v>91235</v>
      </c>
      <c r="I55" s="27">
        <v>91988</v>
      </c>
      <c r="J55" s="27">
        <v>137476</v>
      </c>
      <c r="K55" s="27">
        <v>308681</v>
      </c>
      <c r="L55" s="27"/>
      <c r="M55" s="27"/>
      <c r="N55" s="27"/>
      <c r="O55" s="104"/>
      <c r="P55" s="104"/>
      <c r="Q55" s="104"/>
      <c r="R55" s="129"/>
      <c r="S55" s="129"/>
      <c r="T55" s="129"/>
      <c r="U55" s="129"/>
      <c r="V55" s="129"/>
      <c r="W55" s="129"/>
    </row>
    <row r="56" spans="1:23" ht="12" customHeight="1" x14ac:dyDescent="0.3">
      <c r="A56" s="118" t="s">
        <v>35</v>
      </c>
      <c r="B56" s="27">
        <v>7672</v>
      </c>
      <c r="C56" s="27">
        <v>5146</v>
      </c>
      <c r="D56" s="27">
        <v>32252</v>
      </c>
      <c r="E56" s="27">
        <v>27428</v>
      </c>
      <c r="F56" s="27">
        <v>329108</v>
      </c>
      <c r="G56" s="27">
        <v>19664</v>
      </c>
      <c r="H56" s="27">
        <v>22588</v>
      </c>
      <c r="I56" s="27">
        <v>13647</v>
      </c>
      <c r="J56" s="27">
        <v>14607</v>
      </c>
      <c r="K56" s="27">
        <v>4981</v>
      </c>
      <c r="L56" s="27"/>
      <c r="M56" s="27"/>
      <c r="N56" s="27"/>
      <c r="O56" s="104"/>
      <c r="P56" s="104"/>
      <c r="Q56" s="104"/>
      <c r="R56" s="129"/>
      <c r="S56" s="129"/>
      <c r="T56" s="129"/>
      <c r="U56" s="129"/>
      <c r="V56" s="129"/>
      <c r="W56" s="129"/>
    </row>
    <row r="57" spans="1:23" ht="12" customHeight="1" x14ac:dyDescent="0.3">
      <c r="A57" s="28" t="s">
        <v>36</v>
      </c>
      <c r="B57" s="29">
        <v>136</v>
      </c>
      <c r="C57" s="29">
        <v>0</v>
      </c>
      <c r="D57" s="29">
        <v>9611</v>
      </c>
      <c r="E57" s="29">
        <v>503</v>
      </c>
      <c r="F57" s="29">
        <v>20</v>
      </c>
      <c r="G57" s="29">
        <v>0</v>
      </c>
      <c r="H57" s="29">
        <v>3132</v>
      </c>
      <c r="I57" s="29">
        <v>0</v>
      </c>
      <c r="J57" s="29">
        <v>0</v>
      </c>
      <c r="K57" s="29">
        <v>5595</v>
      </c>
      <c r="L57" s="29"/>
      <c r="M57" s="29"/>
      <c r="N57" s="29"/>
      <c r="O57" s="104"/>
      <c r="P57" s="104"/>
      <c r="Q57" s="104"/>
      <c r="R57" s="129"/>
      <c r="S57" s="129"/>
      <c r="T57" s="129"/>
      <c r="U57" s="129"/>
      <c r="V57" s="129"/>
      <c r="W57" s="129"/>
    </row>
    <row r="58" spans="1:23" ht="12" customHeight="1" x14ac:dyDescent="0.3">
      <c r="A58" s="34" t="s">
        <v>42</v>
      </c>
      <c r="B58" s="108">
        <f t="shared" ref="B58:H58" si="28">SUM(B59:B67)</f>
        <v>78376571</v>
      </c>
      <c r="C58" s="108">
        <f t="shared" si="28"/>
        <v>74438496</v>
      </c>
      <c r="D58" s="108">
        <f t="shared" si="28"/>
        <v>74133317</v>
      </c>
      <c r="E58" s="108">
        <f t="shared" si="28"/>
        <v>67433322</v>
      </c>
      <c r="F58" s="108">
        <f t="shared" si="28"/>
        <v>65361468</v>
      </c>
      <c r="G58" s="108">
        <f t="shared" si="28"/>
        <v>93837080</v>
      </c>
      <c r="H58" s="108">
        <f t="shared" si="28"/>
        <v>121765557</v>
      </c>
      <c r="I58" s="108">
        <f>SUM(I60:I67)</f>
        <v>135410135</v>
      </c>
      <c r="J58" s="108">
        <f>SUM(J59:J67)</f>
        <v>136712606</v>
      </c>
      <c r="K58" s="108">
        <f>SUM(K59:K67)</f>
        <v>139854718</v>
      </c>
      <c r="L58" s="108">
        <v>137581278.17939997</v>
      </c>
      <c r="M58" s="108">
        <v>140300053.96950001</v>
      </c>
      <c r="N58" s="108">
        <v>150116063.45940003</v>
      </c>
      <c r="O58" s="43">
        <v>138736794.23949999</v>
      </c>
      <c r="P58" s="43">
        <v>137710352.15000001</v>
      </c>
      <c r="Q58" s="43">
        <v>129583812.22887474</v>
      </c>
      <c r="R58" s="126">
        <v>150546596</v>
      </c>
      <c r="S58" s="126">
        <v>162734272</v>
      </c>
      <c r="T58" s="136">
        <v>152959283</v>
      </c>
      <c r="U58" s="136">
        <v>164290336</v>
      </c>
      <c r="V58" s="136">
        <v>201054912</v>
      </c>
      <c r="W58" s="136">
        <v>263107286</v>
      </c>
    </row>
    <row r="59" spans="1:23" ht="12" customHeight="1" x14ac:dyDescent="0.3">
      <c r="A59" s="26" t="s">
        <v>28</v>
      </c>
      <c r="B59" s="27">
        <v>0</v>
      </c>
      <c r="C59" s="27">
        <v>0</v>
      </c>
      <c r="D59" s="27">
        <v>0</v>
      </c>
      <c r="E59" s="27">
        <v>0</v>
      </c>
      <c r="F59" s="27">
        <v>0</v>
      </c>
      <c r="G59" s="27">
        <v>0</v>
      </c>
      <c r="H59" s="27">
        <v>0</v>
      </c>
      <c r="I59" s="27">
        <v>0</v>
      </c>
      <c r="J59" s="27">
        <v>0</v>
      </c>
      <c r="K59" s="27">
        <v>0</v>
      </c>
      <c r="L59" s="27"/>
      <c r="M59" s="27"/>
      <c r="N59" s="27"/>
      <c r="O59" s="104"/>
      <c r="P59" s="104"/>
      <c r="Q59" s="104"/>
      <c r="R59" s="129"/>
      <c r="S59" s="129"/>
      <c r="T59" s="129"/>
      <c r="U59" s="129"/>
      <c r="V59" s="129"/>
      <c r="W59" s="129"/>
    </row>
    <row r="60" spans="1:23" ht="12" customHeight="1" x14ac:dyDescent="0.3">
      <c r="A60" s="118" t="s">
        <v>29</v>
      </c>
      <c r="B60" s="27">
        <v>0</v>
      </c>
      <c r="C60" s="27">
        <v>0</v>
      </c>
      <c r="D60" s="27">
        <v>0</v>
      </c>
      <c r="E60" s="27">
        <v>0</v>
      </c>
      <c r="F60" s="27">
        <v>0</v>
      </c>
      <c r="G60" s="27">
        <v>0</v>
      </c>
      <c r="H60" s="27">
        <v>0</v>
      </c>
      <c r="I60" s="27">
        <v>0</v>
      </c>
      <c r="J60" s="27">
        <v>0</v>
      </c>
      <c r="K60" s="27">
        <v>0</v>
      </c>
      <c r="L60" s="27"/>
      <c r="M60" s="27"/>
      <c r="N60" s="27"/>
      <c r="O60" s="104"/>
      <c r="P60" s="104"/>
      <c r="Q60" s="104"/>
      <c r="R60" s="129"/>
      <c r="S60" s="129"/>
      <c r="T60" s="129"/>
      <c r="U60" s="129"/>
      <c r="V60" s="129"/>
      <c r="W60" s="129"/>
    </row>
    <row r="61" spans="1:23" ht="12" customHeight="1" x14ac:dyDescent="0.3">
      <c r="A61" s="26" t="s">
        <v>30</v>
      </c>
      <c r="B61" s="27">
        <v>418122</v>
      </c>
      <c r="C61" s="27">
        <v>201802</v>
      </c>
      <c r="D61" s="27">
        <v>233758</v>
      </c>
      <c r="E61" s="27">
        <v>234057</v>
      </c>
      <c r="F61" s="27">
        <v>189404</v>
      </c>
      <c r="G61" s="27">
        <v>171737</v>
      </c>
      <c r="H61" s="27">
        <v>194922</v>
      </c>
      <c r="I61" s="27">
        <v>320426</v>
      </c>
      <c r="J61" s="27">
        <v>258008</v>
      </c>
      <c r="K61" s="27">
        <v>244848</v>
      </c>
      <c r="L61" s="27"/>
      <c r="M61" s="27"/>
      <c r="N61" s="27"/>
      <c r="O61" s="104"/>
      <c r="P61" s="104"/>
      <c r="Q61" s="104"/>
      <c r="R61" s="129"/>
      <c r="S61" s="129"/>
      <c r="T61" s="129"/>
      <c r="U61" s="129"/>
      <c r="V61" s="129"/>
      <c r="W61" s="129"/>
    </row>
    <row r="62" spans="1:23" ht="12" customHeight="1" x14ac:dyDescent="0.3">
      <c r="A62" s="118" t="s">
        <v>31</v>
      </c>
      <c r="B62" s="27">
        <v>19744203</v>
      </c>
      <c r="C62" s="27">
        <v>18074185</v>
      </c>
      <c r="D62" s="27">
        <v>16893959</v>
      </c>
      <c r="E62" s="27">
        <v>14661425</v>
      </c>
      <c r="F62" s="27">
        <v>13281823</v>
      </c>
      <c r="G62" s="27">
        <v>16360120</v>
      </c>
      <c r="H62" s="27">
        <v>18568573</v>
      </c>
      <c r="I62" s="27">
        <v>19402905</v>
      </c>
      <c r="J62" s="27">
        <v>18710321</v>
      </c>
      <c r="K62" s="27">
        <v>18395780</v>
      </c>
      <c r="L62" s="27"/>
      <c r="M62" s="27"/>
      <c r="N62" s="27"/>
      <c r="O62" s="104"/>
      <c r="P62" s="104"/>
      <c r="Q62" s="104"/>
      <c r="R62" s="129"/>
      <c r="S62" s="129"/>
      <c r="T62" s="129"/>
      <c r="U62" s="129"/>
      <c r="V62" s="129"/>
      <c r="W62" s="129"/>
    </row>
    <row r="63" spans="1:23" ht="12" customHeight="1" x14ac:dyDescent="0.3">
      <c r="A63" s="26" t="s">
        <v>32</v>
      </c>
      <c r="B63" s="27">
        <v>58142977</v>
      </c>
      <c r="C63" s="27">
        <v>56053963</v>
      </c>
      <c r="D63" s="27">
        <v>56960906</v>
      </c>
      <c r="E63" s="27">
        <v>52419559</v>
      </c>
      <c r="F63" s="27">
        <v>51800665</v>
      </c>
      <c r="G63" s="27">
        <v>77155757</v>
      </c>
      <c r="H63" s="27">
        <v>102833392</v>
      </c>
      <c r="I63" s="27">
        <v>115443508</v>
      </c>
      <c r="J63" s="27">
        <v>117492421</v>
      </c>
      <c r="K63" s="27">
        <v>120924863</v>
      </c>
      <c r="L63" s="27"/>
      <c r="M63" s="27"/>
      <c r="N63" s="27"/>
      <c r="O63" s="104"/>
      <c r="P63" s="104"/>
      <c r="Q63" s="104"/>
      <c r="R63" s="129"/>
      <c r="S63" s="129"/>
      <c r="T63" s="129"/>
      <c r="U63" s="129"/>
      <c r="V63" s="129"/>
      <c r="W63" s="129"/>
    </row>
    <row r="64" spans="1:23" ht="12" customHeight="1" x14ac:dyDescent="0.3">
      <c r="A64" s="118" t="s">
        <v>33</v>
      </c>
      <c r="B64" s="27">
        <v>71289</v>
      </c>
      <c r="C64" s="27">
        <v>108546</v>
      </c>
      <c r="D64" s="27">
        <v>44694</v>
      </c>
      <c r="E64" s="27">
        <v>118281</v>
      </c>
      <c r="F64" s="27">
        <v>89576</v>
      </c>
      <c r="G64" s="27">
        <v>149466</v>
      </c>
      <c r="H64" s="27">
        <v>168670</v>
      </c>
      <c r="I64" s="27">
        <v>243296</v>
      </c>
      <c r="J64" s="27">
        <v>251856</v>
      </c>
      <c r="K64" s="27">
        <v>289227</v>
      </c>
      <c r="L64" s="27"/>
      <c r="M64" s="27"/>
      <c r="N64" s="27"/>
      <c r="O64" s="104"/>
      <c r="P64" s="104"/>
      <c r="Q64" s="104"/>
      <c r="R64" s="129"/>
      <c r="S64" s="129"/>
      <c r="T64" s="129"/>
      <c r="U64" s="129"/>
      <c r="V64" s="129"/>
      <c r="W64" s="129"/>
    </row>
    <row r="65" spans="1:194" ht="12" customHeight="1" x14ac:dyDescent="0.3">
      <c r="A65" s="26" t="s">
        <v>34</v>
      </c>
      <c r="B65" s="27">
        <v>0</v>
      </c>
      <c r="C65" s="27">
        <v>0</v>
      </c>
      <c r="D65" s="27">
        <v>0</v>
      </c>
      <c r="E65" s="27">
        <v>0</v>
      </c>
      <c r="F65" s="27">
        <v>0</v>
      </c>
      <c r="G65" s="27">
        <v>0</v>
      </c>
      <c r="H65" s="27">
        <v>0</v>
      </c>
      <c r="I65" s="27">
        <v>0</v>
      </c>
      <c r="J65" s="27">
        <v>0</v>
      </c>
      <c r="K65" s="27">
        <v>0</v>
      </c>
      <c r="L65" s="27"/>
      <c r="M65" s="27"/>
      <c r="N65" s="27"/>
      <c r="O65" s="104"/>
      <c r="P65" s="104"/>
      <c r="Q65" s="104"/>
      <c r="R65" s="129"/>
      <c r="S65" s="129"/>
      <c r="T65" s="129"/>
      <c r="U65" s="129"/>
      <c r="V65" s="129"/>
      <c r="W65" s="129"/>
    </row>
    <row r="66" spans="1:194" ht="12" customHeight="1" x14ac:dyDescent="0.3">
      <c r="A66" s="118" t="s">
        <v>35</v>
      </c>
      <c r="B66" s="27">
        <v>0</v>
      </c>
      <c r="C66" s="27">
        <v>0</v>
      </c>
      <c r="D66" s="27">
        <v>0</v>
      </c>
      <c r="E66" s="27">
        <v>0</v>
      </c>
      <c r="F66" s="27">
        <v>0</v>
      </c>
      <c r="G66" s="27">
        <v>0</v>
      </c>
      <c r="H66" s="27">
        <v>0</v>
      </c>
      <c r="I66" s="27">
        <v>0</v>
      </c>
      <c r="J66" s="27">
        <v>0</v>
      </c>
      <c r="K66" s="27">
        <v>0</v>
      </c>
      <c r="L66" s="27"/>
      <c r="M66" s="27"/>
      <c r="N66" s="27"/>
      <c r="O66" s="104"/>
      <c r="P66" s="104"/>
      <c r="Q66" s="104"/>
      <c r="R66" s="129"/>
      <c r="S66" s="129"/>
      <c r="T66" s="129"/>
      <c r="U66" s="129"/>
      <c r="V66" s="129"/>
      <c r="W66" s="129"/>
    </row>
    <row r="67" spans="1:194" ht="12" customHeight="1" x14ac:dyDescent="0.3">
      <c r="A67" s="28" t="s">
        <v>36</v>
      </c>
      <c r="B67" s="29">
        <v>-20</v>
      </c>
      <c r="C67" s="29">
        <v>0</v>
      </c>
      <c r="D67" s="29">
        <v>0</v>
      </c>
      <c r="E67" s="29">
        <v>0</v>
      </c>
      <c r="F67" s="29">
        <v>0</v>
      </c>
      <c r="G67" s="29">
        <v>0</v>
      </c>
      <c r="H67" s="29">
        <v>0</v>
      </c>
      <c r="I67" s="29">
        <v>0</v>
      </c>
      <c r="J67" s="29">
        <v>0</v>
      </c>
      <c r="K67" s="29">
        <v>0</v>
      </c>
      <c r="L67" s="29"/>
      <c r="M67" s="29"/>
      <c r="N67" s="29"/>
      <c r="O67" s="104"/>
      <c r="P67" s="104"/>
      <c r="Q67" s="104"/>
      <c r="R67" s="129"/>
      <c r="S67" s="129"/>
      <c r="T67" s="129"/>
      <c r="U67" s="129"/>
      <c r="V67" s="129"/>
      <c r="W67" s="129"/>
    </row>
    <row r="68" spans="1:194" ht="27" customHeight="1" x14ac:dyDescent="0.3">
      <c r="A68" s="107" t="s">
        <v>88</v>
      </c>
      <c r="B68" s="104">
        <f t="shared" ref="B68:J68" si="29">+B58+B48</f>
        <v>148001853</v>
      </c>
      <c r="C68" s="104">
        <f t="shared" si="29"/>
        <v>132011617</v>
      </c>
      <c r="D68" s="104">
        <f t="shared" si="29"/>
        <v>133557011</v>
      </c>
      <c r="E68" s="104">
        <f t="shared" si="29"/>
        <v>121277472</v>
      </c>
      <c r="F68" s="104">
        <f t="shared" si="29"/>
        <v>116968714</v>
      </c>
      <c r="G68" s="104">
        <f t="shared" si="29"/>
        <v>247553219</v>
      </c>
      <c r="H68" s="104">
        <f t="shared" si="29"/>
        <v>373415148</v>
      </c>
      <c r="I68" s="104">
        <f t="shared" si="29"/>
        <v>420412816</v>
      </c>
      <c r="J68" s="104">
        <f t="shared" si="29"/>
        <v>421499873</v>
      </c>
      <c r="K68" s="104">
        <f t="shared" ref="K68:Q68" si="30">+K58+K48</f>
        <v>450794064</v>
      </c>
      <c r="L68" s="104">
        <f t="shared" si="30"/>
        <v>483145345.02769995</v>
      </c>
      <c r="M68" s="104">
        <f t="shared" si="30"/>
        <v>583780717.7177999</v>
      </c>
      <c r="N68" s="104">
        <f t="shared" si="30"/>
        <v>744563729.15510011</v>
      </c>
      <c r="O68" s="104">
        <f t="shared" si="30"/>
        <v>659699380.53690004</v>
      </c>
      <c r="P68" s="104">
        <f t="shared" si="30"/>
        <v>753572342.38999999</v>
      </c>
      <c r="Q68" s="104">
        <f t="shared" si="30"/>
        <v>743430683.68146253</v>
      </c>
      <c r="R68" s="104">
        <f>+R58+R48</f>
        <v>836846034</v>
      </c>
      <c r="S68" s="104">
        <f t="shared" ref="S68:T68" si="31">+S58+S48</f>
        <v>960659824</v>
      </c>
      <c r="T68" s="104">
        <f t="shared" si="31"/>
        <v>979178820</v>
      </c>
      <c r="U68" s="104">
        <f t="shared" ref="U68:V68" si="32">+U58+U48</f>
        <v>1108950615</v>
      </c>
      <c r="V68" s="104">
        <f t="shared" si="32"/>
        <v>1033413895</v>
      </c>
      <c r="W68" s="104">
        <f t="shared" ref="W68" si="33">+W58+W48</f>
        <v>954355363</v>
      </c>
    </row>
    <row r="69" spans="1:194" ht="12" customHeight="1" x14ac:dyDescent="0.3">
      <c r="A69" s="30" t="s">
        <v>43</v>
      </c>
      <c r="B69" s="31"/>
      <c r="C69" s="31"/>
      <c r="D69" s="31"/>
      <c r="E69" s="31"/>
      <c r="F69" s="31"/>
      <c r="G69" s="31"/>
      <c r="H69" s="31" t="s">
        <v>44</v>
      </c>
      <c r="I69" s="35" t="s">
        <v>45</v>
      </c>
      <c r="L69" s="112"/>
      <c r="M69" s="112"/>
      <c r="N69" s="112"/>
      <c r="O69" s="112"/>
      <c r="P69" s="112"/>
      <c r="Q69" s="112"/>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row>
    <row r="70" spans="1:194" ht="12" customHeight="1" x14ac:dyDescent="0.3">
      <c r="A70" s="30" t="s">
        <v>46</v>
      </c>
      <c r="B70" s="31"/>
      <c r="C70" s="31"/>
      <c r="D70" s="31"/>
      <c r="E70" s="31"/>
      <c r="F70" s="31"/>
      <c r="G70" s="31"/>
      <c r="H70" s="31" t="s">
        <v>47</v>
      </c>
      <c r="I70" s="38" t="s">
        <v>48</v>
      </c>
      <c r="R70" s="37"/>
      <c r="S70" s="37"/>
      <c r="T70" s="37"/>
      <c r="U70" t="s">
        <v>108</v>
      </c>
      <c r="V70" s="136">
        <v>862038161</v>
      </c>
      <c r="W70" s="136">
        <v>2900843689</v>
      </c>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row>
    <row r="71" spans="1:194" ht="14.25" customHeight="1" x14ac:dyDescent="0.3">
      <c r="A71" s="39" t="s">
        <v>49</v>
      </c>
      <c r="B71" s="40"/>
      <c r="C71" s="40"/>
      <c r="D71" s="40"/>
      <c r="E71" s="40"/>
      <c r="F71" s="40"/>
      <c r="G71" s="40"/>
      <c r="H71" s="40" t="s">
        <v>50</v>
      </c>
      <c r="I71" s="40" t="s">
        <v>51</v>
      </c>
      <c r="J71" s="41"/>
      <c r="K71" s="41"/>
      <c r="L71" s="41"/>
      <c r="M71" s="41"/>
      <c r="N71" s="41"/>
      <c r="O71" s="41"/>
      <c r="P71" s="41"/>
      <c r="Q71" s="41"/>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row>
    <row r="72" spans="1:194" ht="15.75" customHeight="1" x14ac:dyDescent="0.3">
      <c r="A72" s="39" t="s">
        <v>52</v>
      </c>
      <c r="B72" s="40"/>
      <c r="C72" s="40"/>
      <c r="D72" s="40"/>
      <c r="E72" s="40"/>
      <c r="F72" s="40"/>
      <c r="G72" s="40"/>
      <c r="H72" s="40"/>
      <c r="I72" s="40"/>
      <c r="J72" s="40"/>
      <c r="K72" s="40"/>
      <c r="L72" s="40"/>
      <c r="M72" s="40"/>
      <c r="N72" s="40"/>
      <c r="O72" s="119"/>
      <c r="P72" s="119"/>
      <c r="Q72" s="119"/>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row>
    <row r="73" spans="1:194" ht="24.75" customHeight="1" x14ac:dyDescent="0.3">
      <c r="A73" s="149" t="s">
        <v>53</v>
      </c>
      <c r="B73" s="150"/>
      <c r="C73" s="150"/>
      <c r="D73" s="150"/>
      <c r="E73" s="150"/>
      <c r="F73" s="150"/>
      <c r="G73" s="150"/>
      <c r="H73" s="150"/>
      <c r="I73" s="150"/>
      <c r="J73" s="150"/>
      <c r="K73" s="42"/>
      <c r="L73" s="42"/>
      <c r="M73" s="42"/>
      <c r="N73" s="42"/>
      <c r="O73" s="120"/>
      <c r="P73" s="120"/>
      <c r="Q73" s="120"/>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row>
    <row r="74" spans="1:194" ht="27" customHeight="1" x14ac:dyDescent="0.3">
      <c r="A74" s="149" t="s">
        <v>54</v>
      </c>
      <c r="B74" s="150"/>
      <c r="C74" s="150"/>
      <c r="D74" s="150"/>
      <c r="E74" s="150"/>
      <c r="F74" s="150"/>
      <c r="G74" s="150"/>
      <c r="H74" s="150"/>
      <c r="I74" s="150"/>
      <c r="J74" s="150"/>
      <c r="K74" s="42"/>
      <c r="L74" s="42"/>
      <c r="M74" s="42"/>
      <c r="N74" s="42"/>
      <c r="O74" s="42"/>
      <c r="P74" s="42"/>
      <c r="Q74" s="42"/>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row>
    <row r="75" spans="1:194" ht="16.5" customHeight="1" x14ac:dyDescent="0.3">
      <c r="A75" s="39" t="s">
        <v>55</v>
      </c>
      <c r="B75" s="40"/>
      <c r="C75" s="40"/>
      <c r="D75" s="40"/>
      <c r="E75" s="40"/>
      <c r="F75" s="40"/>
      <c r="G75" s="40"/>
      <c r="H75" s="40"/>
      <c r="I75" s="40"/>
      <c r="J75" s="40"/>
      <c r="K75" s="40"/>
      <c r="L75" s="40"/>
      <c r="M75" s="40"/>
      <c r="N75" s="40"/>
      <c r="O75" s="40"/>
      <c r="P75" s="40"/>
      <c r="Q75" s="40"/>
      <c r="R75" s="37"/>
      <c r="S75" s="37"/>
      <c r="T75" s="37"/>
      <c r="U75" s="37"/>
      <c r="V75" s="37"/>
      <c r="W75" s="37"/>
      <c r="X75" s="37"/>
      <c r="Y75" s="37"/>
      <c r="Z75" s="37"/>
      <c r="AA75" s="37"/>
      <c r="AB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row>
    <row r="76" spans="1:194" ht="27.75" customHeight="1" x14ac:dyDescent="0.3">
      <c r="A76" s="149" t="s">
        <v>56</v>
      </c>
      <c r="B76" s="151"/>
      <c r="C76" s="151"/>
      <c r="D76" s="151"/>
      <c r="E76" s="151"/>
      <c r="F76" s="151"/>
      <c r="G76" s="151"/>
      <c r="H76" s="151"/>
      <c r="I76" s="151"/>
      <c r="J76" s="151"/>
      <c r="K76" s="42"/>
      <c r="L76" s="42"/>
      <c r="M76" s="42"/>
      <c r="N76" s="42"/>
      <c r="O76" s="42"/>
      <c r="P76" s="42"/>
      <c r="Q76" s="42"/>
      <c r="R76" s="37"/>
      <c r="S76" s="37"/>
      <c r="T76" s="37"/>
      <c r="U76" s="37"/>
      <c r="V76" s="37"/>
      <c r="W76" s="37"/>
      <c r="X76" s="37"/>
      <c r="Y76" s="37"/>
      <c r="Z76" s="37"/>
      <c r="AA76" s="37"/>
      <c r="AB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row>
    <row r="77" spans="1:194" ht="13.5" customHeight="1" x14ac:dyDescent="0.3">
      <c r="A77" s="39" t="s">
        <v>57</v>
      </c>
      <c r="B77" s="40"/>
      <c r="C77" s="40"/>
      <c r="D77" s="40"/>
      <c r="E77" s="40"/>
      <c r="F77" s="40"/>
      <c r="G77" s="40"/>
      <c r="H77" s="40"/>
      <c r="I77" s="40"/>
      <c r="J77" s="40"/>
      <c r="K77" s="40"/>
      <c r="L77" s="40"/>
      <c r="M77" s="40"/>
      <c r="N77" s="40"/>
      <c r="O77" s="40"/>
      <c r="P77" s="40"/>
      <c r="Q77" s="40"/>
      <c r="R77" s="37"/>
      <c r="S77" s="37"/>
      <c r="T77" s="37"/>
      <c r="U77" s="37"/>
      <c r="V77" s="37"/>
      <c r="W77" s="37"/>
      <c r="X77" s="37"/>
      <c r="Y77" s="37"/>
      <c r="Z77" s="37"/>
      <c r="AA77" s="37"/>
      <c r="AB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row>
    <row r="78" spans="1:194" ht="13.5" customHeight="1" x14ac:dyDescent="0.3">
      <c r="A78" s="39" t="s">
        <v>58</v>
      </c>
      <c r="B78" s="41"/>
      <c r="C78" s="41"/>
      <c r="D78" s="41"/>
      <c r="E78" s="41"/>
      <c r="F78" s="41"/>
      <c r="G78" s="41"/>
      <c r="H78" s="41"/>
      <c r="I78" s="41"/>
      <c r="J78" s="41"/>
      <c r="K78" s="41"/>
      <c r="L78" s="41"/>
      <c r="M78" s="41"/>
      <c r="N78" s="41"/>
      <c r="O78" s="41"/>
      <c r="P78" s="41"/>
      <c r="Q78" s="41"/>
    </row>
  </sheetData>
  <mergeCells count="4">
    <mergeCell ref="A73:J73"/>
    <mergeCell ref="A74:J74"/>
    <mergeCell ref="A76:J76"/>
    <mergeCell ref="X24:AL24"/>
  </mergeCells>
  <phoneticPr fontId="23" type="noConversion"/>
  <pageMargins left="0.3" right="0.23" top="0.4" bottom="0.62" header="0.19" footer="0.17"/>
  <pageSetup scale="69" orientation="landscape" r:id="rId1"/>
  <headerFooter alignWithMargins="0">
    <oddFooter>&amp;L&amp;D&amp;C&amp;Z&amp;F&amp;R&amp;P</oddFooter>
  </headerFooter>
  <colBreaks count="1" manualBreakCount="1">
    <brk id="23"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workbookViewId="0">
      <pane xSplit="1" ySplit="2" topLeftCell="B3" activePane="bottomRight" state="frozen"/>
      <selection pane="topRight" activeCell="B1" sqref="B1"/>
      <selection pane="bottomLeft" activeCell="A3" sqref="A3"/>
      <selection pane="bottomRight" activeCell="B9" sqref="B9"/>
    </sheetView>
  </sheetViews>
  <sheetFormatPr defaultColWidth="26.69921875" defaultRowHeight="15.6" x14ac:dyDescent="0.3"/>
  <cols>
    <col min="1" max="1" width="26.69921875" style="78" customWidth="1"/>
    <col min="2" max="7" width="13.09765625" style="78" bestFit="1" customWidth="1"/>
    <col min="8" max="8" width="13.69921875" style="78" bestFit="1" customWidth="1"/>
    <col min="9" max="12" width="13.09765625" style="78" bestFit="1" customWidth="1"/>
    <col min="13" max="16384" width="26.69921875" style="78"/>
  </cols>
  <sheetData>
    <row r="1" spans="1:256" s="80" customFormat="1" ht="21" customHeight="1" x14ac:dyDescent="0.3">
      <c r="A1" s="81" t="s">
        <v>77</v>
      </c>
      <c r="B1" s="82">
        <v>1999</v>
      </c>
      <c r="C1" s="82">
        <v>2000</v>
      </c>
      <c r="D1" s="82">
        <v>2001</v>
      </c>
      <c r="E1" s="83">
        <v>2002</v>
      </c>
      <c r="F1" s="83">
        <v>2003</v>
      </c>
      <c r="G1" s="82">
        <v>2004</v>
      </c>
      <c r="H1" s="82">
        <v>2005</v>
      </c>
      <c r="I1" s="82">
        <v>2006</v>
      </c>
      <c r="J1" s="81">
        <v>2007</v>
      </c>
      <c r="K1" s="81">
        <v>2008</v>
      </c>
      <c r="L1" s="81">
        <v>2009</v>
      </c>
      <c r="M1" s="78"/>
      <c r="N1" s="78"/>
      <c r="O1" s="84"/>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s="80" customFormat="1" ht="21.75" customHeight="1" x14ac:dyDescent="0.3">
      <c r="A2" s="74" t="s">
        <v>1</v>
      </c>
      <c r="B2" s="75">
        <f t="shared" ref="B2:K2" si="0">SUM(B3:B7)</f>
        <v>1926464122</v>
      </c>
      <c r="C2" s="75">
        <f t="shared" si="0"/>
        <v>1990466591</v>
      </c>
      <c r="D2" s="75">
        <f t="shared" si="0"/>
        <v>2332774080</v>
      </c>
      <c r="E2" s="76">
        <f t="shared" si="0"/>
        <v>2337319088</v>
      </c>
      <c r="F2" s="76">
        <f t="shared" si="0"/>
        <v>2471592107</v>
      </c>
      <c r="G2" s="75">
        <f t="shared" si="0"/>
        <v>3459298441</v>
      </c>
      <c r="H2" s="75">
        <f t="shared" si="0"/>
        <v>3930035780</v>
      </c>
      <c r="I2" s="75">
        <f t="shared" si="0"/>
        <v>4195630145</v>
      </c>
      <c r="J2" s="77">
        <f t="shared" si="0"/>
        <v>4185319019</v>
      </c>
      <c r="K2" s="77">
        <f t="shared" si="0"/>
        <v>4498568616</v>
      </c>
      <c r="L2" s="77">
        <f>SUM(L3:L7)</f>
        <v>4836731669</v>
      </c>
      <c r="M2" s="78"/>
      <c r="N2" s="78"/>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row>
    <row r="3" spans="1:256" s="80" customFormat="1" x14ac:dyDescent="0.3">
      <c r="A3" s="85" t="s">
        <v>0</v>
      </c>
      <c r="B3" s="86">
        <v>627877083</v>
      </c>
      <c r="C3" s="86">
        <v>671968148</v>
      </c>
      <c r="D3" s="86">
        <v>791196749</v>
      </c>
      <c r="E3" s="87">
        <v>803609017</v>
      </c>
      <c r="F3" s="87">
        <v>855413471</v>
      </c>
      <c r="G3" s="86">
        <v>946550450</v>
      </c>
      <c r="H3" s="86">
        <v>1006038512</v>
      </c>
      <c r="I3" s="86">
        <v>960317862</v>
      </c>
      <c r="J3" s="88">
        <v>879007540</v>
      </c>
      <c r="K3" s="88">
        <v>915641519</v>
      </c>
      <c r="L3" s="88">
        <v>955541749</v>
      </c>
      <c r="M3" s="78">
        <f>+L3/1000000</f>
        <v>955.54174899999998</v>
      </c>
      <c r="N3" s="78"/>
    </row>
    <row r="4" spans="1:256" s="80" customFormat="1" x14ac:dyDescent="0.3">
      <c r="A4" s="89" t="s">
        <v>78</v>
      </c>
      <c r="B4" s="90">
        <v>882180362</v>
      </c>
      <c r="C4" s="90">
        <v>941582248</v>
      </c>
      <c r="D4" s="90">
        <v>1101222579</v>
      </c>
      <c r="E4" s="91">
        <v>1111877793</v>
      </c>
      <c r="F4" s="91">
        <v>1190399301</v>
      </c>
      <c r="G4" s="90">
        <v>1628416184</v>
      </c>
      <c r="H4" s="92">
        <v>1766849619</v>
      </c>
      <c r="I4" s="90">
        <v>1927907846</v>
      </c>
      <c r="J4" s="93">
        <v>1959900100</v>
      </c>
      <c r="K4" s="93">
        <v>2123248708</v>
      </c>
      <c r="L4" s="93">
        <v>2286464557</v>
      </c>
      <c r="M4" s="78">
        <f t="shared" ref="M4:M9" si="1">+L4/1000000</f>
        <v>2286.4645569999998</v>
      </c>
      <c r="N4" s="78"/>
    </row>
    <row r="5" spans="1:256" s="80" customFormat="1" x14ac:dyDescent="0.3">
      <c r="A5" s="85" t="s">
        <v>64</v>
      </c>
      <c r="B5" s="86">
        <v>268404823</v>
      </c>
      <c r="C5" s="86">
        <v>244904578</v>
      </c>
      <c r="D5" s="86">
        <v>306797742</v>
      </c>
      <c r="E5" s="87">
        <v>300554807</v>
      </c>
      <c r="F5" s="87">
        <v>308810619</v>
      </c>
      <c r="G5" s="86">
        <v>636778586</v>
      </c>
      <c r="H5" s="86">
        <v>783732498</v>
      </c>
      <c r="I5" s="86">
        <v>886991620</v>
      </c>
      <c r="J5" s="88">
        <v>924911504</v>
      </c>
      <c r="K5" s="88">
        <v>1008884323</v>
      </c>
      <c r="L5" s="88">
        <v>1115914112</v>
      </c>
      <c r="M5" s="78">
        <f t="shared" si="1"/>
        <v>1115.9141119999999</v>
      </c>
      <c r="N5" s="78"/>
    </row>
    <row r="6" spans="1:256" s="80" customFormat="1" x14ac:dyDescent="0.3">
      <c r="A6" s="89" t="s">
        <v>79</v>
      </c>
      <c r="B6" s="90">
        <v>69625283</v>
      </c>
      <c r="C6" s="90">
        <v>57573120</v>
      </c>
      <c r="D6" s="90">
        <v>59423693</v>
      </c>
      <c r="E6" s="91">
        <v>53844149</v>
      </c>
      <c r="F6" s="91">
        <v>51607246</v>
      </c>
      <c r="G6" s="90">
        <v>153716141</v>
      </c>
      <c r="H6" s="90">
        <v>251649592</v>
      </c>
      <c r="I6" s="90">
        <v>285002681</v>
      </c>
      <c r="J6" s="93">
        <v>284787268</v>
      </c>
      <c r="K6" s="93">
        <v>310939347</v>
      </c>
      <c r="L6" s="93">
        <v>342326676</v>
      </c>
      <c r="M6" s="78">
        <f t="shared" si="1"/>
        <v>342.32667600000002</v>
      </c>
      <c r="N6" s="78"/>
    </row>
    <row r="7" spans="1:256" s="80" customFormat="1" x14ac:dyDescent="0.3">
      <c r="A7" s="85" t="s">
        <v>67</v>
      </c>
      <c r="B7" s="86">
        <v>78376571</v>
      </c>
      <c r="C7" s="86">
        <v>74438497</v>
      </c>
      <c r="D7" s="86">
        <v>74133317</v>
      </c>
      <c r="E7" s="87">
        <v>67433322</v>
      </c>
      <c r="F7" s="87">
        <v>65361470</v>
      </c>
      <c r="G7" s="86">
        <v>93837080</v>
      </c>
      <c r="H7" s="86">
        <v>121765559</v>
      </c>
      <c r="I7" s="86">
        <v>135410136</v>
      </c>
      <c r="J7" s="88">
        <v>136712607</v>
      </c>
      <c r="K7" s="88">
        <v>139854719</v>
      </c>
      <c r="L7" s="88">
        <v>136484575</v>
      </c>
      <c r="M7" s="78">
        <f t="shared" si="1"/>
        <v>136.48457500000001</v>
      </c>
      <c r="N7" s="78"/>
      <c r="P7" s="94"/>
    </row>
    <row r="9" spans="1:256" s="80" customFormat="1" x14ac:dyDescent="0.3">
      <c r="A9" s="95" t="s">
        <v>80</v>
      </c>
      <c r="B9" s="96">
        <v>2463509112</v>
      </c>
      <c r="C9" s="97">
        <v>2734102586</v>
      </c>
      <c r="D9" s="97">
        <v>3034281122.8899999</v>
      </c>
      <c r="E9" s="96">
        <v>3679522370.7400002</v>
      </c>
      <c r="F9" s="96">
        <v>3627083198</v>
      </c>
      <c r="G9" s="96">
        <v>3895466766</v>
      </c>
      <c r="H9" s="96">
        <v>4394414237.1499996</v>
      </c>
      <c r="I9" s="98">
        <v>4772677270.71</v>
      </c>
      <c r="J9" s="77">
        <v>5042199846.4699993</v>
      </c>
      <c r="K9" s="77">
        <v>5342630888.9300003</v>
      </c>
      <c r="L9" s="77">
        <v>5772295365.3200016</v>
      </c>
      <c r="M9" s="78">
        <f t="shared" si="1"/>
        <v>5772.295365320002</v>
      </c>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1" spans="1:256" x14ac:dyDescent="0.3">
      <c r="A11" s="99" t="s">
        <v>81</v>
      </c>
    </row>
    <row r="12" spans="1:256" x14ac:dyDescent="0.3">
      <c r="A12" s="100"/>
    </row>
    <row r="13" spans="1:256" x14ac:dyDescent="0.3">
      <c r="A13" s="101"/>
    </row>
  </sheetData>
  <phoneticPr fontId="2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tabSelected="1" workbookViewId="0">
      <selection activeCell="A5" sqref="A5"/>
    </sheetView>
  </sheetViews>
  <sheetFormatPr defaultColWidth="9" defaultRowHeight="16.2" x14ac:dyDescent="0.3"/>
  <cols>
    <col min="1" max="1" width="9" style="2"/>
    <col min="2" max="2" width="10.59765625" style="2" customWidth="1"/>
    <col min="3" max="3" width="9.19921875" style="2" bestFit="1" customWidth="1"/>
    <col min="4" max="4" width="8.3984375" style="2" customWidth="1"/>
    <col min="5" max="5" width="13" style="2" bestFit="1" customWidth="1"/>
    <col min="6" max="6" width="10.3984375" style="2" customWidth="1"/>
    <col min="7" max="7" width="10.59765625" style="2" bestFit="1" customWidth="1"/>
    <col min="8" max="8" width="10.59765625" style="2" customWidth="1"/>
    <col min="9" max="9" width="12.59765625" style="148" customWidth="1"/>
    <col min="10" max="10" width="11.3984375" style="2" customWidth="1"/>
    <col min="11" max="11" width="9.59765625" style="2" customWidth="1"/>
    <col min="12" max="12" width="20.19921875" style="2" hidden="1" customWidth="1"/>
    <col min="13" max="13" width="21.5" style="2" hidden="1" customWidth="1"/>
    <col min="14" max="14" width="12.09765625" style="2" hidden="1" customWidth="1"/>
    <col min="15" max="17" width="0" style="2" hidden="1" customWidth="1"/>
    <col min="18" max="16384" width="9" style="2"/>
  </cols>
  <sheetData>
    <row r="1" spans="2:11" ht="18.600000000000001" x14ac:dyDescent="0.4">
      <c r="B1" s="153" t="s">
        <v>112</v>
      </c>
      <c r="C1" s="154"/>
      <c r="D1" s="154"/>
      <c r="E1" s="154"/>
      <c r="F1" s="154"/>
      <c r="G1" s="154"/>
      <c r="H1" s="154"/>
      <c r="I1" s="154"/>
      <c r="J1" s="154"/>
      <c r="K1" s="154"/>
    </row>
    <row r="2" spans="2:11" ht="18" customHeight="1" x14ac:dyDescent="0.3"/>
    <row r="3" spans="2:11" ht="18" customHeight="1" x14ac:dyDescent="0.3"/>
    <row r="4" spans="2:11" ht="20.25" customHeight="1" x14ac:dyDescent="0.3"/>
    <row r="5" spans="2:11" ht="18" customHeight="1" x14ac:dyDescent="0.3"/>
    <row r="6" spans="2:11" ht="18" customHeight="1" x14ac:dyDescent="0.3"/>
    <row r="7" spans="2:11" ht="18" customHeight="1" x14ac:dyDescent="0.3"/>
    <row r="8" spans="2:11" ht="18" customHeight="1" x14ac:dyDescent="0.3"/>
    <row r="9" spans="2:11" ht="18" customHeight="1" x14ac:dyDescent="0.3"/>
    <row r="10" spans="2:11" ht="18" customHeight="1" x14ac:dyDescent="0.3"/>
    <row r="11" spans="2:11" ht="18" customHeight="1" x14ac:dyDescent="0.3"/>
    <row r="12" spans="2:11" ht="18" customHeight="1" x14ac:dyDescent="0.3"/>
    <row r="13" spans="2:11" ht="18" customHeight="1" x14ac:dyDescent="0.3"/>
    <row r="14" spans="2:11" ht="18" customHeight="1" x14ac:dyDescent="0.3"/>
    <row r="15" spans="2:11" ht="18" customHeight="1" x14ac:dyDescent="0.3"/>
    <row r="16" spans="2:11" ht="18" customHeight="1" x14ac:dyDescent="0.3"/>
    <row r="17" spans="2:15" ht="18" customHeight="1" x14ac:dyDescent="0.3"/>
    <row r="18" spans="2:15" s="4" customFormat="1" ht="15" customHeight="1" x14ac:dyDescent="0.3">
      <c r="B18" s="11"/>
      <c r="C18" s="64"/>
      <c r="D18" s="64"/>
      <c r="E18" s="64"/>
      <c r="F18" s="64"/>
      <c r="G18" s="64"/>
      <c r="H18" s="64"/>
      <c r="I18" s="64"/>
      <c r="J18" s="65"/>
    </row>
    <row r="19" spans="2:15" s="4" customFormat="1" ht="15" customHeight="1" x14ac:dyDescent="0.35">
      <c r="B19" s="10"/>
      <c r="C19" s="155" t="s">
        <v>3</v>
      </c>
      <c r="D19" s="157" t="s">
        <v>4</v>
      </c>
      <c r="E19" s="157"/>
      <c r="F19" s="157"/>
      <c r="G19" s="157"/>
      <c r="H19" s="157"/>
      <c r="I19" s="157"/>
      <c r="J19" s="157"/>
    </row>
    <row r="20" spans="2:15" ht="81" customHeight="1" x14ac:dyDescent="0.35">
      <c r="B20" s="6"/>
      <c r="C20" s="156"/>
      <c r="D20" s="147" t="s">
        <v>0</v>
      </c>
      <c r="E20" s="147" t="s">
        <v>2</v>
      </c>
      <c r="F20" s="147" t="s">
        <v>64</v>
      </c>
      <c r="G20" s="147" t="s">
        <v>74</v>
      </c>
      <c r="H20" s="147" t="s">
        <v>110</v>
      </c>
      <c r="I20" s="147" t="s">
        <v>92</v>
      </c>
      <c r="J20" s="147" t="s">
        <v>1</v>
      </c>
      <c r="K20" s="5"/>
      <c r="L20" s="5"/>
    </row>
    <row r="21" spans="2:15" ht="15.9" hidden="1" customHeight="1" x14ac:dyDescent="0.3">
      <c r="C21" s="142">
        <v>1993</v>
      </c>
      <c r="D21" s="143">
        <f>+'Power BI'!B10</f>
        <v>523.40384100000006</v>
      </c>
      <c r="E21" s="143">
        <f>+'Power BI'!C10</f>
        <v>584.69809599999996</v>
      </c>
      <c r="F21" s="143">
        <f>+'Power BI'!D10</f>
        <v>300.71387299999998</v>
      </c>
      <c r="G21" s="143">
        <f>+'Power BI'!E10</f>
        <v>240.07623000000001</v>
      </c>
      <c r="H21" s="143"/>
      <c r="I21" s="143"/>
      <c r="J21" s="143">
        <f>SUM(D21:G21)</f>
        <v>1648.8920399999997</v>
      </c>
      <c r="K21" s="143"/>
    </row>
    <row r="22" spans="2:15" ht="15.9" hidden="1" customHeight="1" x14ac:dyDescent="0.3">
      <c r="C22" s="142">
        <v>1994</v>
      </c>
      <c r="D22" s="143">
        <f>+'Power BI'!B11</f>
        <v>541.31640700000003</v>
      </c>
      <c r="E22" s="143">
        <f>+'Power BI'!C11</f>
        <v>621.84389599999997</v>
      </c>
      <c r="F22" s="143">
        <f>+'Power BI'!D11</f>
        <v>286.28258599999998</v>
      </c>
      <c r="G22" s="143">
        <f>+'Power BI'!E11</f>
        <v>220.11158399999999</v>
      </c>
      <c r="H22" s="143"/>
      <c r="I22" s="143"/>
      <c r="J22" s="143">
        <f>SUM(D22:G22)</f>
        <v>1669.5544730000001</v>
      </c>
      <c r="K22" s="143"/>
    </row>
    <row r="23" spans="2:15" ht="15.9" hidden="1" customHeight="1" x14ac:dyDescent="0.3">
      <c r="C23" s="142">
        <v>1995</v>
      </c>
      <c r="D23" s="143">
        <f>+'Power BI'!B12</f>
        <v>565.66850399999998</v>
      </c>
      <c r="E23" s="143">
        <f>+'Power BI'!C12</f>
        <v>715.47388999999998</v>
      </c>
      <c r="F23" s="143">
        <f>+'Power BI'!D12</f>
        <v>336.84953899999999</v>
      </c>
      <c r="G23" s="143">
        <f>+'Power BI'!E12</f>
        <v>223.37357800000001</v>
      </c>
      <c r="H23" s="143"/>
      <c r="I23" s="143">
        <v>268.49462158000006</v>
      </c>
      <c r="J23" s="143">
        <f t="shared" ref="J23:J40" si="0">SUM(D23:I23)</f>
        <v>2109.86013258</v>
      </c>
      <c r="K23" s="143"/>
    </row>
    <row r="24" spans="2:15" ht="15.9" hidden="1" customHeight="1" x14ac:dyDescent="0.3">
      <c r="C24" s="142">
        <v>1996</v>
      </c>
      <c r="D24" s="143">
        <f>+'Power BI'!B13</f>
        <v>577.52848200000005</v>
      </c>
      <c r="E24" s="143">
        <f>+'Power BI'!C13</f>
        <v>756.73389799999995</v>
      </c>
      <c r="F24" s="143">
        <f>+'Power BI'!D13</f>
        <v>282.91224499999998</v>
      </c>
      <c r="G24" s="143">
        <f>+'Power BI'!E13</f>
        <v>173.130753</v>
      </c>
      <c r="H24" s="143"/>
      <c r="I24" s="143">
        <v>268.49462158000006</v>
      </c>
      <c r="J24" s="143">
        <f t="shared" si="0"/>
        <v>2058.7999995800001</v>
      </c>
      <c r="K24" s="143"/>
      <c r="L24" s="7"/>
      <c r="M24" s="7"/>
      <c r="N24" s="7"/>
      <c r="O24" s="7"/>
    </row>
    <row r="25" spans="2:15" ht="15.9" hidden="1" customHeight="1" x14ac:dyDescent="0.3">
      <c r="C25" s="142">
        <v>1997</v>
      </c>
      <c r="D25" s="143">
        <f>+'Power BI'!B14</f>
        <v>612.00540899999999</v>
      </c>
      <c r="E25" s="143">
        <f>+'Power BI'!C14</f>
        <v>803.566776</v>
      </c>
      <c r="F25" s="143">
        <f>+'Power BI'!D14</f>
        <v>287.80631799999998</v>
      </c>
      <c r="G25" s="143">
        <f>+'Power BI'!E14</f>
        <v>127.0346</v>
      </c>
      <c r="H25" s="143"/>
      <c r="I25" s="143">
        <v>311.38689693000015</v>
      </c>
      <c r="J25" s="143">
        <f t="shared" si="0"/>
        <v>2141.79999993</v>
      </c>
      <c r="K25" s="143"/>
      <c r="M25" s="7"/>
      <c r="N25" s="7"/>
      <c r="O25" s="7"/>
    </row>
    <row r="26" spans="2:15" ht="15.9" hidden="1" customHeight="1" x14ac:dyDescent="0.3">
      <c r="C26" s="142">
        <v>1998</v>
      </c>
      <c r="D26" s="143">
        <f>+'Power BI'!B15</f>
        <v>631.04963799999996</v>
      </c>
      <c r="E26" s="143">
        <f>+'Power BI'!C15</f>
        <v>852.36452899999995</v>
      </c>
      <c r="F26" s="143">
        <f>+'Power BI'!D15</f>
        <v>300.45790399999998</v>
      </c>
      <c r="G26" s="143">
        <f>+'Power BI'!E15</f>
        <v>125.696158</v>
      </c>
      <c r="H26" s="143"/>
      <c r="I26" s="143">
        <f>+'Power BI'!G15</f>
        <v>327.53176600000006</v>
      </c>
      <c r="J26" s="143">
        <f t="shared" si="0"/>
        <v>2237.0999949999996</v>
      </c>
      <c r="K26" s="143"/>
      <c r="L26" s="7"/>
      <c r="M26" s="7"/>
      <c r="N26" s="7"/>
      <c r="O26" s="7"/>
    </row>
    <row r="27" spans="2:15" ht="15.9" hidden="1" customHeight="1" x14ac:dyDescent="0.3">
      <c r="C27" s="142">
        <v>1999</v>
      </c>
      <c r="D27" s="143">
        <f>+'Power BI'!B16</f>
        <v>627.87708299999997</v>
      </c>
      <c r="E27" s="143">
        <f>+'Power BI'!C16</f>
        <v>882.18036300000006</v>
      </c>
      <c r="F27" s="143">
        <f>+'Power BI'!D16</f>
        <v>268.40482300000002</v>
      </c>
      <c r="G27" s="143">
        <f>+'Power BI'!E16</f>
        <v>148.00185300000001</v>
      </c>
      <c r="H27" s="143"/>
      <c r="I27" s="143">
        <f>+'Power BI'!G16</f>
        <v>537.04498999999998</v>
      </c>
      <c r="J27" s="143">
        <f t="shared" si="0"/>
        <v>2463.5091120000002</v>
      </c>
      <c r="K27" s="143"/>
      <c r="L27" s="7"/>
      <c r="M27" s="7"/>
      <c r="N27" s="7"/>
      <c r="O27" s="7"/>
    </row>
    <row r="28" spans="2:15" ht="15.9" customHeight="1" x14ac:dyDescent="0.3">
      <c r="C28" s="142">
        <v>2000</v>
      </c>
      <c r="D28" s="143">
        <f>+'Power BI'!B17</f>
        <v>671.96814800000004</v>
      </c>
      <c r="E28" s="143">
        <f>+'Power BI'!C17</f>
        <v>941.58224800000005</v>
      </c>
      <c r="F28" s="143">
        <f>+'Power BI'!D17</f>
        <v>244.90457799999999</v>
      </c>
      <c r="G28" s="143">
        <f>+'Power BI'!E17</f>
        <v>132.011617</v>
      </c>
      <c r="H28" s="143"/>
      <c r="I28" s="143">
        <f>+'Power BI'!G17</f>
        <v>743.63599499999998</v>
      </c>
      <c r="J28" s="143">
        <f t="shared" si="0"/>
        <v>2734.102586</v>
      </c>
      <c r="K28" s="143"/>
      <c r="L28" s="7"/>
      <c r="M28" s="7"/>
      <c r="N28" s="7"/>
      <c r="O28" s="7"/>
    </row>
    <row r="29" spans="2:15" ht="15.9" customHeight="1" x14ac:dyDescent="0.3">
      <c r="C29" s="142">
        <v>2001</v>
      </c>
      <c r="D29" s="143">
        <f>+'Power BI'!B18</f>
        <v>791.19674999999995</v>
      </c>
      <c r="E29" s="143">
        <f>+'Power BI'!C18</f>
        <v>1101.2225800000001</v>
      </c>
      <c r="F29" s="143">
        <f>+'Power BI'!D18</f>
        <v>306.79774500000002</v>
      </c>
      <c r="G29" s="143">
        <f>+'Power BI'!E18</f>
        <v>133.55701099999999</v>
      </c>
      <c r="H29" s="143"/>
      <c r="I29" s="143">
        <f>+'Power BI'!G18</f>
        <v>701.50703688999988</v>
      </c>
      <c r="J29" s="143">
        <f t="shared" si="0"/>
        <v>3034.28112289</v>
      </c>
      <c r="K29" s="143"/>
      <c r="L29" s="7"/>
      <c r="M29" s="7"/>
      <c r="N29" s="7"/>
      <c r="O29" s="7"/>
    </row>
    <row r="30" spans="2:15" ht="15.9" customHeight="1" x14ac:dyDescent="0.3">
      <c r="C30" s="142">
        <v>2002</v>
      </c>
      <c r="D30" s="143">
        <f>+'Power BI'!B19</f>
        <v>803.60901799999999</v>
      </c>
      <c r="E30" s="143">
        <f>+'Power BI'!C19</f>
        <v>1111.8777889999999</v>
      </c>
      <c r="F30" s="143">
        <f>+'Power BI'!D19</f>
        <v>300.55480599999999</v>
      </c>
      <c r="G30" s="143">
        <f>+'Power BI'!E19</f>
        <v>121.277472</v>
      </c>
      <c r="H30" s="143"/>
      <c r="I30" s="143">
        <f>+'Power BI'!G19</f>
        <v>1342.2032857400002</v>
      </c>
      <c r="J30" s="143">
        <f t="shared" si="0"/>
        <v>3679.52237074</v>
      </c>
      <c r="K30" s="143"/>
      <c r="L30" s="7"/>
      <c r="M30" s="7"/>
      <c r="N30" s="7"/>
      <c r="O30" s="7"/>
    </row>
    <row r="31" spans="2:15" ht="15.9" customHeight="1" x14ac:dyDescent="0.3">
      <c r="C31" s="142">
        <v>2003</v>
      </c>
      <c r="D31" s="143">
        <f>+'Power BI'!B20</f>
        <v>855.41347099999996</v>
      </c>
      <c r="E31" s="143">
        <f>+'Power BI'!C20</f>
        <v>1190.3993029999999</v>
      </c>
      <c r="F31" s="143">
        <f>+'Power BI'!D20</f>
        <v>308.81061799999998</v>
      </c>
      <c r="G31" s="143">
        <f>+'Power BI'!E20</f>
        <v>116.96871400000001</v>
      </c>
      <c r="H31" s="143"/>
      <c r="I31" s="143">
        <f>+'Power BI'!G20</f>
        <v>1155.491092</v>
      </c>
      <c r="J31" s="143">
        <f t="shared" si="0"/>
        <v>3627.0831980000003</v>
      </c>
      <c r="K31" s="143"/>
      <c r="L31" s="7"/>
      <c r="M31" s="7"/>
      <c r="N31" s="7"/>
      <c r="O31" s="7"/>
    </row>
    <row r="32" spans="2:15" ht="15.9" customHeight="1" x14ac:dyDescent="0.3">
      <c r="C32" s="142">
        <v>2004</v>
      </c>
      <c r="D32" s="143">
        <f>+'Power BI'!B21</f>
        <v>946.55045500000006</v>
      </c>
      <c r="E32" s="143">
        <f>+'Power BI'!C21</f>
        <v>1628.4161799999999</v>
      </c>
      <c r="F32" s="143">
        <f>+'Power BI'!D21</f>
        <v>636.77858400000002</v>
      </c>
      <c r="G32" s="143">
        <f>+'Power BI'!E21</f>
        <v>247.55321900000001</v>
      </c>
      <c r="H32" s="143"/>
      <c r="I32" s="143">
        <f>+'Power BI'!G21</f>
        <v>436.16832799999997</v>
      </c>
      <c r="J32" s="143">
        <f t="shared" si="0"/>
        <v>3895.4667659999996</v>
      </c>
      <c r="K32" s="143"/>
      <c r="L32" s="7"/>
      <c r="M32" s="7"/>
      <c r="N32" s="7"/>
      <c r="O32" s="7"/>
    </row>
    <row r="33" spans="3:17" ht="15.9" customHeight="1" x14ac:dyDescent="0.3">
      <c r="C33" s="142">
        <v>2005</v>
      </c>
      <c r="D33" s="143">
        <f>+'Power BI'!B22</f>
        <v>1006.038512</v>
      </c>
      <c r="E33" s="143">
        <f>+'Power BI'!C22</f>
        <v>1766.8496190000001</v>
      </c>
      <c r="F33" s="143">
        <f>+'Power BI'!D22</f>
        <v>783.73249899999996</v>
      </c>
      <c r="G33" s="143">
        <f>+'Power BI'!E22</f>
        <v>373.41514799999999</v>
      </c>
      <c r="H33" s="143"/>
      <c r="I33" s="143">
        <f>+'Power BI'!G22</f>
        <v>464.37845914999963</v>
      </c>
      <c r="J33" s="143">
        <f t="shared" si="0"/>
        <v>4394.4142371500002</v>
      </c>
      <c r="K33" s="143"/>
      <c r="L33" s="7"/>
      <c r="M33" s="7"/>
      <c r="N33" s="7"/>
      <c r="O33" s="7"/>
    </row>
    <row r="34" spans="3:17" ht="15.9" customHeight="1" x14ac:dyDescent="0.3">
      <c r="C34" s="142">
        <v>2006</v>
      </c>
      <c r="D34" s="143">
        <f>+'Power BI'!B23</f>
        <v>960.31786199999999</v>
      </c>
      <c r="E34" s="143">
        <f>+'Power BI'!C23</f>
        <v>1927.907845</v>
      </c>
      <c r="F34" s="143">
        <f>+'Power BI'!D23</f>
        <v>886.99161600000002</v>
      </c>
      <c r="G34" s="143">
        <f>+'Power BI'!E23</f>
        <v>420.41281600000002</v>
      </c>
      <c r="H34" s="143"/>
      <c r="I34" s="143">
        <f>+'Power BI'!G23</f>
        <v>577.04713171000003</v>
      </c>
      <c r="J34" s="143">
        <f t="shared" si="0"/>
        <v>4772.6772707099999</v>
      </c>
      <c r="K34" s="143"/>
      <c r="L34" s="7"/>
      <c r="M34" s="8"/>
    </row>
    <row r="35" spans="3:17" ht="15.9" customHeight="1" x14ac:dyDescent="0.3">
      <c r="C35" s="142">
        <v>2007</v>
      </c>
      <c r="D35" s="143">
        <f>+'Power BI'!B24</f>
        <v>879.00753999999995</v>
      </c>
      <c r="E35" s="143">
        <f>+'Power BI'!C24</f>
        <v>1959.9001000000001</v>
      </c>
      <c r="F35" s="143">
        <f>+'Power BI'!D24</f>
        <v>924.91150600000003</v>
      </c>
      <c r="G35" s="143">
        <f>+'Power BI'!E24</f>
        <v>421.49987299999998</v>
      </c>
      <c r="H35" s="143"/>
      <c r="I35" s="143">
        <f>+'Power BI'!G24</f>
        <v>856.8808274699993</v>
      </c>
      <c r="J35" s="143">
        <f t="shared" si="0"/>
        <v>5042.1998464699991</v>
      </c>
      <c r="K35" s="143"/>
      <c r="L35" s="7"/>
      <c r="M35" s="8"/>
    </row>
    <row r="36" spans="3:17" ht="15.9" customHeight="1" x14ac:dyDescent="0.3">
      <c r="C36" s="142">
        <v>2008</v>
      </c>
      <c r="D36" s="143">
        <f>+'Power BI'!B25</f>
        <v>915.641527</v>
      </c>
      <c r="E36" s="143">
        <f>+'Power BI'!C25</f>
        <v>2123.2487030000002</v>
      </c>
      <c r="F36" s="143">
        <f>+'Power BI'!D25</f>
        <v>1008.884322</v>
      </c>
      <c r="G36" s="143">
        <f>+'Power BI'!E25</f>
        <v>450.79406399999999</v>
      </c>
      <c r="H36" s="143"/>
      <c r="I36" s="143">
        <f>+'Power BI'!G25</f>
        <v>844.06227293000029</v>
      </c>
      <c r="J36" s="143">
        <f t="shared" si="0"/>
        <v>5342.6308889299999</v>
      </c>
      <c r="K36" s="143"/>
      <c r="L36" s="7"/>
      <c r="M36" s="8"/>
    </row>
    <row r="37" spans="3:17" ht="15.9" customHeight="1" x14ac:dyDescent="0.3">
      <c r="C37" s="142">
        <v>2009</v>
      </c>
      <c r="D37" s="143">
        <f>+'Power BI'!B26</f>
        <v>989.33277944609983</v>
      </c>
      <c r="E37" s="143">
        <f>+'Power BI'!C26</f>
        <v>2367.7721899509997</v>
      </c>
      <c r="F37" s="143">
        <f>+'Power BI'!D26</f>
        <v>1214.9878296749002</v>
      </c>
      <c r="G37" s="143">
        <f>+'Power BI'!E26</f>
        <v>483.14534502769993</v>
      </c>
      <c r="H37" s="143"/>
      <c r="I37" s="143">
        <f>+'Power BI'!G26</f>
        <v>717.0572212312012</v>
      </c>
      <c r="J37" s="143">
        <f t="shared" si="0"/>
        <v>5772.2953653309005</v>
      </c>
      <c r="K37" s="143"/>
      <c r="L37" s="68"/>
      <c r="M37" s="68"/>
      <c r="N37" s="68"/>
      <c r="O37" s="68"/>
      <c r="P37" s="68"/>
      <c r="Q37" s="68"/>
    </row>
    <row r="38" spans="3:17" ht="15.9" customHeight="1" x14ac:dyDescent="0.3">
      <c r="C38" s="142">
        <v>2010</v>
      </c>
      <c r="D38" s="143">
        <f>+'Power BI'!B27</f>
        <v>1055.6800817954002</v>
      </c>
      <c r="E38" s="143">
        <f>+'Power BI'!C27</f>
        <v>2650.5292772847001</v>
      </c>
      <c r="F38" s="143">
        <f>+'Power BI'!D27</f>
        <v>1457.1908609645002</v>
      </c>
      <c r="G38" s="143">
        <f>+'Power BI'!E27</f>
        <v>583.78071771779992</v>
      </c>
      <c r="H38" s="143"/>
      <c r="I38" s="143">
        <f>+'Power BI'!G27</f>
        <v>801.74092376300052</v>
      </c>
      <c r="J38" s="143">
        <f t="shared" si="0"/>
        <v>6548.9218615254022</v>
      </c>
      <c r="K38" s="143"/>
      <c r="L38" s="7"/>
      <c r="M38" s="8"/>
    </row>
    <row r="39" spans="3:17" ht="15.9" customHeight="1" x14ac:dyDescent="0.3">
      <c r="C39" s="142">
        <v>2011</v>
      </c>
      <c r="D39" s="143">
        <f>+'Power BI'!B28</f>
        <v>1103.3692114154001</v>
      </c>
      <c r="E39" s="143">
        <f>+'Power BI'!C28</f>
        <v>2927.3297066775999</v>
      </c>
      <c r="F39" s="143">
        <f>+'Power BI'!D28</f>
        <v>1576.2237225375002</v>
      </c>
      <c r="G39" s="143">
        <f>+'Power BI'!E28</f>
        <v>744.56372915510008</v>
      </c>
      <c r="H39" s="143"/>
      <c r="I39" s="143">
        <f>+'Power BI'!G28</f>
        <v>814.6828565372</v>
      </c>
      <c r="J39" s="143">
        <f t="shared" si="0"/>
        <v>7166.1692263228006</v>
      </c>
      <c r="K39" s="143"/>
      <c r="L39" s="7"/>
      <c r="M39" s="8"/>
    </row>
    <row r="40" spans="3:17" ht="15.9" customHeight="1" x14ac:dyDescent="0.3">
      <c r="C40" s="142">
        <v>2012</v>
      </c>
      <c r="D40" s="143">
        <f>+'Power BI'!B29</f>
        <v>1109.4845112067997</v>
      </c>
      <c r="E40" s="143">
        <f>+'Power BI'!C29</f>
        <v>2933.6973969508995</v>
      </c>
      <c r="F40" s="143">
        <f>+'Power BI'!D29</f>
        <v>1417.1198110169</v>
      </c>
      <c r="G40" s="143">
        <f>+'Power BI'!E29</f>
        <v>659.69938053690009</v>
      </c>
      <c r="H40" s="143"/>
      <c r="I40" s="143">
        <f>+'Power BI'!G29</f>
        <v>913.37123543019777</v>
      </c>
      <c r="J40" s="143">
        <f t="shared" si="0"/>
        <v>7033.3723351416975</v>
      </c>
      <c r="K40" s="143"/>
      <c r="L40" s="7"/>
      <c r="M40" s="8"/>
    </row>
    <row r="41" spans="3:17" ht="15.9" customHeight="1" x14ac:dyDescent="0.3">
      <c r="C41" s="142">
        <v>2013</v>
      </c>
      <c r="D41" s="143">
        <f>+'Power BI'!B30</f>
        <v>1163.43836182</v>
      </c>
      <c r="E41" s="143">
        <f>+'Power BI'!C30</f>
        <v>3208.3805018800003</v>
      </c>
      <c r="F41" s="143">
        <f>+'Power BI'!D30</f>
        <v>1561.12259582</v>
      </c>
      <c r="G41" s="143">
        <f>+'Power BI'!E30</f>
        <v>753.57234239000002</v>
      </c>
      <c r="H41" s="143"/>
      <c r="I41" s="143">
        <f>+'Power BI'!G30</f>
        <v>947.91253672000119</v>
      </c>
      <c r="J41" s="143">
        <f>SUM(D41:I41)</f>
        <v>7634.4263386300017</v>
      </c>
      <c r="K41" s="143"/>
      <c r="L41" s="7"/>
      <c r="M41" s="8"/>
    </row>
    <row r="42" spans="3:17" ht="15.9" customHeight="1" x14ac:dyDescent="0.3">
      <c r="C42" s="142">
        <v>2014</v>
      </c>
      <c r="D42" s="143">
        <f>+'Power BI'!B31</f>
        <v>1340.078348003361</v>
      </c>
      <c r="E42" s="143">
        <f>+'Power BI'!C31</f>
        <v>3406.900920415228</v>
      </c>
      <c r="F42" s="143">
        <f>+'Power BI'!D31</f>
        <v>1559.2358475937442</v>
      </c>
      <c r="G42" s="143">
        <f>+'Power BI'!E31</f>
        <v>743.43068368146248</v>
      </c>
      <c r="H42" s="143"/>
      <c r="I42" s="143">
        <f>+'Power BI'!G31</f>
        <v>844.96269530620384</v>
      </c>
      <c r="J42" s="143">
        <f>SUM(D42:I42)</f>
        <v>7894.6084949999986</v>
      </c>
      <c r="K42" s="143"/>
      <c r="L42" s="7"/>
      <c r="M42" s="8"/>
    </row>
    <row r="43" spans="3:17" ht="15.9" customHeight="1" x14ac:dyDescent="0.3">
      <c r="C43" s="142">
        <v>2015</v>
      </c>
      <c r="D43" s="143">
        <f>+'Power BI'!B32</f>
        <v>1525.859956</v>
      </c>
      <c r="E43" s="143">
        <f>+'Power BI'!C32</f>
        <v>3881.2757360000001</v>
      </c>
      <c r="F43" s="143">
        <f>+'Power BI'!D32</f>
        <v>1683.699441</v>
      </c>
      <c r="G43" s="143">
        <f>+'Power BI'!E32</f>
        <v>836.84603400000003</v>
      </c>
      <c r="H43" s="143"/>
      <c r="I43" s="143">
        <f>+'Power BI'!G32</f>
        <v>309.53655400000002</v>
      </c>
      <c r="J43" s="143">
        <f t="shared" ref="J43:J47" si="1">SUM(D43:I43)</f>
        <v>8237.2177209999991</v>
      </c>
      <c r="K43" s="143"/>
      <c r="L43" s="7"/>
      <c r="M43" s="8"/>
    </row>
    <row r="44" spans="3:17" ht="15.9" customHeight="1" x14ac:dyDescent="0.3">
      <c r="C44" s="142">
        <v>2016</v>
      </c>
      <c r="D44" s="143">
        <f>+'Power BI'!B33</f>
        <v>1603.5412040000001</v>
      </c>
      <c r="E44" s="143">
        <f>+'Power BI'!C33</f>
        <v>4138.4498670000003</v>
      </c>
      <c r="F44" s="143">
        <f>+'Power BI'!D33</f>
        <v>1703.425743</v>
      </c>
      <c r="G44" s="143">
        <f>+'Power BI'!E33</f>
        <v>960.65982399999996</v>
      </c>
      <c r="H44" s="143"/>
      <c r="I44" s="143">
        <f>+'Power BI'!G33</f>
        <v>433.26493827000047</v>
      </c>
      <c r="J44" s="143">
        <f t="shared" si="1"/>
        <v>8839.3415762700006</v>
      </c>
      <c r="K44" s="143"/>
      <c r="L44" s="7"/>
      <c r="M44" s="8"/>
    </row>
    <row r="45" spans="3:17" ht="15.9" customHeight="1" x14ac:dyDescent="0.3">
      <c r="C45" s="142">
        <v>2017</v>
      </c>
      <c r="D45" s="143">
        <f>+'Power BI'!B34</f>
        <v>1827.279495</v>
      </c>
      <c r="E45" s="143">
        <f>+'Power BI'!C34</f>
        <v>4321.3270320000001</v>
      </c>
      <c r="F45" s="143">
        <f>+'Power BI'!D34</f>
        <v>1791.209597</v>
      </c>
      <c r="G45" s="143">
        <f>+'Power BI'!E34</f>
        <v>979.17881999999997</v>
      </c>
      <c r="H45" s="143"/>
      <c r="I45" s="143">
        <f>+'Power BI'!G34</f>
        <v>450.04926899999998</v>
      </c>
      <c r="J45" s="143">
        <f t="shared" si="1"/>
        <v>9369.0442129999992</v>
      </c>
      <c r="K45" s="143"/>
      <c r="L45" s="7"/>
      <c r="M45" s="8"/>
    </row>
    <row r="46" spans="3:17" ht="15.9" customHeight="1" x14ac:dyDescent="0.3">
      <c r="C46" s="142">
        <v>2018</v>
      </c>
      <c r="D46" s="143">
        <f>+'Power BI'!B35</f>
        <v>2041.1707240000001</v>
      </c>
      <c r="E46" s="143">
        <f>+'Power BI'!C35</f>
        <v>4444.8169390000003</v>
      </c>
      <c r="F46" s="143">
        <f>+'Power BI'!D35</f>
        <v>1812.4917620000001</v>
      </c>
      <c r="G46" s="143">
        <f>+'Power BI'!E35</f>
        <v>1108.950615</v>
      </c>
      <c r="H46" s="143"/>
      <c r="I46" s="143">
        <f>+'Power BI'!G35</f>
        <v>441.55440636999703</v>
      </c>
      <c r="J46" s="143">
        <f t="shared" si="1"/>
        <v>9848.9844463699956</v>
      </c>
      <c r="K46" s="143"/>
      <c r="L46" s="7"/>
      <c r="M46" s="8"/>
    </row>
    <row r="47" spans="3:17" ht="15.9" customHeight="1" x14ac:dyDescent="0.3">
      <c r="C47" s="142">
        <v>2019</v>
      </c>
      <c r="D47" s="143">
        <f>+'Power BI'!B36</f>
        <v>2086.590839</v>
      </c>
      <c r="E47" s="143">
        <f>+'Power BI'!C36</f>
        <v>4584.1530830000002</v>
      </c>
      <c r="F47" s="143">
        <f>+'Power BI'!D36</f>
        <v>1867.758448</v>
      </c>
      <c r="G47" s="143">
        <f>+'Power BI'!E36</f>
        <v>1033.4138949999999</v>
      </c>
      <c r="H47" s="143">
        <f>+'Power BI'!F36</f>
        <v>862.03816099999995</v>
      </c>
      <c r="I47" s="143">
        <f>+'Power BI'!G36</f>
        <v>855.65226772999767</v>
      </c>
      <c r="J47" s="143">
        <f t="shared" si="1"/>
        <v>11289.606693729998</v>
      </c>
      <c r="K47" s="143"/>
      <c r="L47" s="7"/>
      <c r="M47" s="8"/>
    </row>
    <row r="48" spans="3:17" ht="15" customHeight="1" x14ac:dyDescent="0.3">
      <c r="C48" s="144">
        <v>2020</v>
      </c>
      <c r="D48" s="145">
        <f>+'Power BI'!B37</f>
        <v>2225.1445229999999</v>
      </c>
      <c r="E48" s="145">
        <f>+'Power BI'!C37</f>
        <v>4654.2581149999996</v>
      </c>
      <c r="F48" s="145">
        <f>+'Power BI'!D37</f>
        <v>1954.5727429999999</v>
      </c>
      <c r="G48" s="145">
        <f>+'Power BI'!E37</f>
        <v>954.35536300000001</v>
      </c>
      <c r="H48" s="145">
        <f>+'Power BI'!F37</f>
        <v>2900.8436889999998</v>
      </c>
      <c r="I48" s="145">
        <f>+'Power BI'!G37</f>
        <v>1150.6421791099949</v>
      </c>
      <c r="J48" s="145">
        <f t="shared" ref="J48" si="2">SUM(D48:I48)</f>
        <v>13839.816612109995</v>
      </c>
    </row>
    <row r="49" spans="1:12" x14ac:dyDescent="0.3">
      <c r="C49" s="138" t="s">
        <v>111</v>
      </c>
      <c r="D49" s="138"/>
      <c r="E49" s="138"/>
      <c r="F49" s="138"/>
      <c r="G49" s="138"/>
      <c r="H49" s="138"/>
      <c r="I49" s="138"/>
      <c r="J49" s="138"/>
    </row>
    <row r="50" spans="1:12" s="6" customFormat="1" ht="12" customHeight="1" x14ac:dyDescent="0.3">
      <c r="B50" s="9"/>
      <c r="C50" s="139" t="s">
        <v>109</v>
      </c>
      <c r="D50" s="139"/>
      <c r="E50" s="139"/>
      <c r="F50" s="139"/>
      <c r="G50" s="139"/>
      <c r="H50" s="139"/>
      <c r="I50" s="139"/>
      <c r="J50" s="139"/>
    </row>
    <row r="51" spans="1:12" s="6" customFormat="1" ht="15" customHeight="1" x14ac:dyDescent="0.3">
      <c r="B51" s="9"/>
      <c r="C51" s="137"/>
      <c r="D51" s="137"/>
      <c r="E51" s="137"/>
      <c r="F51" s="137"/>
      <c r="G51" s="137"/>
      <c r="H51" s="137"/>
      <c r="I51" s="137"/>
      <c r="J51" s="137"/>
    </row>
    <row r="52" spans="1:12" ht="15" hidden="1" customHeight="1" x14ac:dyDescent="0.3">
      <c r="B52" s="125" t="s">
        <v>109</v>
      </c>
    </row>
    <row r="53" spans="1:12" hidden="1" x14ac:dyDescent="0.3"/>
    <row r="54" spans="1:12" hidden="1" x14ac:dyDescent="0.3"/>
    <row r="55" spans="1:12" hidden="1" x14ac:dyDescent="0.3">
      <c r="A55" s="67"/>
      <c r="B55" s="67"/>
      <c r="C55" s="67"/>
      <c r="D55" s="69">
        <f>AVERAGE(D65:D74)</f>
        <v>5.452658648470525E-2</v>
      </c>
      <c r="E55" s="69">
        <f t="shared" ref="E55:J55" si="3">AVERAGE(E65:E74)</f>
        <v>8.0213640915728079E-2</v>
      </c>
      <c r="F55" s="69">
        <f t="shared" si="3"/>
        <v>7.0986986945269712E-2</v>
      </c>
      <c r="G55" s="69">
        <f t="shared" si="3"/>
        <v>9.1602674153260039E-2</v>
      </c>
      <c r="H55" s="69"/>
      <c r="I55" s="69">
        <f t="shared" si="3"/>
        <v>2.7015432872938415E-2</v>
      </c>
      <c r="J55" s="69">
        <f t="shared" si="3"/>
        <v>6.4277506353624447E-2</v>
      </c>
      <c r="K55" s="67"/>
      <c r="L55" s="67"/>
    </row>
    <row r="56" spans="1:12" hidden="1" x14ac:dyDescent="0.3">
      <c r="A56" s="67">
        <v>1997</v>
      </c>
      <c r="B56" s="67">
        <f>+A56+1</f>
        <v>1998</v>
      </c>
      <c r="C56" s="67"/>
      <c r="D56" s="69">
        <f t="shared" ref="D56:G70" si="4">+(D26-D25)/D25</f>
        <v>3.1117746215867142E-2</v>
      </c>
      <c r="E56" s="69">
        <f t="shared" si="4"/>
        <v>6.0726444220237326E-2</v>
      </c>
      <c r="F56" s="69">
        <f t="shared" si="4"/>
        <v>4.3958680573509892E-2</v>
      </c>
      <c r="G56" s="69">
        <f t="shared" si="4"/>
        <v>-1.0536042936333886E-2</v>
      </c>
      <c r="H56" s="69"/>
      <c r="I56" s="69">
        <f t="shared" ref="I56:J70" si="5">+(I26-I25)/I25</f>
        <v>5.184826089078913E-2</v>
      </c>
      <c r="J56" s="69">
        <f t="shared" si="5"/>
        <v>4.4495282039926344E-2</v>
      </c>
      <c r="K56" s="67"/>
      <c r="L56" s="67"/>
    </row>
    <row r="57" spans="1:12" hidden="1" x14ac:dyDescent="0.3">
      <c r="A57" s="67">
        <f>+B56</f>
        <v>1998</v>
      </c>
      <c r="B57" s="67">
        <f>+A57+1</f>
        <v>1999</v>
      </c>
      <c r="C57" s="67"/>
      <c r="D57" s="69">
        <f t="shared" si="4"/>
        <v>-5.0274254336867058E-3</v>
      </c>
      <c r="E57" s="69">
        <f t="shared" si="4"/>
        <v>3.4980144041165409E-2</v>
      </c>
      <c r="F57" s="69">
        <f t="shared" si="4"/>
        <v>-0.10668077149336688</v>
      </c>
      <c r="G57" s="69">
        <f t="shared" si="4"/>
        <v>0.17745725370539978</v>
      </c>
      <c r="H57" s="69"/>
      <c r="I57" s="69">
        <f t="shared" si="5"/>
        <v>0.63967298976429632</v>
      </c>
      <c r="J57" s="69">
        <f t="shared" si="5"/>
        <v>0.1012065251915575</v>
      </c>
      <c r="K57" s="67"/>
      <c r="L57" s="67"/>
    </row>
    <row r="58" spans="1:12" hidden="1" x14ac:dyDescent="0.3">
      <c r="A58" s="67">
        <f t="shared" ref="A58:A76" si="6">+B57</f>
        <v>1999</v>
      </c>
      <c r="B58" s="67">
        <f t="shared" ref="B58:B76" si="7">+A58+1</f>
        <v>2000</v>
      </c>
      <c r="C58" s="67"/>
      <c r="D58" s="69">
        <f t="shared" si="4"/>
        <v>7.0222446707773972E-2</v>
      </c>
      <c r="E58" s="69">
        <f t="shared" si="4"/>
        <v>6.7335306351633206E-2</v>
      </c>
      <c r="F58" s="69">
        <f t="shared" si="4"/>
        <v>-8.7555226233770142E-2</v>
      </c>
      <c r="G58" s="69">
        <f t="shared" si="4"/>
        <v>-0.10804078243533889</v>
      </c>
      <c r="H58" s="69"/>
      <c r="I58" s="69">
        <f t="shared" si="5"/>
        <v>0.38468100223781998</v>
      </c>
      <c r="J58" s="69">
        <f t="shared" si="5"/>
        <v>0.10984066293155231</v>
      </c>
      <c r="K58" s="67"/>
      <c r="L58" s="67"/>
    </row>
    <row r="59" spans="1:12" hidden="1" x14ac:dyDescent="0.3">
      <c r="A59" s="67">
        <f t="shared" si="6"/>
        <v>2000</v>
      </c>
      <c r="B59" s="67">
        <f t="shared" si="7"/>
        <v>2001</v>
      </c>
      <c r="C59" s="67"/>
      <c r="D59" s="69">
        <f t="shared" si="4"/>
        <v>0.17743192494296606</v>
      </c>
      <c r="E59" s="69">
        <f t="shared" si="4"/>
        <v>0.16954475547844022</v>
      </c>
      <c r="F59" s="69">
        <f t="shared" si="4"/>
        <v>0.25272360159800705</v>
      </c>
      <c r="G59" s="69">
        <f t="shared" si="4"/>
        <v>1.1706500042340875E-2</v>
      </c>
      <c r="H59" s="69"/>
      <c r="I59" s="69">
        <f t="shared" si="5"/>
        <v>-5.6652661239186115E-2</v>
      </c>
      <c r="J59" s="69">
        <f t="shared" si="5"/>
        <v>0.10979051716167026</v>
      </c>
      <c r="K59" s="67"/>
      <c r="L59" s="67"/>
    </row>
    <row r="60" spans="1:12" hidden="1" x14ac:dyDescent="0.3">
      <c r="A60" s="67">
        <f t="shared" si="6"/>
        <v>2001</v>
      </c>
      <c r="B60" s="67">
        <f t="shared" si="7"/>
        <v>2002</v>
      </c>
      <c r="C60" s="67"/>
      <c r="D60" s="69">
        <f t="shared" si="4"/>
        <v>1.5687966362349239E-2</v>
      </c>
      <c r="E60" s="69">
        <f t="shared" si="4"/>
        <v>9.675799600839809E-3</v>
      </c>
      <c r="F60" s="69">
        <f t="shared" si="4"/>
        <v>-2.0348712145847211E-2</v>
      </c>
      <c r="G60" s="69">
        <f t="shared" si="4"/>
        <v>-9.1942301703652127E-2</v>
      </c>
      <c r="H60" s="69"/>
      <c r="I60" s="69">
        <f t="shared" si="5"/>
        <v>0.91331407264338671</v>
      </c>
      <c r="J60" s="69">
        <f t="shared" si="5"/>
        <v>0.21265045054079901</v>
      </c>
      <c r="K60" s="67"/>
      <c r="L60" s="67"/>
    </row>
    <row r="61" spans="1:12" hidden="1" x14ac:dyDescent="0.3">
      <c r="A61" s="67">
        <f t="shared" si="6"/>
        <v>2002</v>
      </c>
      <c r="B61" s="67">
        <f t="shared" si="7"/>
        <v>2003</v>
      </c>
      <c r="C61" s="67"/>
      <c r="D61" s="69">
        <f t="shared" si="4"/>
        <v>6.446474820420689E-2</v>
      </c>
      <c r="E61" s="69">
        <f t="shared" si="4"/>
        <v>7.0620633649513459E-2</v>
      </c>
      <c r="F61" s="69">
        <f t="shared" si="4"/>
        <v>2.7468574234011722E-2</v>
      </c>
      <c r="G61" s="69">
        <f t="shared" si="4"/>
        <v>-3.5528098738733582E-2</v>
      </c>
      <c r="H61" s="69"/>
      <c r="I61" s="69">
        <f t="shared" si="5"/>
        <v>-0.13910872944783451</v>
      </c>
      <c r="J61" s="69">
        <f t="shared" si="5"/>
        <v>-1.4251624927464042E-2</v>
      </c>
      <c r="K61" s="67"/>
      <c r="L61" s="67"/>
    </row>
    <row r="62" spans="1:12" hidden="1" x14ac:dyDescent="0.3">
      <c r="A62" s="67">
        <f t="shared" si="6"/>
        <v>2003</v>
      </c>
      <c r="B62" s="67">
        <f t="shared" si="7"/>
        <v>2004</v>
      </c>
      <c r="C62" s="67"/>
      <c r="D62" s="69">
        <f t="shared" si="4"/>
        <v>0.10654144117400753</v>
      </c>
      <c r="E62" s="69">
        <f t="shared" si="4"/>
        <v>0.3679579414202665</v>
      </c>
      <c r="F62" s="69">
        <f t="shared" si="4"/>
        <v>1.0620359109543314</v>
      </c>
      <c r="G62" s="69">
        <f t="shared" si="4"/>
        <v>1.1164054090566473</v>
      </c>
      <c r="H62" s="69"/>
      <c r="I62" s="69">
        <f t="shared" si="5"/>
        <v>-0.62252558152996995</v>
      </c>
      <c r="J62" s="69">
        <f t="shared" si="5"/>
        <v>7.3994323633929299E-2</v>
      </c>
      <c r="K62" s="67"/>
      <c r="L62" s="67"/>
    </row>
    <row r="63" spans="1:12" hidden="1" x14ac:dyDescent="0.3">
      <c r="A63" s="67">
        <f t="shared" si="6"/>
        <v>2004</v>
      </c>
      <c r="B63" s="67">
        <f t="shared" si="7"/>
        <v>2005</v>
      </c>
      <c r="C63" s="67"/>
      <c r="D63" s="69">
        <f t="shared" si="4"/>
        <v>6.2847211879476519E-2</v>
      </c>
      <c r="E63" s="69">
        <f t="shared" si="4"/>
        <v>8.5011092803069635E-2</v>
      </c>
      <c r="F63" s="69">
        <f t="shared" si="4"/>
        <v>0.23077710006654359</v>
      </c>
      <c r="G63" s="69">
        <f t="shared" si="4"/>
        <v>0.50842372201187158</v>
      </c>
      <c r="H63" s="69"/>
      <c r="I63" s="69">
        <f t="shared" si="5"/>
        <v>6.4677165532293426E-2</v>
      </c>
      <c r="J63" s="69">
        <f t="shared" si="5"/>
        <v>0.12808412986727574</v>
      </c>
      <c r="K63" s="67"/>
      <c r="L63" s="67"/>
    </row>
    <row r="64" spans="1:12" hidden="1" x14ac:dyDescent="0.3">
      <c r="A64" s="67">
        <f t="shared" si="6"/>
        <v>2005</v>
      </c>
      <c r="B64" s="67">
        <f t="shared" si="7"/>
        <v>2006</v>
      </c>
      <c r="C64" s="67"/>
      <c r="D64" s="69">
        <f t="shared" si="4"/>
        <v>-4.5446222440438722E-2</v>
      </c>
      <c r="E64" s="69">
        <f t="shared" si="4"/>
        <v>9.115559370081279E-2</v>
      </c>
      <c r="F64" s="69">
        <f t="shared" si="4"/>
        <v>0.1317530115591137</v>
      </c>
      <c r="G64" s="69">
        <f t="shared" si="4"/>
        <v>0.12585902915754246</v>
      </c>
      <c r="H64" s="69"/>
      <c r="I64" s="69">
        <f t="shared" si="5"/>
        <v>0.24262252122165537</v>
      </c>
      <c r="J64" s="69">
        <f t="shared" si="5"/>
        <v>8.6078146744154552E-2</v>
      </c>
      <c r="K64" s="67"/>
      <c r="L64" s="67"/>
    </row>
    <row r="65" spans="1:12" hidden="1" x14ac:dyDescent="0.3">
      <c r="A65" s="67">
        <f t="shared" si="6"/>
        <v>2006</v>
      </c>
      <c r="B65" s="67">
        <f t="shared" si="7"/>
        <v>2007</v>
      </c>
      <c r="C65" s="67"/>
      <c r="D65" s="69">
        <f t="shared" si="4"/>
        <v>-8.4670217245214632E-2</v>
      </c>
      <c r="E65" s="69">
        <f t="shared" si="4"/>
        <v>1.6594286434889274E-2</v>
      </c>
      <c r="F65" s="69">
        <f t="shared" si="4"/>
        <v>4.2751125620560555E-2</v>
      </c>
      <c r="G65" s="69">
        <f t="shared" si="4"/>
        <v>2.5856894904934553E-3</v>
      </c>
      <c r="H65" s="69"/>
      <c r="I65" s="69">
        <f t="shared" si="5"/>
        <v>0.4849407966568528</v>
      </c>
      <c r="J65" s="69">
        <f t="shared" si="5"/>
        <v>5.6471988461081112E-2</v>
      </c>
      <c r="K65" s="67"/>
      <c r="L65" s="67"/>
    </row>
    <row r="66" spans="1:12" hidden="1" x14ac:dyDescent="0.3">
      <c r="A66" s="67">
        <f t="shared" si="6"/>
        <v>2007</v>
      </c>
      <c r="B66" s="67">
        <f t="shared" si="7"/>
        <v>2008</v>
      </c>
      <c r="C66" s="67"/>
      <c r="D66" s="69">
        <f t="shared" si="4"/>
        <v>4.1676533286620097E-2</v>
      </c>
      <c r="E66" s="69">
        <f t="shared" si="4"/>
        <v>8.334537204217711E-2</v>
      </c>
      <c r="F66" s="69">
        <f t="shared" si="4"/>
        <v>9.0790108518771048E-2</v>
      </c>
      <c r="G66" s="69">
        <f t="shared" si="4"/>
        <v>6.9499880964376981E-2</v>
      </c>
      <c r="H66" s="69"/>
      <c r="I66" s="69">
        <f t="shared" si="5"/>
        <v>-1.495955345137864E-2</v>
      </c>
      <c r="J66" s="69">
        <f t="shared" si="5"/>
        <v>5.9583327041336918E-2</v>
      </c>
      <c r="K66" s="67"/>
      <c r="L66" s="67"/>
    </row>
    <row r="67" spans="1:12" hidden="1" x14ac:dyDescent="0.3">
      <c r="A67" s="67">
        <f t="shared" si="6"/>
        <v>2008</v>
      </c>
      <c r="B67" s="67">
        <f t="shared" si="7"/>
        <v>2009</v>
      </c>
      <c r="C67" s="67"/>
      <c r="D67" s="69">
        <f t="shared" si="4"/>
        <v>8.0480461264727937E-2</v>
      </c>
      <c r="E67" s="69">
        <f t="shared" si="4"/>
        <v>0.11516478809359693</v>
      </c>
      <c r="F67" s="69">
        <f t="shared" si="4"/>
        <v>0.20428854248257439</v>
      </c>
      <c r="G67" s="69">
        <f t="shared" si="4"/>
        <v>7.176509987873296E-2</v>
      </c>
      <c r="H67" s="69"/>
      <c r="I67" s="69">
        <f t="shared" si="5"/>
        <v>-0.15046881701977441</v>
      </c>
      <c r="J67" s="69">
        <f t="shared" si="5"/>
        <v>8.0421890513000055E-2</v>
      </c>
      <c r="K67" s="67"/>
      <c r="L67" s="67"/>
    </row>
    <row r="68" spans="1:12" hidden="1" x14ac:dyDescent="0.3">
      <c r="A68" s="67">
        <f t="shared" si="6"/>
        <v>2009</v>
      </c>
      <c r="B68" s="67">
        <f t="shared" si="7"/>
        <v>2010</v>
      </c>
      <c r="C68" s="67"/>
      <c r="D68" s="69">
        <f t="shared" si="4"/>
        <v>6.7062674691165447E-2</v>
      </c>
      <c r="E68" s="69">
        <f t="shared" si="4"/>
        <v>0.11941904231063376</v>
      </c>
      <c r="F68" s="69">
        <f t="shared" si="4"/>
        <v>0.19934605546987849</v>
      </c>
      <c r="G68" s="69">
        <f t="shared" si="4"/>
        <v>0.20829212932669425</v>
      </c>
      <c r="H68" s="69"/>
      <c r="I68" s="69">
        <f t="shared" si="5"/>
        <v>0.1180989466731759</v>
      </c>
      <c r="J68" s="69">
        <f t="shared" si="5"/>
        <v>0.13454379012879586</v>
      </c>
    </row>
    <row r="69" spans="1:12" hidden="1" x14ac:dyDescent="0.3">
      <c r="A69" s="67">
        <f t="shared" si="6"/>
        <v>2010</v>
      </c>
      <c r="B69" s="67">
        <f t="shared" si="7"/>
        <v>2011</v>
      </c>
      <c r="C69" s="67"/>
      <c r="D69" s="69">
        <f t="shared" si="4"/>
        <v>4.5173846170228744E-2</v>
      </c>
      <c r="E69" s="69">
        <f t="shared" si="4"/>
        <v>0.10443213427789952</v>
      </c>
      <c r="F69" s="69">
        <f t="shared" si="4"/>
        <v>8.1686527662006694E-2</v>
      </c>
      <c r="G69" s="69">
        <f t="shared" si="4"/>
        <v>0.27541679017055648</v>
      </c>
      <c r="H69" s="69"/>
      <c r="I69" s="69">
        <f t="shared" si="5"/>
        <v>1.6142287852110672E-2</v>
      </c>
      <c r="J69" s="69">
        <f t="shared" si="5"/>
        <v>9.4251752860832969E-2</v>
      </c>
    </row>
    <row r="70" spans="1:12" hidden="1" x14ac:dyDescent="0.3">
      <c r="A70" s="67">
        <f t="shared" si="6"/>
        <v>2011</v>
      </c>
      <c r="B70" s="67">
        <f t="shared" si="7"/>
        <v>2012</v>
      </c>
      <c r="C70" s="67"/>
      <c r="D70" s="69">
        <f t="shared" si="4"/>
        <v>5.542387559967255E-3</v>
      </c>
      <c r="E70" s="69">
        <f t="shared" si="4"/>
        <v>2.1752555780696898E-3</v>
      </c>
      <c r="F70" s="69">
        <f t="shared" si="4"/>
        <v>-0.10093992955801037</v>
      </c>
      <c r="G70" s="69">
        <f t="shared" si="4"/>
        <v>-0.11397862304480036</v>
      </c>
      <c r="H70" s="69"/>
      <c r="I70" s="69">
        <f t="shared" si="5"/>
        <v>0.12113717393351271</v>
      </c>
      <c r="J70" s="69">
        <f t="shared" si="5"/>
        <v>-1.8531085017265993E-2</v>
      </c>
    </row>
    <row r="71" spans="1:12" hidden="1" x14ac:dyDescent="0.3">
      <c r="A71" s="67">
        <f t="shared" si="6"/>
        <v>2012</v>
      </c>
      <c r="B71" s="67">
        <f t="shared" si="7"/>
        <v>2013</v>
      </c>
      <c r="C71" s="67"/>
      <c r="D71" s="69">
        <f>+('Medicaid Payments'!B30-D40)/D40</f>
        <v>4.8629656446951254E-2</v>
      </c>
      <c r="E71" s="69">
        <f>+('Medicaid Payments'!C30-E40)/E40</f>
        <v>9.3630346883966015E-2</v>
      </c>
      <c r="F71" s="69">
        <f>+('Medicaid Payments'!D30-F40)/F40</f>
        <v>0.10161652083585378</v>
      </c>
      <c r="G71" s="69">
        <f>+('Medicaid Payments'!E30-G40)/G40</f>
        <v>0.14229657420126859</v>
      </c>
      <c r="H71" s="69"/>
      <c r="I71" s="69">
        <f>+('Medicaid Payments'!G30-I40)/I40</f>
        <v>3.7817373648223622E-2</v>
      </c>
      <c r="J71" s="69">
        <f>+('Medicaid Payments'!H30-J40)/J40</f>
        <v>8.5457441302401224E-2</v>
      </c>
    </row>
    <row r="72" spans="1:12" hidden="1" x14ac:dyDescent="0.3">
      <c r="A72" s="67">
        <f t="shared" si="6"/>
        <v>2013</v>
      </c>
      <c r="B72" s="67">
        <f t="shared" si="7"/>
        <v>2014</v>
      </c>
      <c r="C72" s="67"/>
      <c r="D72" s="69">
        <f>+(D42-'Medicaid Payments'!B30)/'Medicaid Payments'!B30</f>
        <v>0.15182582247592222</v>
      </c>
      <c r="E72" s="69">
        <f>+(E42-'Medicaid Payments'!C30)/'Medicaid Payments'!C30</f>
        <v>6.1875584401196046E-2</v>
      </c>
      <c r="F72" s="69">
        <f>+(F42-'Medicaid Payments'!D30)/'Medicaid Payments'!D30</f>
        <v>-1.2085842785875282E-3</v>
      </c>
      <c r="G72" s="69">
        <f>+(G42-'Medicaid Payments'!E30)/'Medicaid Payments'!E30</f>
        <v>-1.345810898044991E-2</v>
      </c>
      <c r="H72" s="69"/>
      <c r="I72" s="69">
        <f>+(I42-'Medicaid Payments'!G30)/'Medicaid Payments'!G30</f>
        <v>-0.10860689929265821</v>
      </c>
      <c r="J72" s="69">
        <f>+(J42-'Medicaid Payments'!H30)/'Medicaid Payments'!H30</f>
        <v>3.4080118771135662E-2</v>
      </c>
    </row>
    <row r="73" spans="1:12" hidden="1" x14ac:dyDescent="0.3">
      <c r="A73" s="67">
        <f t="shared" si="6"/>
        <v>2014</v>
      </c>
      <c r="B73" s="67">
        <f t="shared" si="7"/>
        <v>2015</v>
      </c>
      <c r="C73" s="67"/>
      <c r="D73" s="69">
        <f t="shared" ref="D73:J76" si="8">+(D43-D42)/D42</f>
        <v>0.13863488524640577</v>
      </c>
      <c r="E73" s="69">
        <f t="shared" si="8"/>
        <v>0.13923939282829392</v>
      </c>
      <c r="F73" s="69">
        <f t="shared" si="8"/>
        <v>7.982345557173498E-2</v>
      </c>
      <c r="G73" s="69">
        <f t="shared" si="8"/>
        <v>0.12565441858808615</v>
      </c>
      <c r="H73" s="69"/>
      <c r="I73" s="69">
        <f t="shared" si="8"/>
        <v>-0.63366837882963833</v>
      </c>
      <c r="J73" s="69">
        <f t="shared" si="8"/>
        <v>4.3397874158926299E-2</v>
      </c>
    </row>
    <row r="74" spans="1:12" hidden="1" x14ac:dyDescent="0.3">
      <c r="A74" s="67">
        <f t="shared" si="6"/>
        <v>2015</v>
      </c>
      <c r="B74" s="67">
        <f t="shared" si="7"/>
        <v>2016</v>
      </c>
      <c r="C74" s="67"/>
      <c r="D74" s="69">
        <f t="shared" si="8"/>
        <v>5.0909814950278499E-2</v>
      </c>
      <c r="E74" s="69">
        <f t="shared" si="8"/>
        <v>6.6260206306558642E-2</v>
      </c>
      <c r="F74" s="69">
        <f t="shared" si="8"/>
        <v>1.1716047127914936E-2</v>
      </c>
      <c r="G74" s="69">
        <f t="shared" si="8"/>
        <v>0.14795289093764161</v>
      </c>
      <c r="H74" s="69"/>
      <c r="I74" s="69">
        <f t="shared" si="8"/>
        <v>0.39972139855895805</v>
      </c>
      <c r="J74" s="69">
        <f t="shared" si="8"/>
        <v>7.3097965316000366E-2</v>
      </c>
    </row>
    <row r="75" spans="1:12" hidden="1" x14ac:dyDescent="0.3">
      <c r="A75" s="67">
        <f t="shared" si="6"/>
        <v>2016</v>
      </c>
      <c r="B75" s="67">
        <f t="shared" si="7"/>
        <v>2017</v>
      </c>
      <c r="C75" s="67"/>
      <c r="D75" s="69">
        <f t="shared" si="8"/>
        <v>0.13952762201675228</v>
      </c>
      <c r="E75" s="69">
        <f t="shared" si="8"/>
        <v>4.4189774161156915E-2</v>
      </c>
      <c r="F75" s="69">
        <f t="shared" si="8"/>
        <v>5.1533713377724867E-2</v>
      </c>
      <c r="G75" s="69">
        <f t="shared" si="8"/>
        <v>1.9277371174835366E-2</v>
      </c>
      <c r="H75" s="69"/>
      <c r="I75" s="69">
        <f t="shared" si="8"/>
        <v>3.8739185305458328E-2</v>
      </c>
      <c r="J75" s="69">
        <f t="shared" si="8"/>
        <v>5.9925576148344865E-2</v>
      </c>
    </row>
    <row r="76" spans="1:12" hidden="1" x14ac:dyDescent="0.3">
      <c r="A76" s="67">
        <f t="shared" si="6"/>
        <v>2017</v>
      </c>
      <c r="B76" s="67">
        <f t="shared" si="7"/>
        <v>2018</v>
      </c>
      <c r="C76" s="67"/>
      <c r="D76" s="69">
        <f t="shared" si="8"/>
        <v>0.11705446790448445</v>
      </c>
      <c r="E76" s="69">
        <f t="shared" si="8"/>
        <v>2.8576848288856867E-2</v>
      </c>
      <c r="F76" s="69">
        <f t="shared" si="8"/>
        <v>1.1881448734779237E-2</v>
      </c>
      <c r="G76" s="69">
        <f t="shared" si="8"/>
        <v>0.13253125205465535</v>
      </c>
      <c r="H76" s="69"/>
      <c r="I76" s="69">
        <f t="shared" si="8"/>
        <v>-1.8875405905843069E-2</v>
      </c>
      <c r="J76" s="69">
        <f t="shared" si="8"/>
        <v>5.1226168055014211E-2</v>
      </c>
    </row>
  </sheetData>
  <mergeCells count="3">
    <mergeCell ref="B1:K1"/>
    <mergeCell ref="C19:C20"/>
    <mergeCell ref="D19:J19"/>
  </mergeCells>
  <pageMargins left="0.3" right="0.3" top="0.3" bottom="0.3" header="0" footer="0"/>
  <pageSetup orientation="portrait" r:id="rId1"/>
  <headerFooter alignWithMargins="0">
    <oddHeader>&amp;C&amp;"Palatino Linotype,Bold"&amp;14Medicaid Payments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11" sqref="A11:IV11"/>
    </sheetView>
  </sheetViews>
  <sheetFormatPr defaultRowHeight="15.6" x14ac:dyDescent="0.3"/>
  <cols>
    <col min="1" max="1" width="9.8984375" bestFit="1" customWidth="1"/>
    <col min="2" max="2" width="16.09765625" customWidth="1"/>
    <col min="3" max="4" width="18.8984375" customWidth="1"/>
    <col min="5" max="5" width="17.8984375" customWidth="1"/>
  </cols>
  <sheetData>
    <row r="1" spans="1:11" x14ac:dyDescent="0.3">
      <c r="A1" s="1" t="s">
        <v>5</v>
      </c>
      <c r="B1" s="1" t="s">
        <v>6</v>
      </c>
      <c r="C1" s="1" t="s">
        <v>7</v>
      </c>
      <c r="D1" s="1" t="s">
        <v>8</v>
      </c>
      <c r="E1" s="1" t="s">
        <v>9</v>
      </c>
    </row>
    <row r="2" spans="1:11" x14ac:dyDescent="0.3">
      <c r="A2" s="12">
        <v>39426</v>
      </c>
      <c r="B2" t="s">
        <v>10</v>
      </c>
      <c r="E2" t="s">
        <v>11</v>
      </c>
    </row>
    <row r="3" spans="1:11" x14ac:dyDescent="0.3">
      <c r="E3" t="s">
        <v>12</v>
      </c>
    </row>
    <row r="4" spans="1:11" x14ac:dyDescent="0.3">
      <c r="E4" t="s">
        <v>14</v>
      </c>
    </row>
    <row r="5" spans="1:11" x14ac:dyDescent="0.3">
      <c r="E5" t="s">
        <v>13</v>
      </c>
    </row>
    <row r="6" spans="1:11" x14ac:dyDescent="0.3">
      <c r="A6" s="12">
        <v>40499</v>
      </c>
      <c r="B6" s="110" t="s">
        <v>10</v>
      </c>
      <c r="C6" s="110" t="s">
        <v>85</v>
      </c>
      <c r="D6" s="110" t="s">
        <v>86</v>
      </c>
      <c r="E6" s="158" t="s">
        <v>87</v>
      </c>
      <c r="F6" s="159"/>
      <c r="G6" s="159"/>
      <c r="H6" s="159"/>
    </row>
    <row r="7" spans="1:11" x14ac:dyDescent="0.3">
      <c r="E7" s="159"/>
      <c r="F7" s="159"/>
      <c r="G7" s="159"/>
      <c r="H7" s="159"/>
    </row>
    <row r="8" spans="1:11" x14ac:dyDescent="0.3">
      <c r="E8" s="159"/>
      <c r="F8" s="159"/>
      <c r="G8" s="159"/>
      <c r="H8" s="159"/>
    </row>
    <row r="9" spans="1:11" ht="120.75" customHeight="1" x14ac:dyDescent="0.3">
      <c r="A9" s="12">
        <v>41197</v>
      </c>
      <c r="B9" s="110" t="s">
        <v>90</v>
      </c>
      <c r="C9" s="110" t="s">
        <v>85</v>
      </c>
      <c r="D9" s="110" t="s">
        <v>91</v>
      </c>
      <c r="E9" s="160" t="s">
        <v>93</v>
      </c>
      <c r="F9" s="160"/>
      <c r="G9" s="160"/>
      <c r="H9" s="160"/>
      <c r="I9" s="160"/>
      <c r="J9" s="160"/>
      <c r="K9" s="160"/>
    </row>
    <row r="10" spans="1:11" ht="21" customHeight="1" x14ac:dyDescent="0.3">
      <c r="E10" s="121"/>
    </row>
    <row r="11" spans="1:11" ht="12" customHeight="1" x14ac:dyDescent="0.3">
      <c r="E11" s="121" t="s">
        <v>89</v>
      </c>
    </row>
    <row r="12" spans="1:11" ht="77.25" customHeight="1" x14ac:dyDescent="0.3"/>
  </sheetData>
  <mergeCells count="2">
    <mergeCell ref="E6:H8"/>
    <mergeCell ref="E9:K9"/>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11" sqref="B11"/>
    </sheetView>
  </sheetViews>
  <sheetFormatPr defaultRowHeight="15.6" x14ac:dyDescent="0.3"/>
  <cols>
    <col min="2" max="4" width="15.5" bestFit="1" customWidth="1"/>
    <col min="5" max="5" width="13.8984375" bestFit="1" customWidth="1"/>
    <col min="6" max="6" width="15.5" bestFit="1" customWidth="1"/>
  </cols>
  <sheetData>
    <row r="1" spans="1:6" ht="64.2" x14ac:dyDescent="0.3">
      <c r="A1" t="s">
        <v>94</v>
      </c>
      <c r="B1" s="66" t="s">
        <v>0</v>
      </c>
      <c r="C1" s="66" t="s">
        <v>2</v>
      </c>
      <c r="D1" s="66" t="s">
        <v>64</v>
      </c>
      <c r="E1" s="66" t="s">
        <v>74</v>
      </c>
      <c r="F1" s="66" t="s">
        <v>82</v>
      </c>
    </row>
    <row r="2" spans="1:6" x14ac:dyDescent="0.3">
      <c r="A2" s="124">
        <v>1985</v>
      </c>
      <c r="B2" s="68">
        <v>230621601</v>
      </c>
      <c r="C2" s="68">
        <f>2790477+187844438</f>
        <v>190634915</v>
      </c>
      <c r="D2" s="68">
        <v>43533601</v>
      </c>
      <c r="E2" s="68">
        <v>54358090</v>
      </c>
      <c r="F2" s="68">
        <v>5843366</v>
      </c>
    </row>
    <row r="3" spans="1:6" x14ac:dyDescent="0.3">
      <c r="A3" s="124">
        <v>1986</v>
      </c>
      <c r="B3" s="68">
        <v>251791598</v>
      </c>
      <c r="C3" s="68">
        <f>3131059+210554108</f>
        <v>213685167</v>
      </c>
      <c r="D3" s="68">
        <v>48719170</v>
      </c>
      <c r="E3" s="68">
        <v>64736362</v>
      </c>
      <c r="F3" s="68">
        <v>8037389</v>
      </c>
    </row>
    <row r="4" spans="1:6" x14ac:dyDescent="0.3">
      <c r="A4" s="124">
        <v>1987</v>
      </c>
      <c r="B4" s="68">
        <v>266814363</v>
      </c>
      <c r="C4" s="68">
        <f>3491827+240453526</f>
        <v>243945353</v>
      </c>
      <c r="D4" s="68">
        <v>49164961</v>
      </c>
      <c r="E4" s="68">
        <v>72190501</v>
      </c>
      <c r="F4" s="68">
        <v>11539787</v>
      </c>
    </row>
    <row r="5" spans="1:6" x14ac:dyDescent="0.3">
      <c r="A5" s="124">
        <v>1988</v>
      </c>
      <c r="B5" s="68">
        <v>302692499</v>
      </c>
      <c r="C5" s="68">
        <f>3836746+274960775</f>
        <v>278797521</v>
      </c>
      <c r="D5" s="68">
        <v>56175685</v>
      </c>
      <c r="E5" s="68">
        <v>81796322</v>
      </c>
      <c r="F5" s="68">
        <v>19283700</v>
      </c>
    </row>
    <row r="6" spans="1:6" x14ac:dyDescent="0.3">
      <c r="A6" s="124">
        <v>1989</v>
      </c>
      <c r="B6" s="68">
        <v>319292076</v>
      </c>
      <c r="C6" s="68">
        <f>3923812+296141410</f>
        <v>300065222</v>
      </c>
      <c r="D6" s="68">
        <v>71226518</v>
      </c>
      <c r="E6" s="68">
        <v>94225959</v>
      </c>
      <c r="F6" s="68">
        <v>23652423</v>
      </c>
    </row>
    <row r="7" spans="1:6" x14ac:dyDescent="0.3">
      <c r="A7" s="124">
        <v>1990</v>
      </c>
      <c r="B7" s="68">
        <v>347873339</v>
      </c>
      <c r="C7" s="68">
        <f>4270823+330334873</f>
        <v>334605696</v>
      </c>
      <c r="D7" s="68">
        <v>113274466</v>
      </c>
      <c r="E7" s="68">
        <v>112899857</v>
      </c>
      <c r="F7" s="68">
        <v>0</v>
      </c>
    </row>
    <row r="8" spans="1:6" x14ac:dyDescent="0.3">
      <c r="A8" s="124">
        <v>1991</v>
      </c>
      <c r="B8" s="68">
        <v>431474729</v>
      </c>
      <c r="C8" s="68">
        <f>5204019+412084931</f>
        <v>417288950</v>
      </c>
      <c r="D8" s="68">
        <v>174583806</v>
      </c>
      <c r="E8" s="68">
        <v>164351694</v>
      </c>
      <c r="F8" s="68">
        <v>0</v>
      </c>
    </row>
    <row r="9" spans="1:6" x14ac:dyDescent="0.3">
      <c r="A9" s="124">
        <v>1992</v>
      </c>
      <c r="B9" s="68">
        <v>467264319</v>
      </c>
      <c r="C9" s="68">
        <f>5093835+484553903</f>
        <v>489647738</v>
      </c>
      <c r="D9" s="68">
        <v>229914537</v>
      </c>
      <c r="E9" s="68">
        <v>203477654</v>
      </c>
      <c r="F9" s="68">
        <v>0</v>
      </c>
    </row>
    <row r="10" spans="1:6" x14ac:dyDescent="0.3">
      <c r="A10" s="124">
        <v>1993</v>
      </c>
      <c r="B10" s="68">
        <v>523403841.00000006</v>
      </c>
      <c r="C10" s="68">
        <v>584698096</v>
      </c>
      <c r="D10" s="68">
        <v>300713873</v>
      </c>
      <c r="E10" s="68">
        <v>240076230</v>
      </c>
      <c r="F10" s="68">
        <v>0</v>
      </c>
    </row>
    <row r="11" spans="1:6" x14ac:dyDescent="0.3">
      <c r="A11" s="124">
        <v>1994</v>
      </c>
      <c r="B11" s="68">
        <v>541316407</v>
      </c>
      <c r="C11" s="68">
        <v>621843896</v>
      </c>
      <c r="D11" s="68">
        <v>286282586</v>
      </c>
      <c r="E11" s="68">
        <v>220111584</v>
      </c>
      <c r="F11" s="68">
        <v>0</v>
      </c>
    </row>
    <row r="12" spans="1:6" x14ac:dyDescent="0.3">
      <c r="A12" s="124">
        <v>1995</v>
      </c>
      <c r="B12" s="68">
        <v>565668504</v>
      </c>
      <c r="C12" s="68">
        <v>715473890</v>
      </c>
      <c r="D12" s="68">
        <v>336849539</v>
      </c>
      <c r="E12" s="68">
        <v>223373578</v>
      </c>
      <c r="F12" s="68">
        <v>0</v>
      </c>
    </row>
    <row r="13" spans="1:6" x14ac:dyDescent="0.3">
      <c r="A13" s="124">
        <v>1996</v>
      </c>
      <c r="B13" s="68">
        <v>577528482</v>
      </c>
      <c r="C13" s="68">
        <v>756733898</v>
      </c>
      <c r="D13" s="68">
        <v>282912245</v>
      </c>
      <c r="E13" s="68">
        <v>173130753</v>
      </c>
      <c r="F13" s="68">
        <v>268494621.58000004</v>
      </c>
    </row>
    <row r="14" spans="1:6" x14ac:dyDescent="0.3">
      <c r="A14" s="124">
        <v>1997</v>
      </c>
      <c r="B14" s="68">
        <v>612005409</v>
      </c>
      <c r="C14" s="68">
        <v>803566776</v>
      </c>
      <c r="D14" s="68">
        <v>287806318</v>
      </c>
      <c r="E14" s="68">
        <v>127034600</v>
      </c>
      <c r="F14" s="68">
        <v>311386896.93000013</v>
      </c>
    </row>
    <row r="15" spans="1:6" x14ac:dyDescent="0.3">
      <c r="A15" s="124">
        <v>1998</v>
      </c>
      <c r="B15" s="68">
        <v>631049638</v>
      </c>
      <c r="C15" s="68">
        <v>852364529</v>
      </c>
      <c r="D15" s="68">
        <v>300457904</v>
      </c>
      <c r="E15" s="68">
        <v>125696158</v>
      </c>
      <c r="F15" s="68">
        <v>327531766.00000006</v>
      </c>
    </row>
    <row r="16" spans="1:6" x14ac:dyDescent="0.3">
      <c r="A16" s="124">
        <v>1999</v>
      </c>
      <c r="B16" s="68">
        <v>627877083</v>
      </c>
      <c r="C16" s="68">
        <v>882180362</v>
      </c>
      <c r="D16" s="68">
        <v>268404823.00000003</v>
      </c>
      <c r="E16" s="68">
        <v>148001853.99999997</v>
      </c>
      <c r="F16" s="68">
        <v>537043063.53587794</v>
      </c>
    </row>
    <row r="17" spans="1:6" x14ac:dyDescent="0.3">
      <c r="A17" s="124">
        <v>2000</v>
      </c>
      <c r="B17" s="68">
        <v>671968148</v>
      </c>
      <c r="C17" s="68">
        <v>941582248</v>
      </c>
      <c r="D17" s="68">
        <v>244904578</v>
      </c>
      <c r="E17" s="68">
        <v>132011617</v>
      </c>
      <c r="F17" s="68">
        <v>743634004.533409</v>
      </c>
    </row>
    <row r="18" spans="1:6" x14ac:dyDescent="0.3">
      <c r="A18" s="124">
        <v>2001</v>
      </c>
      <c r="B18" s="68">
        <v>791196749</v>
      </c>
      <c r="C18" s="68">
        <v>1101222579</v>
      </c>
      <c r="D18" s="68">
        <v>306797742</v>
      </c>
      <c r="E18" s="68">
        <v>133557009.99999999</v>
      </c>
      <c r="F18" s="68">
        <v>701504710.11591983</v>
      </c>
    </row>
    <row r="19" spans="1:6" x14ac:dyDescent="0.3">
      <c r="A19" s="124">
        <v>2002</v>
      </c>
      <c r="B19" s="68">
        <v>803609017</v>
      </c>
      <c r="C19" s="68">
        <v>1111877793</v>
      </c>
      <c r="D19" s="68">
        <v>300554807</v>
      </c>
      <c r="E19" s="68">
        <v>121277471</v>
      </c>
      <c r="F19" s="68">
        <v>1342200945.4209123</v>
      </c>
    </row>
    <row r="20" spans="1:6" x14ac:dyDescent="0.3">
      <c r="A20" s="124">
        <v>2003</v>
      </c>
      <c r="B20" s="68">
        <v>855413471</v>
      </c>
      <c r="C20" s="68">
        <v>1190399301</v>
      </c>
      <c r="D20" s="68">
        <v>308810619</v>
      </c>
      <c r="E20" s="68">
        <v>116968716</v>
      </c>
      <c r="F20" s="68">
        <v>1155488619.4078929</v>
      </c>
    </row>
    <row r="21" spans="1:6" x14ac:dyDescent="0.3">
      <c r="A21" s="124">
        <v>2004</v>
      </c>
      <c r="B21" s="68">
        <v>946550450</v>
      </c>
      <c r="C21" s="68">
        <v>1628416184</v>
      </c>
      <c r="D21" s="68">
        <v>636778586</v>
      </c>
      <c r="E21" s="68">
        <v>247553221</v>
      </c>
      <c r="F21" s="68">
        <v>436164865.70155901</v>
      </c>
    </row>
    <row r="22" spans="1:6" x14ac:dyDescent="0.3">
      <c r="A22" s="124">
        <v>2005</v>
      </c>
      <c r="B22" s="68">
        <v>1006038512</v>
      </c>
      <c r="C22" s="68">
        <v>1766849619</v>
      </c>
      <c r="D22" s="68">
        <v>783732498</v>
      </c>
      <c r="E22" s="68">
        <v>373415151.00000006</v>
      </c>
      <c r="F22" s="68">
        <v>464374527.11421961</v>
      </c>
    </row>
    <row r="23" spans="1:6" x14ac:dyDescent="0.3">
      <c r="A23" s="124">
        <v>2006</v>
      </c>
      <c r="B23" s="68">
        <v>960317862</v>
      </c>
      <c r="C23" s="68">
        <v>1927907846</v>
      </c>
      <c r="D23" s="68">
        <v>886991620</v>
      </c>
      <c r="E23" s="68">
        <v>420412817</v>
      </c>
      <c r="F23" s="68">
        <v>577042930.07985508</v>
      </c>
    </row>
    <row r="24" spans="1:6" x14ac:dyDescent="0.3">
      <c r="A24" s="124">
        <v>2007</v>
      </c>
      <c r="B24" s="68">
        <v>879007540</v>
      </c>
      <c r="C24" s="68">
        <v>1959900100</v>
      </c>
      <c r="D24" s="68">
        <v>924911504</v>
      </c>
      <c r="E24" s="68">
        <v>421499875</v>
      </c>
      <c r="F24" s="68">
        <v>856876642.15098035</v>
      </c>
    </row>
    <row r="25" spans="1:6" x14ac:dyDescent="0.3">
      <c r="B25" s="68">
        <v>915641519</v>
      </c>
      <c r="C25" s="68">
        <v>2123248708</v>
      </c>
      <c r="D25" s="68">
        <v>1008884323</v>
      </c>
      <c r="E25" s="68">
        <v>450794066</v>
      </c>
      <c r="F25" s="68">
        <v>844057774.36138427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5DDE48ABFEAA4D98E4FEE26F110B18" ma:contentTypeVersion="0" ma:contentTypeDescription="Create a new document." ma:contentTypeScope="" ma:versionID="9463180c0bdebd413ad2f775d6ce316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ECD3BB-3BFA-4EE9-BD70-E16DAA6FE93B}">
  <ds:schemaRefs>
    <ds:schemaRef ds:uri="http://schemas.microsoft.com/sharepoint/v3/contenttype/forms"/>
  </ds:schemaRefs>
</ds:datastoreItem>
</file>

<file path=customXml/itemProps2.xml><?xml version="1.0" encoding="utf-8"?>
<ds:datastoreItem xmlns:ds="http://schemas.openxmlformats.org/officeDocument/2006/customXml" ds:itemID="{69BBB5F3-7679-420A-A7D4-3997EF218A57}">
  <ds:schemaRefs>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12C37FD-486E-44C7-AE07-6FF4BF5667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Power BI</vt:lpstr>
      <vt:lpstr>Medicaid Payments</vt:lpstr>
      <vt:lpstr>Stat Book</vt:lpstr>
      <vt:lpstr>USE AS SOURCE</vt:lpstr>
      <vt:lpstr>Excel Online</vt:lpstr>
      <vt:lpstr>DOCUMENTATION</vt:lpstr>
      <vt:lpstr>stat_book_1985_2007</vt:lpstr>
      <vt:lpstr>'Excel Online'!Print_Area</vt:lpstr>
      <vt:lpstr>'Medicaid Payments'!Print_Area</vt:lpstr>
      <vt:lpstr>'Power BI'!Print_Area</vt:lpstr>
      <vt:lpstr>'Stat Book'!Print_Area</vt:lpstr>
      <vt:lpstr>'Stat Book'!Print_Titles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dc:title>
  <dc:creator>Linda Booth</dc:creator>
  <cp:lastModifiedBy>VITA Program</cp:lastModifiedBy>
  <cp:lastPrinted>2014-11-20T17:03:55Z</cp:lastPrinted>
  <dcterms:created xsi:type="dcterms:W3CDTF">1999-01-17T17:36:16Z</dcterms:created>
  <dcterms:modified xsi:type="dcterms:W3CDTF">2021-02-05T21:51:02Z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0x010100C25DDE48ABFEAA4D98E4FEE26F110B18</vt:lpwstr>
  </property>
</Properties>
</file>