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xw09990\Documents\A\ASR\vdss_ann_report\fraud\"/>
    </mc:Choice>
  </mc:AlternateContent>
  <bookViews>
    <workbookView xWindow="0" yWindow="0" windowWidth="20490" windowHeight="7785" firstSheet="2" activeTab="2"/>
  </bookViews>
  <sheets>
    <sheet name="POWER BI" sheetId="6" state="hidden" r:id="rId1"/>
    <sheet name="Fraud Collections" sheetId="5" state="hidden" r:id="rId2"/>
    <sheet name="Excel Online" sheetId="7" r:id="rId3"/>
    <sheet name="Collections-Format prior to 08" sheetId="3" state="hidden" r:id="rId4"/>
    <sheet name="DOCUMENTATION" sheetId="4" state="hidden" r:id="rId5"/>
  </sheets>
  <definedNames>
    <definedName name="_xlnm.Print_Area" localSheetId="2">'Excel Online'!$B$2:$T$52</definedName>
    <definedName name="_xlnm.Print_Area" localSheetId="1">'Fraud Collections'!$A$1:$A$30</definedName>
    <definedName name="_xlnm.Print_Area" localSheetId="0">'POWER BI'!$A$1:$F$24</definedName>
  </definedNames>
  <calcPr calcId="162913" calcOnSave="0"/>
</workbook>
</file>

<file path=xl/calcChain.xml><?xml version="1.0" encoding="utf-8"?>
<calcChain xmlns="http://schemas.openxmlformats.org/spreadsheetml/2006/main">
  <c r="J48" i="7" l="1"/>
  <c r="I48" i="7"/>
  <c r="G48" i="7"/>
  <c r="E48" i="7"/>
  <c r="E47" i="7"/>
  <c r="G47" i="7"/>
  <c r="I47" i="7"/>
  <c r="J47" i="7"/>
  <c r="K48" i="7" l="1"/>
  <c r="F27" i="5" l="1"/>
  <c r="E26" i="6"/>
  <c r="D26" i="6"/>
  <c r="C26" i="6"/>
  <c r="B26" i="6"/>
  <c r="F26" i="6" l="1"/>
  <c r="B57" i="7" l="1"/>
  <c r="B58" i="7" s="1"/>
  <c r="B59" i="7" s="1"/>
  <c r="B60" i="7" s="1"/>
  <c r="B61" i="7" s="1"/>
  <c r="B62" i="7" s="1"/>
  <c r="B63" i="7" s="1"/>
  <c r="B64" i="7" s="1"/>
  <c r="B56" i="7"/>
  <c r="Z47" i="7"/>
  <c r="K47" i="7"/>
  <c r="Z46" i="7"/>
  <c r="J46" i="7"/>
  <c r="I46" i="7"/>
  <c r="G46" i="7"/>
  <c r="E46" i="7"/>
  <c r="Z45" i="7"/>
  <c r="J45" i="7"/>
  <c r="I45" i="7"/>
  <c r="K45" i="7" s="1"/>
  <c r="G45" i="7"/>
  <c r="E45" i="7"/>
  <c r="Z44" i="7"/>
  <c r="J44" i="7"/>
  <c r="J72" i="7" s="1"/>
  <c r="I44" i="7"/>
  <c r="G44" i="7"/>
  <c r="E44" i="7"/>
  <c r="Z43" i="7"/>
  <c r="J43" i="7"/>
  <c r="I43" i="7"/>
  <c r="G43" i="7"/>
  <c r="E43" i="7"/>
  <c r="E71" i="7" s="1"/>
  <c r="Z42" i="7"/>
  <c r="J42" i="7"/>
  <c r="I42" i="7"/>
  <c r="G42" i="7"/>
  <c r="G70" i="7" s="1"/>
  <c r="E42" i="7"/>
  <c r="Z41" i="7"/>
  <c r="J41" i="7"/>
  <c r="I41" i="7"/>
  <c r="I69" i="7" s="1"/>
  <c r="G41" i="7"/>
  <c r="E41" i="7"/>
  <c r="Z40" i="7"/>
  <c r="J40" i="7"/>
  <c r="J68" i="7" s="1"/>
  <c r="I40" i="7"/>
  <c r="G40" i="7"/>
  <c r="E40" i="7"/>
  <c r="Z39" i="7"/>
  <c r="J39" i="7"/>
  <c r="I39" i="7"/>
  <c r="G39" i="7"/>
  <c r="E39" i="7"/>
  <c r="E67" i="7" s="1"/>
  <c r="Z38" i="7"/>
  <c r="J38" i="7"/>
  <c r="J66" i="7" s="1"/>
  <c r="I38" i="7"/>
  <c r="I66" i="7" s="1"/>
  <c r="G38" i="7"/>
  <c r="G66" i="7" s="1"/>
  <c r="E38" i="7"/>
  <c r="E66" i="7" s="1"/>
  <c r="Z37" i="7"/>
  <c r="K37" i="7"/>
  <c r="Z36" i="7"/>
  <c r="J36" i="7"/>
  <c r="J64" i="7" s="1"/>
  <c r="I36" i="7"/>
  <c r="I64" i="7" s="1"/>
  <c r="G36" i="7"/>
  <c r="G65" i="7" s="1"/>
  <c r="E36" i="7"/>
  <c r="E64" i="7" s="1"/>
  <c r="X35" i="7"/>
  <c r="Z35" i="7" s="1"/>
  <c r="W35" i="7"/>
  <c r="V35" i="7"/>
  <c r="E35" i="7" s="1"/>
  <c r="E63" i="7" s="1"/>
  <c r="J35" i="7"/>
  <c r="I35" i="7"/>
  <c r="I63" i="7" s="1"/>
  <c r="G35" i="7"/>
  <c r="G63" i="7" s="1"/>
  <c r="X34" i="7"/>
  <c r="Z34" i="7" s="1"/>
  <c r="W34" i="7"/>
  <c r="G34" i="7" s="1"/>
  <c r="G62" i="7" s="1"/>
  <c r="V34" i="7"/>
  <c r="I34" i="7"/>
  <c r="I62" i="7" s="1"/>
  <c r="H34" i="7"/>
  <c r="H62" i="7" s="1"/>
  <c r="F34" i="7"/>
  <c r="J34" i="7" s="1"/>
  <c r="E34" i="7"/>
  <c r="E62" i="7" s="1"/>
  <c r="D34" i="7"/>
  <c r="X33" i="7"/>
  <c r="Z33" i="7" s="1"/>
  <c r="W33" i="7"/>
  <c r="V33" i="7"/>
  <c r="I33" i="7"/>
  <c r="I61" i="7" s="1"/>
  <c r="H33" i="7"/>
  <c r="H61" i="7" s="1"/>
  <c r="G33" i="7"/>
  <c r="G61" i="7" s="1"/>
  <c r="F33" i="7"/>
  <c r="J33" i="7" s="1"/>
  <c r="E33" i="7"/>
  <c r="E61" i="7" s="1"/>
  <c r="D33" i="7"/>
  <c r="X32" i="7"/>
  <c r="Z32" i="7" s="1"/>
  <c r="W32" i="7"/>
  <c r="V32" i="7"/>
  <c r="I32" i="7"/>
  <c r="I60" i="7" s="1"/>
  <c r="H32" i="7"/>
  <c r="H60" i="7" s="1"/>
  <c r="G32" i="7"/>
  <c r="G60" i="7" s="1"/>
  <c r="F32" i="7"/>
  <c r="J32" i="7" s="1"/>
  <c r="E32" i="7"/>
  <c r="E60" i="7" s="1"/>
  <c r="D32" i="7"/>
  <c r="X31" i="7"/>
  <c r="Z31" i="7" s="1"/>
  <c r="W31" i="7"/>
  <c r="V31" i="7"/>
  <c r="I31" i="7"/>
  <c r="I59" i="7" s="1"/>
  <c r="H31" i="7"/>
  <c r="H59" i="7" s="1"/>
  <c r="G31" i="7"/>
  <c r="G59" i="7" s="1"/>
  <c r="F31" i="7"/>
  <c r="J31" i="7" s="1"/>
  <c r="E31" i="7"/>
  <c r="E59" i="7" s="1"/>
  <c r="D31" i="7"/>
  <c r="AJ30" i="7"/>
  <c r="AI30" i="7"/>
  <c r="Z30" i="7"/>
  <c r="X30" i="7"/>
  <c r="W30" i="7"/>
  <c r="V30" i="7"/>
  <c r="I30" i="7"/>
  <c r="I58" i="7" s="1"/>
  <c r="H30" i="7"/>
  <c r="H58" i="7" s="1"/>
  <c r="G30" i="7"/>
  <c r="G58" i="7" s="1"/>
  <c r="F30" i="7"/>
  <c r="E30" i="7"/>
  <c r="E58" i="7" s="1"/>
  <c r="D30" i="7"/>
  <c r="Z29" i="7"/>
  <c r="X29" i="7"/>
  <c r="W29" i="7"/>
  <c r="V29" i="7"/>
  <c r="I29" i="7"/>
  <c r="I57" i="7" s="1"/>
  <c r="H29" i="7"/>
  <c r="H57" i="7" s="1"/>
  <c r="G29" i="7"/>
  <c r="G57" i="7" s="1"/>
  <c r="F29" i="7"/>
  <c r="E29" i="7"/>
  <c r="E57" i="7" s="1"/>
  <c r="D29" i="7"/>
  <c r="Z28" i="7"/>
  <c r="X28" i="7"/>
  <c r="W28" i="7"/>
  <c r="V28" i="7"/>
  <c r="I28" i="7"/>
  <c r="I56" i="7" s="1"/>
  <c r="H28" i="7"/>
  <c r="H56" i="7" s="1"/>
  <c r="G28" i="7"/>
  <c r="G56" i="7" s="1"/>
  <c r="F28" i="7"/>
  <c r="E28" i="7"/>
  <c r="E56" i="7" s="1"/>
  <c r="D28" i="7"/>
  <c r="Z27" i="7"/>
  <c r="X27" i="7"/>
  <c r="W27" i="7"/>
  <c r="V27" i="7"/>
  <c r="I27" i="7"/>
  <c r="I55" i="7" s="1"/>
  <c r="H27" i="7"/>
  <c r="H55" i="7" s="1"/>
  <c r="G27" i="7"/>
  <c r="G55" i="7" s="1"/>
  <c r="F27" i="7"/>
  <c r="E27" i="7"/>
  <c r="D27" i="7"/>
  <c r="Z26" i="7"/>
  <c r="X26" i="7"/>
  <c r="W26" i="7"/>
  <c r="V26" i="7"/>
  <c r="I26" i="7"/>
  <c r="H26" i="7"/>
  <c r="J26" i="7" s="1"/>
  <c r="G26" i="7"/>
  <c r="K26" i="7" s="1"/>
  <c r="F26" i="7"/>
  <c r="E26" i="7"/>
  <c r="D26" i="7"/>
  <c r="Z25" i="7"/>
  <c r="X25" i="7"/>
  <c r="W25" i="7"/>
  <c r="V25" i="7"/>
  <c r="I25" i="7"/>
  <c r="H25" i="7"/>
  <c r="J25" i="7" s="1"/>
  <c r="G25" i="7"/>
  <c r="K25" i="7" s="1"/>
  <c r="F25" i="7"/>
  <c r="E25" i="7"/>
  <c r="D25" i="7"/>
  <c r="Z24" i="7"/>
  <c r="X24" i="7"/>
  <c r="W24" i="7"/>
  <c r="V24" i="7"/>
  <c r="I24" i="7"/>
  <c r="H24" i="7"/>
  <c r="J24" i="7" s="1"/>
  <c r="G24" i="7"/>
  <c r="K24" i="7" s="1"/>
  <c r="F24" i="7"/>
  <c r="E24" i="7"/>
  <c r="D24" i="7"/>
  <c r="G67" i="7" l="1"/>
  <c r="E68" i="7"/>
  <c r="J69" i="7"/>
  <c r="I70" i="7"/>
  <c r="G71" i="7"/>
  <c r="E72" i="7"/>
  <c r="J60" i="7"/>
  <c r="I67" i="7"/>
  <c r="G68" i="7"/>
  <c r="E69" i="7"/>
  <c r="J70" i="7"/>
  <c r="I71" i="7"/>
  <c r="G72" i="7"/>
  <c r="J67" i="7"/>
  <c r="I68" i="7"/>
  <c r="G69" i="7"/>
  <c r="E70" i="7"/>
  <c r="J71" i="7"/>
  <c r="I72" i="7"/>
  <c r="K46" i="7"/>
  <c r="J61" i="7"/>
  <c r="J62" i="7"/>
  <c r="J63" i="7"/>
  <c r="C64" i="7"/>
  <c r="B65" i="7"/>
  <c r="K27" i="7"/>
  <c r="K55" i="7" s="1"/>
  <c r="K28" i="7"/>
  <c r="K29" i="7"/>
  <c r="K30" i="7"/>
  <c r="K58" i="7" s="1"/>
  <c r="K36" i="7"/>
  <c r="K65" i="7" s="1"/>
  <c r="K38" i="7"/>
  <c r="K66" i="7" s="1"/>
  <c r="K40" i="7"/>
  <c r="K42" i="7"/>
  <c r="K70" i="7" s="1"/>
  <c r="K44" i="7"/>
  <c r="K72" i="7" s="1"/>
  <c r="K31" i="7"/>
  <c r="K32" i="7"/>
  <c r="K33" i="7"/>
  <c r="K61" i="7" s="1"/>
  <c r="K34" i="7"/>
  <c r="K62" i="7" s="1"/>
  <c r="K39" i="7"/>
  <c r="K67" i="7" s="1"/>
  <c r="K41" i="7"/>
  <c r="K69" i="7" s="1"/>
  <c r="K43" i="7"/>
  <c r="K71" i="7" s="1"/>
  <c r="J27" i="7"/>
  <c r="J55" i="7" s="1"/>
  <c r="J28" i="7"/>
  <c r="J29" i="7"/>
  <c r="J30" i="7"/>
  <c r="J58" i="7" s="1"/>
  <c r="K35" i="7"/>
  <c r="K63" i="7" s="1"/>
  <c r="G64" i="7"/>
  <c r="I65" i="7"/>
  <c r="H63" i="7"/>
  <c r="J65" i="7"/>
  <c r="E65" i="7"/>
  <c r="E55" i="7" s="1"/>
  <c r="E25" i="6"/>
  <c r="D25" i="6"/>
  <c r="C25" i="6"/>
  <c r="B25" i="6"/>
  <c r="F26" i="5"/>
  <c r="H54" i="7" l="1"/>
  <c r="E54" i="7"/>
  <c r="J57" i="7"/>
  <c r="K60" i="7"/>
  <c r="K68" i="7"/>
  <c r="K57" i="7"/>
  <c r="K64" i="7"/>
  <c r="J54" i="7" s="1"/>
  <c r="B66" i="7"/>
  <c r="C65" i="7"/>
  <c r="J59" i="7"/>
  <c r="I54" i="7"/>
  <c r="J56" i="7"/>
  <c r="K59" i="7"/>
  <c r="K56" i="7"/>
  <c r="G54" i="7"/>
  <c r="F25" i="6"/>
  <c r="E24" i="6"/>
  <c r="D24" i="6"/>
  <c r="C24" i="6"/>
  <c r="B24" i="6"/>
  <c r="F25" i="5"/>
  <c r="B67" i="7" l="1"/>
  <c r="C66" i="7"/>
  <c r="K54" i="7"/>
  <c r="F24" i="6"/>
  <c r="E23" i="6"/>
  <c r="D23" i="6"/>
  <c r="C23" i="6"/>
  <c r="B23" i="6"/>
  <c r="F24" i="5"/>
  <c r="C67" i="7" l="1"/>
  <c r="B68" i="7"/>
  <c r="F23" i="6"/>
  <c r="E2" i="6"/>
  <c r="E3" i="6"/>
  <c r="E4" i="6"/>
  <c r="E5" i="6"/>
  <c r="E6" i="6"/>
  <c r="E7" i="6"/>
  <c r="E8" i="6"/>
  <c r="E9" i="6"/>
  <c r="E10" i="6"/>
  <c r="E11" i="6"/>
  <c r="E12" i="6"/>
  <c r="E13" i="6"/>
  <c r="E14" i="6"/>
  <c r="E15" i="6"/>
  <c r="E16" i="6"/>
  <c r="E17" i="6"/>
  <c r="E18" i="6"/>
  <c r="E19" i="6"/>
  <c r="E20" i="6"/>
  <c r="E21" i="6"/>
  <c r="E22" i="6"/>
  <c r="D14" i="6"/>
  <c r="D15" i="6"/>
  <c r="D16" i="6"/>
  <c r="D17" i="6"/>
  <c r="D18" i="6"/>
  <c r="D19" i="6"/>
  <c r="D20" i="6"/>
  <c r="D21" i="6"/>
  <c r="D22" i="6"/>
  <c r="C14" i="6"/>
  <c r="C15" i="6"/>
  <c r="C16" i="6"/>
  <c r="C17" i="6"/>
  <c r="C18" i="6"/>
  <c r="C19" i="6"/>
  <c r="C20" i="6"/>
  <c r="C21" i="6"/>
  <c r="C22" i="6"/>
  <c r="B14" i="6"/>
  <c r="B15" i="6"/>
  <c r="B16" i="6"/>
  <c r="B17" i="6"/>
  <c r="B18" i="6"/>
  <c r="B19" i="6"/>
  <c r="B20" i="6"/>
  <c r="B21" i="6"/>
  <c r="B22" i="6"/>
  <c r="F23" i="5"/>
  <c r="F22" i="5"/>
  <c r="F21" i="5"/>
  <c r="F20" i="5"/>
  <c r="F19" i="5"/>
  <c r="F18" i="5"/>
  <c r="F17" i="5"/>
  <c r="F16" i="5"/>
  <c r="F15" i="5"/>
  <c r="C68" i="7" l="1"/>
  <c r="B69" i="7"/>
  <c r="D3" i="5"/>
  <c r="D2" i="6" s="1"/>
  <c r="C3" i="5"/>
  <c r="C2" i="6" s="1"/>
  <c r="B70" i="7" l="1"/>
  <c r="C69" i="7"/>
  <c r="B3" i="5"/>
  <c r="B2" i="6" s="1"/>
  <c r="B71" i="7" l="1"/>
  <c r="C70" i="7"/>
  <c r="F3" i="5"/>
  <c r="C71" i="7" l="1"/>
  <c r="B72" i="7"/>
  <c r="C72" i="7" s="1"/>
  <c r="F22" i="6"/>
  <c r="B11" i="5"/>
  <c r="B10" i="6" s="1"/>
  <c r="C11" i="5"/>
  <c r="C10" i="6" s="1"/>
  <c r="D11" i="5"/>
  <c r="D10" i="6" s="1"/>
  <c r="F11" i="5" l="1"/>
  <c r="F21" i="6"/>
  <c r="F15" i="6" l="1"/>
  <c r="D12" i="5"/>
  <c r="D10" i="5"/>
  <c r="D9" i="6" s="1"/>
  <c r="D9" i="5"/>
  <c r="D8" i="5"/>
  <c r="D7" i="6" s="1"/>
  <c r="D7" i="5"/>
  <c r="D6" i="5"/>
  <c r="D5" i="6" s="1"/>
  <c r="D5" i="5"/>
  <c r="C12" i="5"/>
  <c r="C11" i="6" s="1"/>
  <c r="C10" i="5"/>
  <c r="C9" i="6" s="1"/>
  <c r="C9" i="5"/>
  <c r="C8" i="6" s="1"/>
  <c r="C8" i="5"/>
  <c r="C7" i="6" s="1"/>
  <c r="C7" i="5"/>
  <c r="C6" i="6" s="1"/>
  <c r="C6" i="5"/>
  <c r="C5" i="6" s="1"/>
  <c r="C5" i="5"/>
  <c r="C4" i="6" s="1"/>
  <c r="D13" i="5"/>
  <c r="D12" i="6" s="1"/>
  <c r="C13" i="5"/>
  <c r="D14" i="5"/>
  <c r="D13" i="6" s="1"/>
  <c r="C14" i="5"/>
  <c r="D4" i="5"/>
  <c r="D3" i="6" s="1"/>
  <c r="C4" i="5"/>
  <c r="C3" i="6" s="1"/>
  <c r="B14" i="5"/>
  <c r="B13" i="6" s="1"/>
  <c r="B13" i="5"/>
  <c r="B12" i="5"/>
  <c r="B11" i="6" s="1"/>
  <c r="B10" i="5"/>
  <c r="B9" i="6" s="1"/>
  <c r="B9" i="5"/>
  <c r="B8" i="6" s="1"/>
  <c r="B8" i="5"/>
  <c r="B7" i="6" s="1"/>
  <c r="B7" i="5"/>
  <c r="B6" i="6" s="1"/>
  <c r="B6" i="5"/>
  <c r="B5" i="6" s="1"/>
  <c r="B5" i="5"/>
  <c r="B4" i="6" s="1"/>
  <c r="B4" i="5"/>
  <c r="B3" i="6" s="1"/>
  <c r="O9" i="5"/>
  <c r="P9" i="5"/>
  <c r="K16" i="3"/>
  <c r="K14" i="3"/>
  <c r="J14" i="3"/>
  <c r="I5" i="3"/>
  <c r="G5" i="3"/>
  <c r="E5" i="3"/>
  <c r="C5" i="3"/>
  <c r="H5" i="3"/>
  <c r="F5" i="3"/>
  <c r="D5" i="3"/>
  <c r="B5" i="3"/>
  <c r="AD11" i="3"/>
  <c r="AC11" i="3"/>
  <c r="K15" i="3"/>
  <c r="J15" i="3"/>
  <c r="K13" i="3"/>
  <c r="J13" i="3"/>
  <c r="K12" i="3"/>
  <c r="J12" i="3"/>
  <c r="K11" i="3"/>
  <c r="J11" i="3"/>
  <c r="K10" i="3"/>
  <c r="J10" i="3"/>
  <c r="K9" i="3"/>
  <c r="J9" i="3"/>
  <c r="K8" i="3"/>
  <c r="J8" i="3"/>
  <c r="K7" i="3"/>
  <c r="J7" i="3"/>
  <c r="K6" i="3"/>
  <c r="J6" i="3"/>
  <c r="M10" i="3"/>
  <c r="N10" i="3"/>
  <c r="B12" i="6" l="1"/>
  <c r="C13" i="6"/>
  <c r="C12" i="6"/>
  <c r="F7" i="5"/>
  <c r="D6" i="6"/>
  <c r="F12" i="5"/>
  <c r="D11" i="6"/>
  <c r="F5" i="5"/>
  <c r="D4" i="6"/>
  <c r="F9" i="5"/>
  <c r="D8" i="6"/>
  <c r="F13" i="5"/>
  <c r="F14" i="5"/>
  <c r="F10" i="5"/>
  <c r="F8" i="5"/>
  <c r="F6" i="5"/>
  <c r="F4" i="5"/>
  <c r="F2" i="6"/>
  <c r="F20" i="6"/>
  <c r="F5" i="6"/>
  <c r="F3" i="6"/>
  <c r="J5" i="3"/>
  <c r="K5" i="3"/>
  <c r="A42" i="5"/>
  <c r="F14" i="6"/>
  <c r="F16" i="6"/>
  <c r="F7" i="6"/>
  <c r="F9" i="6"/>
  <c r="F10" i="6"/>
  <c r="F18" i="6"/>
  <c r="F17" i="6"/>
  <c r="F4" i="6" l="1"/>
  <c r="F8" i="6"/>
  <c r="F11" i="6"/>
  <c r="F6" i="6"/>
  <c r="F12" i="6"/>
  <c r="F19" i="6"/>
  <c r="F13" i="6"/>
  <c r="A43" i="5"/>
  <c r="A44" i="5" l="1"/>
  <c r="A45" i="5" l="1"/>
  <c r="A46" i="5" l="1"/>
  <c r="A47" i="5" l="1"/>
  <c r="A48" i="5" l="1"/>
  <c r="A49" i="5" l="1"/>
  <c r="A50" i="5"/>
</calcChain>
</file>

<file path=xl/sharedStrings.xml><?xml version="1.0" encoding="utf-8"?>
<sst xmlns="http://schemas.openxmlformats.org/spreadsheetml/2006/main" count="156" uniqueCount="80">
  <si>
    <t>Food  Stamps</t>
  </si>
  <si>
    <t>Fraud</t>
  </si>
  <si>
    <t>Household Error</t>
  </si>
  <si>
    <t>Agency Error</t>
  </si>
  <si>
    <t>Due Diligence</t>
  </si>
  <si>
    <t xml:space="preserve">   Total</t>
  </si>
  <si>
    <t>AFDC</t>
  </si>
  <si>
    <t>AFDC/ TANF</t>
  </si>
  <si>
    <t>State Fiscal Year</t>
  </si>
  <si>
    <t>Note: Breakdown by category of SFY 2005 TANF collections obtained by dividing total collections by each category's average percentages of the combined SFY 2003 and SFY 2004 amounts.</t>
  </si>
  <si>
    <t>Note: Data for SFY 1997-2001 was revised in 2002 due to changes in reporting procedures.</t>
  </si>
  <si>
    <t>Total</t>
  </si>
  <si>
    <t>AFDC / TANF</t>
  </si>
  <si>
    <t>Food  Stamp</t>
  </si>
  <si>
    <t>1997</t>
  </si>
  <si>
    <t>1998</t>
  </si>
  <si>
    <t>1999</t>
  </si>
  <si>
    <t>2000</t>
  </si>
  <si>
    <t>2001</t>
  </si>
  <si>
    <t>2004</t>
  </si>
  <si>
    <t>Notes:</t>
  </si>
  <si>
    <t xml:space="preserve">Data for SFY1997-2001 were revised in 2002 due to changes in reporting procedures. </t>
  </si>
  <si>
    <r>
      <t xml:space="preserve"> </t>
    </r>
    <r>
      <rPr>
        <sz val="8"/>
        <color indexed="8"/>
        <rFont val="Arial"/>
        <family val="2"/>
      </rPr>
      <t xml:space="preserve">Due Diligence data are not required for Food Stamps and not collected. </t>
    </r>
  </si>
  <si>
    <t>Breakdown by category of SFY 2004 TANF collections obtained by dividing total collections by each category’s average percentages for SFY 2002 and SFY 2003 combined.</t>
  </si>
  <si>
    <t>2007</t>
  </si>
  <si>
    <t>Date</t>
  </si>
  <si>
    <t>Research Staffer</t>
  </si>
  <si>
    <t>Program Contact</t>
  </si>
  <si>
    <t>Data Source</t>
  </si>
  <si>
    <t>Comments</t>
  </si>
  <si>
    <t>FDTS dispositions</t>
  </si>
  <si>
    <t>Unsubstantiated can’t substantiate fraud with collections (No fraud evident either household or agency error.)-</t>
  </si>
  <si>
    <t>Unsubstantiated can’t substantiate fraud no overpayment (No fraud evident either household or agency error.)</t>
  </si>
  <si>
    <t>Investigation complete initiate ADH (administrative disqualification hearing). (Fraud)</t>
  </si>
  <si>
    <t>Investigation complete initiate prosecution (Fraud)</t>
  </si>
  <si>
    <t>Marty &amp; Sandy do not wish to bring over the total from page 18, Overpayment Collections this year since only TANF/FS collections are reported and Fraud Evident contains more programs than just TANF/FS.</t>
  </si>
  <si>
    <t>Mike Theis</t>
  </si>
  <si>
    <t>Marty Mawyer</t>
  </si>
  <si>
    <t>Met with Marty Mawyer on changes to the Fraud Investigations and Overpayment Collections pages.  Basically, the Fraud unit would like to keep the pages the same as last year with the possible exception that Due Diligence might be dropped.</t>
  </si>
  <si>
    <t>Fraud Investigations</t>
  </si>
  <si>
    <t>Fraud collections</t>
  </si>
  <si>
    <t>Page</t>
  </si>
  <si>
    <t>Fraud Database Tracking System (FDTS)</t>
  </si>
  <si>
    <t>Tracks not only TANF and FS but child care, energy assistance, GR &amp; Medicaid Investigations</t>
  </si>
  <si>
    <t>LASER &amp; ADAPT</t>
  </si>
  <si>
    <t>Mediciad collections are not in the system, DMAS has that information.  LASER &amp; ADAPT collections information is not line to FDTS</t>
  </si>
  <si>
    <t>Total Collections ($ millions)</t>
  </si>
  <si>
    <t xml:space="preserve">Sandy Smith </t>
  </si>
  <si>
    <t>Requested clarfification  on deleting Due Diligence</t>
  </si>
  <si>
    <r>
      <t>AFDC / TANF</t>
    </r>
    <r>
      <rPr>
        <b/>
        <vertAlign val="superscript"/>
        <sz val="10"/>
        <rFont val="Verdana"/>
        <family val="2"/>
      </rPr>
      <t>1</t>
    </r>
  </si>
  <si>
    <t>2008</t>
  </si>
  <si>
    <t>Food Stamp Collections by Error Type</t>
  </si>
  <si>
    <t>Total Collections</t>
  </si>
  <si>
    <t>2009</t>
  </si>
  <si>
    <t>SNAP Collections by Error Type ($ millions)</t>
  </si>
  <si>
    <t>SNAP</t>
  </si>
  <si>
    <t>2010</t>
  </si>
  <si>
    <t>2011</t>
  </si>
  <si>
    <r>
      <t xml:space="preserve"> </t>
    </r>
    <r>
      <rPr>
        <sz val="8"/>
        <color indexed="8"/>
        <rFont val="Verdana"/>
        <family val="2"/>
      </rPr>
      <t xml:space="preserve">Due Diligence data are not required for Food Stamps and not collected. </t>
    </r>
  </si>
  <si>
    <t>Source: LASER and ADAPT (TANF data and SNAP data).</t>
  </si>
  <si>
    <t>2012</t>
  </si>
  <si>
    <r>
      <t>TANF</t>
    </r>
    <r>
      <rPr>
        <vertAlign val="superscript"/>
        <sz val="12"/>
        <rFont val="Franklin Gothic Medium"/>
        <family val="2"/>
      </rPr>
      <t>1</t>
    </r>
  </si>
  <si>
    <t>2013</t>
  </si>
  <si>
    <t>2014</t>
  </si>
  <si>
    <t>2015</t>
  </si>
  <si>
    <t>2016</t>
  </si>
  <si>
    <t>snap_fraud</t>
  </si>
  <si>
    <t>snap_hh_err</t>
  </si>
  <si>
    <t>snap_agen_error</t>
  </si>
  <si>
    <t>tanf_total</t>
  </si>
  <si>
    <t>snap_total</t>
  </si>
  <si>
    <t>2017</t>
  </si>
  <si>
    <t>2018</t>
  </si>
  <si>
    <t>2019</t>
  </si>
  <si>
    <t>2019-&gt;</t>
  </si>
  <si>
    <t>SNAP and TANF Overpayment Collections</t>
  </si>
  <si>
    <r>
      <t>1</t>
    </r>
    <r>
      <rPr>
        <sz val="8"/>
        <rFont val="Franklin Gothic Medium"/>
        <family val="2"/>
      </rPr>
      <t xml:space="preserve"> TANF data are not available by error type.</t>
    </r>
  </si>
  <si>
    <t>sfy</t>
  </si>
  <si>
    <t>2020</t>
  </si>
  <si>
    <t>Data Source: VaCMS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</si>
</sst>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7" formatCode="&quot;$&quot;#,##0.00_);\(&quot;$&quot;#,##0.00\)"/>
    <numFmt numFmtId="164" formatCode="0.0%"/>
  </numFmts>
  <fonts count="23">
    <font>
      <sz val="12"/>
      <name val="Times New Roman"/>
    </font>
    <font>
      <sz val="8"/>
      <name val="Times New Roman"/>
      <family val="1"/>
    </font>
    <font>
      <sz val="10"/>
      <name val="Arial"/>
      <family val="2"/>
    </font>
    <font>
      <b/>
      <sz val="10"/>
      <name val="Arial"/>
      <family val="2"/>
    </font>
    <font>
      <vertAlign val="superscript"/>
      <sz val="8"/>
      <color indexed="8"/>
      <name val="Arial"/>
      <family val="2"/>
    </font>
    <font>
      <sz val="8"/>
      <color indexed="8"/>
      <name val="Arial"/>
      <family val="2"/>
    </font>
    <font>
      <b/>
      <sz val="12"/>
      <name val="Times New Roman"/>
      <family val="1"/>
    </font>
    <font>
      <sz val="12"/>
      <name val="Times New Roman"/>
      <family val="1"/>
    </font>
    <font>
      <u/>
      <sz val="12"/>
      <name val="Times New Roman"/>
      <family val="1"/>
    </font>
    <font>
      <sz val="10"/>
      <name val="Verdana"/>
      <family val="2"/>
    </font>
    <font>
      <b/>
      <sz val="10"/>
      <name val="Verdana"/>
      <family val="2"/>
    </font>
    <font>
      <sz val="8"/>
      <color indexed="8"/>
      <name val="Verdana"/>
      <family val="2"/>
    </font>
    <font>
      <b/>
      <vertAlign val="superscript"/>
      <sz val="10"/>
      <name val="Verdana"/>
      <family val="2"/>
    </font>
    <font>
      <sz val="9.5"/>
      <name val="Verdana"/>
      <family val="2"/>
    </font>
    <font>
      <b/>
      <sz val="10"/>
      <color indexed="10"/>
      <name val="Verdana"/>
      <family val="2"/>
    </font>
    <font>
      <sz val="12"/>
      <name val="Franklin Gothic Medium"/>
      <family val="2"/>
    </font>
    <font>
      <vertAlign val="superscript"/>
      <sz val="12"/>
      <name val="Franklin Gothic Medium"/>
      <family val="2"/>
    </font>
    <font>
      <sz val="10"/>
      <name val="Franklin Gothic Book"/>
      <family val="2"/>
    </font>
    <font>
      <sz val="8"/>
      <name val="Franklin Gothic Book"/>
      <family val="2"/>
    </font>
    <font>
      <b/>
      <sz val="14"/>
      <name val="Franklin Gothi medium"/>
    </font>
    <font>
      <sz val="10"/>
      <name val="Franklin Gothic Medium"/>
      <family val="2"/>
    </font>
    <font>
      <vertAlign val="superscript"/>
      <sz val="8"/>
      <name val="Franklin Gothic Medium"/>
      <family val="2"/>
    </font>
    <font>
      <sz val="8"/>
      <name val="Franklin Gothic Medium"/>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30">
    <xf numFmtId="0" fontId="0" fillId="0" borderId="0" xfId="0"/>
    <xf numFmtId="0" fontId="2" fillId="0" borderId="0" xfId="0" applyFont="1"/>
    <xf numFmtId="0" fontId="2" fillId="0" borderId="0" xfId="0" applyFont="1" applyBorder="1"/>
    <xf numFmtId="49" fontId="2" fillId="0" borderId="0" xfId="0" applyNumberFormat="1" applyFont="1"/>
    <xf numFmtId="0" fontId="2" fillId="0" borderId="0" xfId="0" applyFont="1" applyFill="1" applyBorder="1" applyAlignment="1">
      <alignment horizontal="center"/>
    </xf>
    <xf numFmtId="0" fontId="3" fillId="0" borderId="0" xfId="0" applyFont="1" applyFill="1" applyBorder="1" applyAlignment="1"/>
    <xf numFmtId="0" fontId="2" fillId="0" borderId="0" xfId="0" applyFont="1" applyFill="1" applyBorder="1"/>
    <xf numFmtId="0" fontId="3" fillId="0" borderId="0" xfId="0" applyFont="1" applyFill="1" applyBorder="1" applyAlignment="1">
      <alignment horizontal="centerContinuous" wrapText="1"/>
    </xf>
    <xf numFmtId="0" fontId="2" fillId="0" borderId="0" xfId="0" applyFont="1" applyFill="1" applyBorder="1" applyAlignment="1">
      <alignment horizontal="centerContinuous"/>
    </xf>
    <xf numFmtId="0" fontId="3" fillId="0" borderId="0" xfId="0" applyFont="1" applyFill="1" applyBorder="1" applyAlignment="1">
      <alignment horizontal="center" wrapText="1"/>
    </xf>
    <xf numFmtId="0" fontId="2" fillId="0" borderId="0" xfId="0" applyFont="1" applyFill="1" applyBorder="1" applyAlignment="1">
      <alignment wrapText="1"/>
    </xf>
    <xf numFmtId="5" fontId="2" fillId="0" borderId="0" xfId="0" applyNumberFormat="1" applyFont="1" applyFill="1" applyBorder="1" applyAlignment="1"/>
    <xf numFmtId="5" fontId="2" fillId="0" borderId="0" xfId="0" applyNumberFormat="1" applyFont="1" applyFill="1" applyBorder="1"/>
    <xf numFmtId="0" fontId="2" fillId="0" borderId="0" xfId="0" applyFont="1" applyAlignment="1">
      <alignment horizontal="center"/>
    </xf>
    <xf numFmtId="5" fontId="2" fillId="0" borderId="0" xfId="0" applyNumberFormat="1" applyFont="1" applyBorder="1" applyAlignment="1"/>
    <xf numFmtId="7" fontId="2" fillId="0" borderId="0" xfId="0" applyNumberFormat="1" applyFont="1"/>
    <xf numFmtId="5" fontId="2" fillId="0" borderId="0" xfId="0" applyNumberFormat="1" applyFont="1"/>
    <xf numFmtId="0" fontId="2" fillId="2" borderId="0" xfId="0" applyFont="1" applyFill="1"/>
    <xf numFmtId="0" fontId="2" fillId="2" borderId="0" xfId="0" applyFont="1" applyFill="1" applyBorder="1"/>
    <xf numFmtId="0" fontId="3" fillId="2" borderId="1" xfId="0" applyFont="1" applyFill="1" applyBorder="1" applyAlignment="1">
      <alignment horizontal="right" wrapText="1"/>
    </xf>
    <xf numFmtId="0" fontId="3" fillId="2" borderId="2" xfId="0" applyFont="1" applyFill="1" applyBorder="1" applyAlignment="1">
      <alignment horizontal="right" wrapText="1"/>
    </xf>
    <xf numFmtId="0" fontId="3" fillId="2" borderId="3" xfId="0" applyFont="1" applyFill="1" applyBorder="1" applyAlignment="1">
      <alignment horizontal="right" wrapText="1"/>
    </xf>
    <xf numFmtId="0" fontId="3" fillId="2" borderId="4" xfId="0" applyFont="1" applyFill="1" applyBorder="1" applyAlignment="1">
      <alignment horizontal="right" wrapText="1"/>
    </xf>
    <xf numFmtId="49" fontId="2" fillId="2" borderId="0" xfId="0" applyNumberFormat="1" applyFont="1" applyFill="1" applyAlignment="1">
      <alignment horizontal="right"/>
    </xf>
    <xf numFmtId="49" fontId="2" fillId="2" borderId="0" xfId="0" applyNumberFormat="1" applyFont="1" applyFill="1" applyBorder="1" applyAlignment="1">
      <alignment horizontal="right"/>
    </xf>
    <xf numFmtId="49" fontId="2" fillId="2" borderId="4" xfId="0" applyNumberFormat="1" applyFont="1" applyFill="1" applyBorder="1" applyAlignment="1">
      <alignment horizontal="right"/>
    </xf>
    <xf numFmtId="5" fontId="2" fillId="2" borderId="0" xfId="0" applyNumberFormat="1" applyFont="1" applyFill="1" applyBorder="1" applyAlignment="1">
      <alignment horizontal="right" wrapText="1"/>
    </xf>
    <xf numFmtId="5" fontId="2" fillId="2" borderId="5" xfId="0" applyNumberFormat="1" applyFont="1" applyFill="1" applyBorder="1" applyAlignment="1">
      <alignment horizontal="right" wrapText="1"/>
    </xf>
    <xf numFmtId="5" fontId="2" fillId="2" borderId="6" xfId="0" applyNumberFormat="1" applyFont="1" applyFill="1" applyBorder="1" applyAlignment="1">
      <alignment horizontal="right" wrapText="1"/>
    </xf>
    <xf numFmtId="5" fontId="2" fillId="2" borderId="4" xfId="0" applyNumberFormat="1" applyFont="1" applyFill="1" applyBorder="1" applyAlignment="1">
      <alignment horizontal="right" wrapText="1"/>
    </xf>
    <xf numFmtId="5" fontId="2" fillId="2" borderId="7" xfId="0" applyNumberFormat="1" applyFont="1" applyFill="1" applyBorder="1" applyAlignment="1">
      <alignment horizontal="right" wrapText="1"/>
    </xf>
    <xf numFmtId="0" fontId="6" fillId="0" borderId="4" xfId="0" applyFont="1" applyBorder="1" applyAlignment="1">
      <alignment wrapText="1"/>
    </xf>
    <xf numFmtId="0" fontId="0" fillId="0" borderId="0" xfId="0" applyAlignment="1">
      <alignment wrapText="1"/>
    </xf>
    <xf numFmtId="0" fontId="7" fillId="0" borderId="0" xfId="0" applyFont="1"/>
    <xf numFmtId="0" fontId="7" fillId="0" borderId="0" xfId="0" applyFont="1" applyAlignment="1">
      <alignment horizontal="left" indent="1"/>
    </xf>
    <xf numFmtId="0" fontId="7" fillId="0" borderId="0" xfId="0" applyFont="1" applyAlignment="1">
      <alignment horizontal="left" indent="2"/>
    </xf>
    <xf numFmtId="0" fontId="7" fillId="0" borderId="0" xfId="0" applyFont="1" applyAlignment="1">
      <alignment horizontal="left" indent="3"/>
    </xf>
    <xf numFmtId="14" fontId="0" fillId="0" borderId="0" xfId="0" applyNumberFormat="1"/>
    <xf numFmtId="0" fontId="7" fillId="0" borderId="0" xfId="0" applyFont="1" applyAlignment="1">
      <alignment wrapText="1"/>
    </xf>
    <xf numFmtId="0" fontId="7" fillId="0" borderId="0" xfId="0" applyFont="1" applyAlignment="1"/>
    <xf numFmtId="0" fontId="7" fillId="0" borderId="0" xfId="0" applyFont="1" applyAlignment="1">
      <alignment horizontal="left" wrapText="1" indent="3"/>
    </xf>
    <xf numFmtId="0" fontId="9" fillId="0" borderId="0" xfId="0" applyFont="1"/>
    <xf numFmtId="0" fontId="9" fillId="0" borderId="0" xfId="0" applyFont="1" applyBorder="1"/>
    <xf numFmtId="0" fontId="9" fillId="0" borderId="0" xfId="0" applyFont="1" applyAlignment="1">
      <alignment horizontal="center"/>
    </xf>
    <xf numFmtId="0" fontId="9" fillId="0" borderId="0" xfId="0" applyFont="1" applyFill="1" applyBorder="1"/>
    <xf numFmtId="0" fontId="9" fillId="2" borderId="0" xfId="0" applyFont="1" applyFill="1" applyBorder="1"/>
    <xf numFmtId="0" fontId="10" fillId="2" borderId="4" xfId="0" applyFont="1" applyFill="1" applyBorder="1" applyAlignment="1">
      <alignment horizontal="right" wrapText="1"/>
    </xf>
    <xf numFmtId="0" fontId="10" fillId="0" borderId="0" xfId="0" applyFont="1" applyFill="1" applyBorder="1" applyAlignment="1">
      <alignment horizontal="center" wrapText="1"/>
    </xf>
    <xf numFmtId="0" fontId="9" fillId="0" borderId="0" xfId="0" applyFont="1" applyFill="1" applyBorder="1" applyAlignment="1">
      <alignment wrapText="1"/>
    </xf>
    <xf numFmtId="7" fontId="9" fillId="2" borderId="0" xfId="0" applyNumberFormat="1" applyFont="1" applyFill="1" applyBorder="1" applyAlignment="1">
      <alignment horizontal="right" wrapText="1"/>
    </xf>
    <xf numFmtId="5" fontId="9" fillId="0" borderId="0" xfId="0" applyNumberFormat="1" applyFont="1" applyFill="1" applyBorder="1" applyAlignment="1"/>
    <xf numFmtId="5" fontId="9" fillId="0" borderId="0" xfId="0" applyNumberFormat="1" applyFont="1" applyFill="1" applyBorder="1"/>
    <xf numFmtId="5" fontId="9" fillId="0" borderId="0" xfId="0" applyNumberFormat="1" applyFont="1" applyBorder="1" applyAlignment="1"/>
    <xf numFmtId="0" fontId="9" fillId="2" borderId="0" xfId="0" applyFont="1" applyFill="1"/>
    <xf numFmtId="7" fontId="9" fillId="0" borderId="0" xfId="0" applyNumberFormat="1" applyFont="1"/>
    <xf numFmtId="5" fontId="9" fillId="0" borderId="0" xfId="0" applyNumberFormat="1" applyFont="1"/>
    <xf numFmtId="49" fontId="9" fillId="0" borderId="0" xfId="0" applyNumberFormat="1" applyFont="1"/>
    <xf numFmtId="164" fontId="9" fillId="0" borderId="0" xfId="0" applyNumberFormat="1" applyFont="1"/>
    <xf numFmtId="0" fontId="13" fillId="0" borderId="0" xfId="0" applyFont="1" applyFill="1" applyBorder="1" applyAlignment="1">
      <alignment horizontal="center" wrapText="1"/>
    </xf>
    <xf numFmtId="164" fontId="9" fillId="0" borderId="0" xfId="0" applyNumberFormat="1" applyFont="1" applyBorder="1"/>
    <xf numFmtId="14" fontId="7" fillId="0" borderId="0" xfId="0" applyNumberFormat="1" applyFont="1" applyAlignment="1">
      <alignment horizontal="left" indent="2"/>
    </xf>
    <xf numFmtId="7" fontId="9" fillId="2" borderId="5" xfId="0" applyNumberFormat="1" applyFont="1" applyFill="1" applyBorder="1" applyAlignment="1">
      <alignment horizontal="right" wrapText="1" indent="1"/>
    </xf>
    <xf numFmtId="0" fontId="10" fillId="2" borderId="1" xfId="0" applyFont="1" applyFill="1" applyBorder="1" applyAlignment="1">
      <alignment horizontal="right" wrapText="1" indent="1"/>
    </xf>
    <xf numFmtId="0" fontId="10" fillId="2" borderId="2" xfId="0" applyFont="1" applyFill="1" applyBorder="1" applyAlignment="1">
      <alignment horizontal="right" wrapText="1" indent="1"/>
    </xf>
    <xf numFmtId="7" fontId="9" fillId="2" borderId="0" xfId="0" applyNumberFormat="1" applyFont="1" applyFill="1" applyBorder="1" applyAlignment="1">
      <alignment horizontal="center" wrapText="1"/>
    </xf>
    <xf numFmtId="0" fontId="10" fillId="0" borderId="0" xfId="0" applyFont="1" applyFill="1" applyBorder="1" applyAlignment="1">
      <alignment wrapText="1"/>
    </xf>
    <xf numFmtId="7" fontId="9" fillId="0" borderId="5" xfId="0" applyNumberFormat="1" applyFont="1" applyFill="1" applyBorder="1" applyAlignment="1">
      <alignment horizontal="right" wrapText="1" indent="1"/>
    </xf>
    <xf numFmtId="5" fontId="14" fillId="0" borderId="0" xfId="0" applyNumberFormat="1" applyFont="1" applyBorder="1" applyAlignment="1">
      <alignment horizontal="right"/>
    </xf>
    <xf numFmtId="5" fontId="10" fillId="0" borderId="0" xfId="0" quotePrefix="1" applyNumberFormat="1" applyFont="1" applyBorder="1" applyAlignment="1">
      <alignment horizontal="right"/>
    </xf>
    <xf numFmtId="0" fontId="15" fillId="0" borderId="0" xfId="0" applyFont="1"/>
    <xf numFmtId="0" fontId="15" fillId="2" borderId="1" xfId="0" applyFont="1" applyFill="1" applyBorder="1" applyAlignment="1">
      <alignment horizontal="right" wrapText="1"/>
    </xf>
    <xf numFmtId="0" fontId="15" fillId="2" borderId="1" xfId="0" applyFont="1" applyFill="1" applyBorder="1" applyAlignment="1">
      <alignment horizontal="right" wrapText="1" indent="1"/>
    </xf>
    <xf numFmtId="0" fontId="15" fillId="2" borderId="2" xfId="0" applyFont="1" applyFill="1" applyBorder="1" applyAlignment="1">
      <alignment horizontal="right" wrapText="1" indent="1"/>
    </xf>
    <xf numFmtId="0" fontId="15" fillId="2" borderId="4" xfId="0" applyFont="1" applyFill="1" applyBorder="1" applyAlignment="1">
      <alignment horizontal="right" wrapText="1" indent="1"/>
    </xf>
    <xf numFmtId="7" fontId="17" fillId="2" borderId="0" xfId="0" applyNumberFormat="1" applyFont="1" applyFill="1" applyBorder="1" applyAlignment="1">
      <alignment horizontal="right" wrapText="1"/>
    </xf>
    <xf numFmtId="0" fontId="9" fillId="3" borderId="0" xfId="0" applyFont="1" applyFill="1"/>
    <xf numFmtId="0" fontId="9" fillId="3" borderId="0" xfId="0" applyFont="1" applyFill="1" applyBorder="1"/>
    <xf numFmtId="49" fontId="17" fillId="3" borderId="0" xfId="0" applyNumberFormat="1" applyFont="1" applyFill="1" applyAlignment="1">
      <alignment horizontal="center"/>
    </xf>
    <xf numFmtId="7" fontId="17" fillId="3" borderId="5" xfId="0" applyNumberFormat="1" applyFont="1" applyFill="1" applyBorder="1" applyAlignment="1">
      <alignment horizontal="right" wrapText="1" indent="1"/>
    </xf>
    <xf numFmtId="49" fontId="17" fillId="3" borderId="0" xfId="0" applyNumberFormat="1" applyFont="1" applyFill="1" applyBorder="1" applyAlignment="1">
      <alignment horizontal="center"/>
    </xf>
    <xf numFmtId="7" fontId="17" fillId="3" borderId="0" xfId="0" applyNumberFormat="1" applyFont="1" applyFill="1" applyBorder="1" applyAlignment="1">
      <alignment horizontal="right" wrapText="1" indent="1"/>
    </xf>
    <xf numFmtId="5" fontId="9" fillId="2" borderId="0" xfId="0" applyNumberFormat="1" applyFont="1" applyFill="1" applyBorder="1" applyAlignment="1">
      <alignment horizontal="right" wrapText="1"/>
    </xf>
    <xf numFmtId="0" fontId="15" fillId="2" borderId="4" xfId="0" applyFont="1" applyFill="1" applyBorder="1" applyAlignment="1">
      <alignment horizontal="right" wrapText="1"/>
    </xf>
    <xf numFmtId="0" fontId="15" fillId="2" borderId="2" xfId="0" applyFont="1" applyFill="1" applyBorder="1" applyAlignment="1">
      <alignment horizontal="right" wrapText="1"/>
    </xf>
    <xf numFmtId="5" fontId="9" fillId="4" borderId="0" xfId="0" applyNumberFormat="1" applyFont="1" applyFill="1" applyBorder="1" applyAlignment="1">
      <alignment horizontal="right" wrapText="1"/>
    </xf>
    <xf numFmtId="7" fontId="9" fillId="4" borderId="5" xfId="0" applyNumberFormat="1" applyFont="1" applyFill="1" applyBorder="1" applyAlignment="1">
      <alignment horizontal="right" wrapText="1" indent="1"/>
    </xf>
    <xf numFmtId="7" fontId="9" fillId="0" borderId="6" xfId="0" applyNumberFormat="1" applyFont="1" applyFill="1" applyBorder="1" applyAlignment="1">
      <alignment horizontal="right" wrapText="1" indent="1"/>
    </xf>
    <xf numFmtId="7" fontId="9" fillId="4" borderId="6" xfId="0" applyNumberFormat="1" applyFont="1" applyFill="1" applyBorder="1" applyAlignment="1">
      <alignment horizontal="right" wrapText="1" indent="1"/>
    </xf>
    <xf numFmtId="7" fontId="20" fillId="2" borderId="5" xfId="0" applyNumberFormat="1" applyFont="1" applyFill="1" applyBorder="1" applyAlignment="1">
      <alignment horizontal="right" wrapText="1" indent="1"/>
    </xf>
    <xf numFmtId="49" fontId="20" fillId="2" borderId="4" xfId="0" applyNumberFormat="1" applyFont="1" applyFill="1" applyBorder="1" applyAlignment="1">
      <alignment horizontal="center"/>
    </xf>
    <xf numFmtId="5" fontId="20" fillId="2" borderId="4" xfId="0" applyNumberFormat="1" applyFont="1" applyFill="1" applyBorder="1" applyAlignment="1">
      <alignment horizontal="right" wrapText="1"/>
    </xf>
    <xf numFmtId="7" fontId="20" fillId="2" borderId="7" xfId="0" applyNumberFormat="1" applyFont="1" applyFill="1" applyBorder="1" applyAlignment="1">
      <alignment horizontal="right" wrapText="1" indent="1"/>
    </xf>
    <xf numFmtId="7" fontId="20" fillId="2" borderId="4" xfId="0" applyNumberFormat="1" applyFont="1" applyFill="1" applyBorder="1" applyAlignment="1">
      <alignment horizontal="right" wrapText="1" indent="1"/>
    </xf>
    <xf numFmtId="49" fontId="20" fillId="2" borderId="0" xfId="0" applyNumberFormat="1" applyFont="1" applyFill="1" applyBorder="1" applyAlignment="1">
      <alignment horizontal="center"/>
    </xf>
    <xf numFmtId="5" fontId="20" fillId="2" borderId="0" xfId="0" applyNumberFormat="1" applyFont="1" applyFill="1" applyBorder="1" applyAlignment="1">
      <alignment horizontal="right" wrapText="1"/>
    </xf>
    <xf numFmtId="7" fontId="20" fillId="2" borderId="0" xfId="0" applyNumberFormat="1" applyFont="1" applyFill="1" applyBorder="1" applyAlignment="1">
      <alignment horizontal="right" wrapText="1" indent="1"/>
    </xf>
    <xf numFmtId="0" fontId="11" fillId="2" borderId="0" xfId="0" applyFont="1" applyFill="1" applyBorder="1" applyAlignment="1">
      <alignment vertical="top" wrapText="1"/>
    </xf>
    <xf numFmtId="0" fontId="11" fillId="2" borderId="0" xfId="0" applyFont="1" applyFill="1" applyBorder="1" applyAlignment="1">
      <alignment vertical="top"/>
    </xf>
    <xf numFmtId="0" fontId="11" fillId="2" borderId="0" xfId="0" applyFont="1" applyFill="1" applyBorder="1" applyAlignment="1">
      <alignment horizontal="left" vertical="top" wrapText="1"/>
    </xf>
    <xf numFmtId="0" fontId="18" fillId="0" borderId="0" xfId="0" applyFont="1" applyAlignment="1">
      <alignment horizontal="left"/>
    </xf>
    <xf numFmtId="0" fontId="10" fillId="0" borderId="0" xfId="0" applyFont="1" applyFill="1" applyBorder="1" applyAlignment="1">
      <alignment horizontal="center" wrapText="1"/>
    </xf>
    <xf numFmtId="0" fontId="15" fillId="2" borderId="4" xfId="0" applyFont="1" applyFill="1" applyBorder="1" applyAlignment="1">
      <alignment horizontal="center" wrapText="1"/>
    </xf>
    <xf numFmtId="0" fontId="17" fillId="3" borderId="0" xfId="0" applyNumberFormat="1" applyFont="1" applyFill="1" applyAlignment="1">
      <alignment horizontal="center"/>
    </xf>
    <xf numFmtId="0" fontId="17" fillId="3" borderId="0" xfId="0" applyNumberFormat="1" applyFont="1" applyFill="1" applyBorder="1" applyAlignment="1">
      <alignment horizontal="center"/>
    </xf>
    <xf numFmtId="7" fontId="9" fillId="4" borderId="0" xfId="0" applyNumberFormat="1" applyFont="1" applyFill="1" applyBorder="1" applyAlignment="1">
      <alignment horizontal="right" wrapText="1" indent="1"/>
    </xf>
    <xf numFmtId="0" fontId="8" fillId="0" borderId="0" xfId="0" applyFont="1" applyAlignment="1">
      <alignment horizontal="left" wrapText="1"/>
    </xf>
    <xf numFmtId="0" fontId="15" fillId="2" borderId="1" xfId="0" applyFont="1" applyFill="1" applyBorder="1" applyAlignment="1">
      <alignment horizontal="center" wrapText="1"/>
    </xf>
    <xf numFmtId="0" fontId="15" fillId="2" borderId="4" xfId="0" applyFont="1" applyFill="1" applyBorder="1" applyAlignment="1">
      <alignment horizontal="center" wrapText="1"/>
    </xf>
    <xf numFmtId="0" fontId="10" fillId="0" borderId="0" xfId="0" applyFont="1" applyFill="1" applyBorder="1" applyAlignment="1">
      <alignment horizontal="center" wrapText="1"/>
    </xf>
    <xf numFmtId="0" fontId="10" fillId="3" borderId="1" xfId="0" applyFont="1" applyFill="1" applyBorder="1" applyAlignment="1">
      <alignment horizontal="center" wrapText="1"/>
    </xf>
    <xf numFmtId="1" fontId="10" fillId="0" borderId="0" xfId="0" applyNumberFormat="1" applyFont="1" applyFill="1" applyBorder="1" applyAlignment="1">
      <alignment horizontal="center" wrapText="1"/>
    </xf>
    <xf numFmtId="0" fontId="19" fillId="0" borderId="0" xfId="0" applyFont="1" applyAlignment="1">
      <alignment horizontal="center"/>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2" borderId="0" xfId="0" applyFont="1" applyFill="1" applyBorder="1" applyAlignment="1">
      <alignment vertical="top" wrapText="1"/>
    </xf>
    <xf numFmtId="0" fontId="21" fillId="0" borderId="8" xfId="0" applyFont="1" applyFill="1" applyBorder="1" applyAlignment="1">
      <alignment horizontal="left" wrapText="1"/>
    </xf>
    <xf numFmtId="7" fontId="9" fillId="3" borderId="0" xfId="0" applyNumberFormat="1" applyFont="1" applyFill="1" applyBorder="1" applyAlignment="1">
      <alignment horizontal="center" wrapText="1"/>
    </xf>
    <xf numFmtId="0" fontId="18" fillId="0" borderId="0" xfId="0" applyFont="1" applyAlignment="1">
      <alignment horizontal="left"/>
    </xf>
    <xf numFmtId="0" fontId="11" fillId="2" borderId="0" xfId="0" applyFont="1" applyFill="1" applyBorder="1" applyAlignment="1">
      <alignment vertical="top"/>
    </xf>
    <xf numFmtId="0" fontId="11" fillId="2" borderId="0" xfId="0" applyFont="1" applyFill="1" applyBorder="1" applyAlignment="1">
      <alignment horizontal="left" vertical="top" wrapText="1"/>
    </xf>
    <xf numFmtId="0" fontId="3" fillId="0" borderId="0" xfId="0" applyFont="1" applyFill="1" applyBorder="1" applyAlignment="1">
      <alignment horizontal="center" wrapText="1"/>
    </xf>
    <xf numFmtId="0" fontId="5" fillId="2" borderId="0" xfId="0" applyFont="1" applyFill="1" applyBorder="1" applyAlignment="1">
      <alignment vertical="top"/>
    </xf>
    <xf numFmtId="0" fontId="3" fillId="0" borderId="0" xfId="0" applyFont="1" applyFill="1" applyBorder="1" applyAlignment="1">
      <alignment horizontal="center"/>
    </xf>
    <xf numFmtId="1" fontId="3" fillId="0" borderId="0" xfId="0" applyNumberFormat="1" applyFont="1" applyFill="1" applyBorder="1" applyAlignment="1">
      <alignment horizontal="center" wrapText="1"/>
    </xf>
    <xf numFmtId="0" fontId="4" fillId="2" borderId="0" xfId="0" applyFont="1" applyFill="1" applyBorder="1" applyAlignment="1">
      <alignment vertical="top"/>
    </xf>
    <xf numFmtId="0" fontId="5" fillId="2" borderId="0" xfId="0" applyFont="1" applyFill="1" applyBorder="1" applyAlignment="1">
      <alignment horizontal="left" vertical="top" wrapText="1"/>
    </xf>
    <xf numFmtId="0" fontId="3" fillId="2" borderId="0" xfId="0" applyFont="1" applyFill="1" applyBorder="1" applyAlignment="1">
      <alignment horizontal="center" wrapText="1"/>
    </xf>
    <xf numFmtId="0" fontId="3" fillId="2" borderId="4" xfId="0" applyFont="1" applyFill="1" applyBorder="1" applyAlignment="1">
      <alignment horizontal="center" wrapText="1"/>
    </xf>
    <xf numFmtId="14" fontId="7" fillId="0" borderId="0" xfId="0" applyNumberFormat="1" applyFont="1" applyAlignment="1">
      <alignment horizontal="left" indent="3"/>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83731301879953E-2"/>
          <c:y val="0.10679624307427939"/>
          <c:w val="0.88318360611427638"/>
          <c:h val="0.80825338508488642"/>
        </c:manualLayout>
      </c:layout>
      <c:lineChart>
        <c:grouping val="standard"/>
        <c:varyColors val="0"/>
        <c:ser>
          <c:idx val="0"/>
          <c:order val="0"/>
          <c:tx>
            <c:v>TANF</c:v>
          </c:tx>
          <c:spPr>
            <a:ln w="25400">
              <a:solidFill>
                <a:srgbClr val="00B050"/>
              </a:solidFill>
              <a:prstDash val="solid"/>
            </a:ln>
          </c:spPr>
          <c:marker>
            <c:symbol val="none"/>
          </c:marker>
          <c:dLbls>
            <c:dLbl>
              <c:idx val="2"/>
              <c:layout>
                <c:manualLayout>
                  <c:x val="5.2162971498481425E-2"/>
                  <c:y val="1.7225492444512398E-2"/>
                </c:manualLayout>
              </c:layout>
              <c:spPr>
                <a:noFill/>
                <a:ln w="25400">
                  <a:noFill/>
                </a:ln>
              </c:spPr>
              <c:txPr>
                <a:bodyPr/>
                <a:lstStyle/>
                <a:p>
                  <a:pPr>
                    <a:defRPr sz="1000" b="0" i="0" u="none" strike="noStrike" baseline="0">
                      <a:solidFill>
                        <a:srgbClr val="000000"/>
                      </a:solidFill>
                      <a:latin typeface="Franklin Gothic Medium" panose="020B0603020102020204" pitchFamily="34" charset="0"/>
                      <a:ea typeface="Verdana"/>
                      <a:cs typeface="Verdana"/>
                    </a:defRPr>
                  </a:pPr>
                  <a:endParaRPr lang="en-US"/>
                </a:p>
              </c:txPr>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091B-4CA6-A25F-427D9BFFD8DA}"/>
                </c:ext>
              </c:extLst>
            </c:dLbl>
            <c:spPr>
              <a:noFill/>
              <a:ln>
                <a:noFill/>
              </a:ln>
              <a:effectLst/>
            </c:spPr>
            <c:txPr>
              <a:bodyPr/>
              <a:lstStyle/>
              <a:p>
                <a:pPr>
                  <a:defRPr sz="1000" baseline="0">
                    <a:latin typeface="Franklin Gothic Book" panose="020B05030201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'Excel Online'!$C$24:$C$48</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'Excel Online'!$J$24:$J$48</c:f>
              <c:numCache>
                <c:formatCode>"$"#,##0.00_);\("$"#,##0.00\)</c:formatCode>
                <c:ptCount val="25"/>
                <c:pt idx="0">
                  <c:v>1.173457</c:v>
                </c:pt>
                <c:pt idx="1">
                  <c:v>1.0897559999999999</c:v>
                </c:pt>
                <c:pt idx="2">
                  <c:v>0.92441099999999987</c:v>
                </c:pt>
                <c:pt idx="3">
                  <c:v>0.65067200000000003</c:v>
                </c:pt>
                <c:pt idx="4">
                  <c:v>0.49467000000000005</c:v>
                </c:pt>
                <c:pt idx="5">
                  <c:v>0.341279</c:v>
                </c:pt>
                <c:pt idx="6">
                  <c:v>0.37939600000000001</c:v>
                </c:pt>
                <c:pt idx="7">
                  <c:v>0.78985286999999993</c:v>
                </c:pt>
                <c:pt idx="8">
                  <c:v>0.69380399999999998</c:v>
                </c:pt>
                <c:pt idx="9">
                  <c:v>0.64775899999999997</c:v>
                </c:pt>
                <c:pt idx="10">
                  <c:v>0.53033600000000003</c:v>
                </c:pt>
                <c:pt idx="11">
                  <c:v>0.590499</c:v>
                </c:pt>
                <c:pt idx="12">
                  <c:v>0.59229203000000008</c:v>
                </c:pt>
                <c:pt idx="13">
                  <c:v>0.52</c:v>
                </c:pt>
                <c:pt idx="14">
                  <c:v>0.44543329999999998</c:v>
                </c:pt>
                <c:pt idx="15">
                  <c:v>0.47423878000000003</c:v>
                </c:pt>
                <c:pt idx="16">
                  <c:v>0.44674365000000005</c:v>
                </c:pt>
                <c:pt idx="17">
                  <c:v>0.38141479</c:v>
                </c:pt>
                <c:pt idx="18">
                  <c:v>0.34404401000000001</c:v>
                </c:pt>
                <c:pt idx="19">
                  <c:v>0.31814611999999998</c:v>
                </c:pt>
                <c:pt idx="20">
                  <c:v>0.29592000000000002</c:v>
                </c:pt>
                <c:pt idx="21">
                  <c:v>0.15269099999999999</c:v>
                </c:pt>
                <c:pt idx="22">
                  <c:v>9.1807029999999998E-2</c:v>
                </c:pt>
                <c:pt idx="23">
                  <c:v>7.1519350000000009E-2</c:v>
                </c:pt>
                <c:pt idx="24">
                  <c:v>5.9975580000000001E-2</c:v>
                </c:pt>
              </c:numCache>
            </c:numRef>
          </c:val>
          <c:smooth val="0"/>
          <c:extLst>
            <c:ext xmlns:c16="http://schemas.microsoft.com/office/drawing/2014/chart" uri="{C3380CC4-5D6E-409C-BE32-E72D297353CC}">
              <c16:uniqueId val="{00000001-091B-4CA6-A25F-427D9BFFD8DA}"/>
            </c:ext>
          </c:extLst>
        </c:ser>
        <c:ser>
          <c:idx val="1"/>
          <c:order val="1"/>
          <c:tx>
            <c:strRef>
              <c:f>'Excel Online'!$K$23</c:f>
              <c:strCache>
                <c:ptCount val="1"/>
                <c:pt idx="0">
                  <c:v>SNAP</c:v>
                </c:pt>
              </c:strCache>
            </c:strRef>
          </c:tx>
          <c:spPr>
            <a:ln w="25400">
              <a:solidFill>
                <a:srgbClr val="00B0F0"/>
              </a:solidFill>
              <a:prstDash val="solid"/>
            </a:ln>
          </c:spPr>
          <c:marker>
            <c:symbol val="none"/>
          </c:marker>
          <c:dLbls>
            <c:dLbl>
              <c:idx val="3"/>
              <c:layout>
                <c:manualLayout>
                  <c:x val="1.0806819879222381E-2"/>
                  <c:y val="-4.836047193129997E-2"/>
                </c:manualLayout>
              </c:layout>
              <c:spPr>
                <a:noFill/>
                <a:ln w="25400">
                  <a:noFill/>
                </a:ln>
              </c:spPr>
              <c:txPr>
                <a:bodyPr/>
                <a:lstStyle/>
                <a:p>
                  <a:pPr>
                    <a:defRPr sz="1000" b="0" i="0" u="none" strike="noStrike" baseline="0">
                      <a:solidFill>
                        <a:srgbClr val="000000"/>
                      </a:solidFill>
                      <a:latin typeface="Franklin Gothic Medium" panose="020B0603020102020204" pitchFamily="34" charset="0"/>
                      <a:ea typeface="Verdana"/>
                      <a:cs typeface="Verdana"/>
                    </a:defRPr>
                  </a:pPr>
                  <a:endParaRPr lang="en-US"/>
                </a:p>
              </c:txPr>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091B-4CA6-A25F-427D9BFFD8DA}"/>
                </c:ext>
              </c:extLst>
            </c:dLbl>
            <c:spPr>
              <a:noFill/>
              <a:ln>
                <a:noFill/>
              </a:ln>
              <a:effectLst/>
            </c:spPr>
            <c:txPr>
              <a:bodyPr/>
              <a:lstStyle/>
              <a:p>
                <a:pPr>
                  <a:defRPr sz="1000">
                    <a:latin typeface="Franklin Gothic Book" panose="020B05030201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'Excel Online'!$C$24:$C$48</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'Excel Online'!$K$24:$K$48</c:f>
              <c:numCache>
                <c:formatCode>"$"#,##0.00_);\("$"#,##0.00\)</c:formatCode>
                <c:ptCount val="25"/>
                <c:pt idx="0">
                  <c:v>0.91925199999999996</c:v>
                </c:pt>
                <c:pt idx="1">
                  <c:v>1.9527190000000001</c:v>
                </c:pt>
                <c:pt idx="2">
                  <c:v>2.3614090000000001</c:v>
                </c:pt>
                <c:pt idx="3">
                  <c:v>2.2117640000000001</c:v>
                </c:pt>
                <c:pt idx="4">
                  <c:v>2.3200700000000003</c:v>
                </c:pt>
                <c:pt idx="5">
                  <c:v>2.4689120199999999</c:v>
                </c:pt>
                <c:pt idx="6">
                  <c:v>2.5973120000000001</c:v>
                </c:pt>
                <c:pt idx="7">
                  <c:v>2.7041439700000001</c:v>
                </c:pt>
                <c:pt idx="8">
                  <c:v>2.7056430000000002</c:v>
                </c:pt>
                <c:pt idx="9">
                  <c:v>2.6560329999999999</c:v>
                </c:pt>
                <c:pt idx="10">
                  <c:v>2.3911320000000003</c:v>
                </c:pt>
                <c:pt idx="11">
                  <c:v>2.5708613200000001</c:v>
                </c:pt>
                <c:pt idx="12">
                  <c:v>2.8005722</c:v>
                </c:pt>
                <c:pt idx="13">
                  <c:v>3.33</c:v>
                </c:pt>
                <c:pt idx="14">
                  <c:v>3.6110691399999997</c:v>
                </c:pt>
                <c:pt idx="15">
                  <c:v>4.1356877800000005</c:v>
                </c:pt>
                <c:pt idx="16">
                  <c:v>4.8758394999999997</c:v>
                </c:pt>
                <c:pt idx="17">
                  <c:v>4.9301140700000001</c:v>
                </c:pt>
                <c:pt idx="18">
                  <c:v>5.2347718699999994</c:v>
                </c:pt>
                <c:pt idx="19">
                  <c:v>5.2579326500000008</c:v>
                </c:pt>
                <c:pt idx="20">
                  <c:v>5.2022957700000001</c:v>
                </c:pt>
                <c:pt idx="21">
                  <c:v>4.4551420200000003</c:v>
                </c:pt>
                <c:pt idx="22">
                  <c:v>5.1591416500000005</c:v>
                </c:pt>
                <c:pt idx="23">
                  <c:v>5.2744297200000005</c:v>
                </c:pt>
                <c:pt idx="24">
                  <c:v>4.4007711999999994</c:v>
                </c:pt>
              </c:numCache>
            </c:numRef>
          </c:val>
          <c:smooth val="0"/>
          <c:extLst>
            <c:ext xmlns:c16="http://schemas.microsoft.com/office/drawing/2014/chart" uri="{C3380CC4-5D6E-409C-BE32-E72D297353CC}">
              <c16:uniqueId val="{00000003-091B-4CA6-A25F-427D9BFFD8DA}"/>
            </c:ext>
          </c:extLst>
        </c:ser>
        <c:dLbls>
          <c:showLegendKey val="0"/>
          <c:showVal val="0"/>
          <c:showCatName val="0"/>
          <c:showSerName val="0"/>
          <c:showPercent val="0"/>
          <c:showBubbleSize val="0"/>
        </c:dLbls>
        <c:smooth val="0"/>
        <c:axId val="126414208"/>
        <c:axId val="119714944"/>
      </c:lineChart>
      <c:catAx>
        <c:axId val="126414208"/>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ranklin Gothic Medium" panose="020B0603020102020204" pitchFamily="34" charset="0"/>
                <a:ea typeface="Verdana"/>
                <a:cs typeface="Verdana"/>
              </a:defRPr>
            </a:pPr>
            <a:endParaRPr lang="en-US"/>
          </a:p>
        </c:txPr>
        <c:crossAx val="119714944"/>
        <c:crosses val="autoZero"/>
        <c:auto val="1"/>
        <c:lblAlgn val="ctr"/>
        <c:lblOffset val="100"/>
        <c:tickLblSkip val="2"/>
        <c:tickMarkSkip val="1"/>
        <c:noMultiLvlLbl val="0"/>
      </c:catAx>
      <c:valAx>
        <c:axId val="119714944"/>
        <c:scaling>
          <c:orientation val="minMax"/>
        </c:scaling>
        <c:delete val="0"/>
        <c:axPos val="l"/>
        <c:majorGridlines>
          <c:spPr>
            <a:ln w="3175">
              <a:solidFill>
                <a:srgbClr val="000000">
                  <a:alpha val="35000"/>
                </a:srgbClr>
              </a:solidFill>
              <a:prstDash val="solid"/>
            </a:ln>
          </c:spPr>
        </c:majorGridlines>
        <c:title>
          <c:tx>
            <c:rich>
              <a:bodyPr/>
              <a:lstStyle/>
              <a:p>
                <a:pPr>
                  <a:defRPr sz="1000" b="0" i="0" u="none" strike="noStrike" baseline="0">
                    <a:solidFill>
                      <a:srgbClr val="000000"/>
                    </a:solidFill>
                    <a:latin typeface="Franklin Gothic Medium" pitchFamily="34" charset="0"/>
                    <a:ea typeface="Verdana"/>
                    <a:cs typeface="Verdana"/>
                  </a:defRPr>
                </a:pPr>
                <a:r>
                  <a:rPr lang="en-US" sz="1000" b="0" i="0" baseline="0">
                    <a:latin typeface="Franklin Gothic Medium" pitchFamily="34" charset="0"/>
                  </a:rPr>
                  <a:t>$ millions</a:t>
                </a:r>
              </a:p>
            </c:rich>
          </c:tx>
          <c:layout>
            <c:manualLayout>
              <c:xMode val="edge"/>
              <c:yMode val="edge"/>
              <c:x val="1.3813079190343931E-3"/>
              <c:y val="0.436084652039854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ranklin Gothic Book" pitchFamily="34" charset="0"/>
                <a:ea typeface="Verdana"/>
                <a:cs typeface="Verdana"/>
              </a:defRPr>
            </a:pPr>
            <a:endParaRPr lang="en-US"/>
          </a:p>
        </c:txPr>
        <c:crossAx val="126414208"/>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Verdana"/>
          <a:ea typeface="Verdana"/>
          <a:cs typeface="Verdana"/>
        </a:defRPr>
      </a:pPr>
      <a:endParaRPr lang="en-US"/>
    </a:p>
  </c:txPr>
  <c:printSettings>
    <c:headerFooter alignWithMargins="0"/>
    <c:pageMargins b="1" l="0.75000000000000022" r="0.75000000000000022"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57458650042347"/>
          <c:y val="0.21379310344827596"/>
          <c:w val="0.82522857590218934"/>
          <c:h val="0.58620689655172409"/>
        </c:manualLayout>
      </c:layout>
      <c:lineChart>
        <c:grouping val="standard"/>
        <c:varyColors val="0"/>
        <c:ser>
          <c:idx val="0"/>
          <c:order val="0"/>
          <c:tx>
            <c:strRef>
              <c:f>'Collections-Format prior to 08'!$J$4</c:f>
              <c:strCache>
                <c:ptCount val="1"/>
                <c:pt idx="0">
                  <c:v>AFDC / TANF</c:v>
                </c:pt>
              </c:strCache>
            </c:strRef>
          </c:tx>
          <c:spPr>
            <a:ln w="12700">
              <a:solidFill>
                <a:srgbClr val="000000"/>
              </a:solidFill>
              <a:prstDash val="solid"/>
            </a:ln>
          </c:spPr>
          <c:marker>
            <c:symbol val="square"/>
            <c:size val="5"/>
            <c:spPr>
              <a:solidFill>
                <a:srgbClr val="000000"/>
              </a:solidFill>
              <a:ln>
                <a:solidFill>
                  <a:srgbClr val="000000"/>
                </a:solidFill>
                <a:prstDash val="solid"/>
              </a:ln>
            </c:spPr>
          </c:marker>
          <c:cat>
            <c:strRef>
              <c:f>'Collections-Format prior to 08'!$A$5:$A$16</c:f>
              <c:strCache>
                <c:ptCount val="12"/>
                <c:pt idx="0">
                  <c:v>1996</c:v>
                </c:pt>
                <c:pt idx="1">
                  <c:v>1997</c:v>
                </c:pt>
                <c:pt idx="2">
                  <c:v>1998</c:v>
                </c:pt>
                <c:pt idx="3">
                  <c:v>1999</c:v>
                </c:pt>
                <c:pt idx="4">
                  <c:v>2000</c:v>
                </c:pt>
                <c:pt idx="5">
                  <c:v>2001</c:v>
                </c:pt>
                <c:pt idx="6">
                  <c:v>2002</c:v>
                </c:pt>
                <c:pt idx="7">
                  <c:v>2003</c:v>
                </c:pt>
                <c:pt idx="8">
                  <c:v>2004</c:v>
                </c:pt>
                <c:pt idx="9">
                  <c:v>2005</c:v>
                </c:pt>
                <c:pt idx="10">
                  <c:v>2006</c:v>
                </c:pt>
                <c:pt idx="11">
                  <c:v>2007</c:v>
                </c:pt>
              </c:strCache>
            </c:strRef>
          </c:cat>
          <c:val>
            <c:numRef>
              <c:f>'Collections-Format prior to 08'!$J$5:$J$16</c:f>
              <c:numCache>
                <c:formatCode>"$"#,##0_);\("$"#,##0\)</c:formatCode>
                <c:ptCount val="12"/>
                <c:pt idx="0">
                  <c:v>1173457</c:v>
                </c:pt>
                <c:pt idx="1">
                  <c:v>1089756</c:v>
                </c:pt>
                <c:pt idx="2">
                  <c:v>924411</c:v>
                </c:pt>
                <c:pt idx="3">
                  <c:v>650672</c:v>
                </c:pt>
                <c:pt idx="4">
                  <c:v>494670</c:v>
                </c:pt>
                <c:pt idx="5">
                  <c:v>341279</c:v>
                </c:pt>
                <c:pt idx="6">
                  <c:v>379396</c:v>
                </c:pt>
                <c:pt idx="7">
                  <c:v>789852.87</c:v>
                </c:pt>
                <c:pt idx="8">
                  <c:v>693804</c:v>
                </c:pt>
                <c:pt idx="9">
                  <c:v>647759</c:v>
                </c:pt>
                <c:pt idx="10">
                  <c:v>530336</c:v>
                </c:pt>
                <c:pt idx="11">
                  <c:v>590499</c:v>
                </c:pt>
              </c:numCache>
            </c:numRef>
          </c:val>
          <c:smooth val="0"/>
          <c:extLst>
            <c:ext xmlns:c16="http://schemas.microsoft.com/office/drawing/2014/chart" uri="{C3380CC4-5D6E-409C-BE32-E72D297353CC}">
              <c16:uniqueId val="{00000000-4E0B-4B57-B531-B94021A158D0}"/>
            </c:ext>
          </c:extLst>
        </c:ser>
        <c:ser>
          <c:idx val="1"/>
          <c:order val="1"/>
          <c:tx>
            <c:strRef>
              <c:f>'Collections-Format prior to 08'!$K$4</c:f>
              <c:strCache>
                <c:ptCount val="1"/>
                <c:pt idx="0">
                  <c:v>Food  Stamp</c:v>
                </c:pt>
              </c:strCache>
            </c:strRef>
          </c:tx>
          <c:spPr>
            <a:ln w="12700">
              <a:solidFill>
                <a:srgbClr val="000000"/>
              </a:solidFill>
              <a:prstDash val="solid"/>
            </a:ln>
          </c:spPr>
          <c:marker>
            <c:symbol val="triangle"/>
            <c:size val="5"/>
            <c:spPr>
              <a:solidFill>
                <a:srgbClr val="000000"/>
              </a:solidFill>
              <a:ln>
                <a:solidFill>
                  <a:srgbClr val="000000"/>
                </a:solidFill>
                <a:prstDash val="solid"/>
              </a:ln>
            </c:spPr>
          </c:marker>
          <c:cat>
            <c:strRef>
              <c:f>'Collections-Format prior to 08'!$A$5:$A$16</c:f>
              <c:strCache>
                <c:ptCount val="12"/>
                <c:pt idx="0">
                  <c:v>1996</c:v>
                </c:pt>
                <c:pt idx="1">
                  <c:v>1997</c:v>
                </c:pt>
                <c:pt idx="2">
                  <c:v>1998</c:v>
                </c:pt>
                <c:pt idx="3">
                  <c:v>1999</c:v>
                </c:pt>
                <c:pt idx="4">
                  <c:v>2000</c:v>
                </c:pt>
                <c:pt idx="5">
                  <c:v>2001</c:v>
                </c:pt>
                <c:pt idx="6">
                  <c:v>2002</c:v>
                </c:pt>
                <c:pt idx="7">
                  <c:v>2003</c:v>
                </c:pt>
                <c:pt idx="8">
                  <c:v>2004</c:v>
                </c:pt>
                <c:pt idx="9">
                  <c:v>2005</c:v>
                </c:pt>
                <c:pt idx="10">
                  <c:v>2006</c:v>
                </c:pt>
                <c:pt idx="11">
                  <c:v>2007</c:v>
                </c:pt>
              </c:strCache>
            </c:strRef>
          </c:cat>
          <c:val>
            <c:numRef>
              <c:f>'Collections-Format prior to 08'!$K$5:$K$16</c:f>
              <c:numCache>
                <c:formatCode>"$"#,##0_);\("$"#,##0\)</c:formatCode>
                <c:ptCount val="12"/>
                <c:pt idx="0">
                  <c:v>919252</c:v>
                </c:pt>
                <c:pt idx="1">
                  <c:v>1952719</c:v>
                </c:pt>
                <c:pt idx="2">
                  <c:v>2361409</c:v>
                </c:pt>
                <c:pt idx="3">
                  <c:v>2211764</c:v>
                </c:pt>
                <c:pt idx="4">
                  <c:v>2320070</c:v>
                </c:pt>
                <c:pt idx="5">
                  <c:v>2468912.02</c:v>
                </c:pt>
                <c:pt idx="6">
                  <c:v>2597312</c:v>
                </c:pt>
                <c:pt idx="7">
                  <c:v>2704143.97</c:v>
                </c:pt>
                <c:pt idx="8">
                  <c:v>2705643</c:v>
                </c:pt>
                <c:pt idx="9">
                  <c:v>2656033</c:v>
                </c:pt>
                <c:pt idx="10">
                  <c:v>2391132</c:v>
                </c:pt>
                <c:pt idx="11">
                  <c:v>2570861.3199999998</c:v>
                </c:pt>
              </c:numCache>
            </c:numRef>
          </c:val>
          <c:smooth val="0"/>
          <c:extLst>
            <c:ext xmlns:c16="http://schemas.microsoft.com/office/drawing/2014/chart" uri="{C3380CC4-5D6E-409C-BE32-E72D297353CC}">
              <c16:uniqueId val="{00000001-4E0B-4B57-B531-B94021A158D0}"/>
            </c:ext>
          </c:extLst>
        </c:ser>
        <c:dLbls>
          <c:showLegendKey val="0"/>
          <c:showVal val="0"/>
          <c:showCatName val="0"/>
          <c:showSerName val="0"/>
          <c:showPercent val="0"/>
          <c:showBubbleSize val="0"/>
        </c:dLbls>
        <c:marker val="1"/>
        <c:smooth val="0"/>
        <c:axId val="119732480"/>
        <c:axId val="119755136"/>
      </c:lineChart>
      <c:catAx>
        <c:axId val="119732480"/>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9755136"/>
        <c:crosses val="autoZero"/>
        <c:auto val="1"/>
        <c:lblAlgn val="ctr"/>
        <c:lblOffset val="100"/>
        <c:tickLblSkip val="1"/>
        <c:tickMarkSkip val="1"/>
        <c:noMultiLvlLbl val="0"/>
      </c:catAx>
      <c:valAx>
        <c:axId val="119755136"/>
        <c:scaling>
          <c:orientation val="minMax"/>
        </c:scaling>
        <c:delete val="0"/>
        <c:axPos val="l"/>
        <c:majorGridlines>
          <c:spPr>
            <a:ln w="3175">
              <a:solidFill>
                <a:srgbClr val="000000"/>
              </a:solidFill>
              <a:prstDash val="solid"/>
            </a:ln>
          </c:spPr>
        </c:majorGridlines>
        <c:numFmt formatCode="&quot;$&quot;#,##0_);\(&quot;$&quot;#,##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9732480"/>
        <c:crosses val="autoZero"/>
        <c:crossBetween val="between"/>
      </c:valAx>
      <c:spPr>
        <a:solidFill>
          <a:srgbClr val="FFFFFF"/>
        </a:solidFill>
        <a:ln w="12700">
          <a:solidFill>
            <a:srgbClr val="808080"/>
          </a:solidFill>
          <a:prstDash val="solid"/>
        </a:ln>
      </c:spPr>
    </c:plotArea>
    <c:legend>
      <c:legendPos val="r"/>
      <c:layout>
        <c:manualLayout>
          <c:xMode val="edge"/>
          <c:yMode val="edge"/>
          <c:wMode val="edge"/>
          <c:hMode val="edge"/>
          <c:x val="0.34954439205737581"/>
          <c:y val="0.90689655172413797"/>
          <c:w val="0.68997024308131694"/>
          <c:h val="0.9758620689655173"/>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2</xdr:row>
      <xdr:rowOff>219075</xdr:rowOff>
    </xdr:from>
    <xdr:to>
      <xdr:col>11</xdr:col>
      <xdr:colOff>1190625</xdr:colOff>
      <xdr:row>20</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0.49827</cdr:x>
      <cdr:y>0.54757</cdr:y>
    </cdr:from>
    <cdr:to>
      <cdr:x>0.51504</cdr:x>
      <cdr:y>0.64515</cdr:y>
    </cdr:to>
    <cdr:sp macro="" textlink="">
      <cdr:nvSpPr>
        <cdr:cNvPr id="77825" name="Text Box 1"/>
        <cdr:cNvSpPr txBox="1">
          <a:spLocks xmlns:a="http://schemas.openxmlformats.org/drawingml/2006/main" noChangeArrowheads="1"/>
        </cdr:cNvSpPr>
      </cdr:nvSpPr>
      <cdr:spPr bwMode="auto">
        <a:xfrm xmlns:a="http://schemas.openxmlformats.org/drawingml/2006/main">
          <a:off x="3444069" y="2157218"/>
          <a:ext cx="115777" cy="38385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en-US" sz="1175" b="0" i="0" u="none" strike="noStrike" baseline="0">
              <a:solidFill>
                <a:srgbClr val="000000"/>
              </a:solidFill>
              <a:latin typeface="Verdana"/>
            </a:rPr>
            <a:t> </a:t>
          </a:r>
        </a:p>
      </cdr:txBody>
    </cdr:sp>
  </cdr:relSizeAnchor>
  <cdr:relSizeAnchor xmlns:cdr="http://schemas.openxmlformats.org/drawingml/2006/chartDrawing">
    <cdr:from>
      <cdr:x>0.09787</cdr:x>
      <cdr:y>0.01211</cdr:y>
    </cdr:from>
    <cdr:to>
      <cdr:x>0.96722</cdr:x>
      <cdr:y>0.0748</cdr:y>
    </cdr:to>
    <cdr:sp macro="" textlink="">
      <cdr:nvSpPr>
        <cdr:cNvPr id="77826" name="Text Box 2"/>
        <cdr:cNvSpPr txBox="1">
          <a:spLocks xmlns:a="http://schemas.openxmlformats.org/drawingml/2006/main" noChangeArrowheads="1"/>
        </cdr:cNvSpPr>
      </cdr:nvSpPr>
      <cdr:spPr bwMode="auto">
        <a:xfrm xmlns:a="http://schemas.openxmlformats.org/drawingml/2006/main">
          <a:off x="679057" y="50800"/>
          <a:ext cx="6003346" cy="24662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en-US" sz="1200" b="0" i="0" u="none" strike="noStrike" baseline="0">
              <a:solidFill>
                <a:srgbClr val="000000"/>
              </a:solidFill>
              <a:latin typeface="Franklin Gothic Medium" pitchFamily="34" charset="0"/>
            </a:rPr>
            <a:t>Total Collections</a:t>
          </a: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1</xdr:col>
      <xdr:colOff>47625</xdr:colOff>
      <xdr:row>21</xdr:row>
      <xdr:rowOff>114300</xdr:rowOff>
    </xdr:from>
    <xdr:to>
      <xdr:col>11</xdr:col>
      <xdr:colOff>390525</xdr:colOff>
      <xdr:row>38</xdr:row>
      <xdr:rowOff>123825</xdr:rowOff>
    </xdr:to>
    <xdr:graphicFrame macro="">
      <xdr:nvGraphicFramePr>
        <xdr:cNvPr id="110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0.49803</cdr:x>
      <cdr:y>0.54128</cdr:y>
    </cdr:from>
    <cdr:to>
      <cdr:x>0.51453</cdr:x>
      <cdr:y>0.6306</cdr:y>
    </cdr:to>
    <cdr:sp macro="" textlink="">
      <cdr:nvSpPr>
        <cdr:cNvPr id="3073" name="Text Box 1"/>
        <cdr:cNvSpPr txBox="1">
          <a:spLocks xmlns:a="http://schemas.openxmlformats.org/drawingml/2006/main" noChangeArrowheads="1"/>
        </cdr:cNvSpPr>
      </cdr:nvSpPr>
      <cdr:spPr bwMode="auto">
        <a:xfrm xmlns:a="http://schemas.openxmlformats.org/drawingml/2006/main">
          <a:off x="3129299" y="1503484"/>
          <a:ext cx="103544" cy="24757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en-US" sz="1175" b="0" i="0" u="none" strike="noStrike" baseline="0">
              <a:solidFill>
                <a:srgbClr val="000000"/>
              </a:solidFill>
              <a:latin typeface="Arial"/>
              <a:cs typeface="Arial"/>
            </a:rPr>
            <a:t> </a:t>
          </a:r>
        </a:p>
      </cdr:txBody>
    </cdr:sp>
  </cdr:relSizeAnchor>
  <cdr:relSizeAnchor xmlns:cdr="http://schemas.openxmlformats.org/drawingml/2006/chartDrawing">
    <cdr:from>
      <cdr:x>0.36434</cdr:x>
      <cdr:y>0.05846</cdr:y>
    </cdr:from>
    <cdr:to>
      <cdr:x>0.662</cdr:x>
      <cdr:y>0.15044</cdr:y>
    </cdr:to>
    <cdr:sp macro="" textlink="">
      <cdr:nvSpPr>
        <cdr:cNvPr id="3074" name="Text Box 2"/>
        <cdr:cNvSpPr txBox="1">
          <a:spLocks xmlns:a="http://schemas.openxmlformats.org/drawingml/2006/main" noChangeArrowheads="1"/>
        </cdr:cNvSpPr>
      </cdr:nvSpPr>
      <cdr:spPr bwMode="auto">
        <a:xfrm xmlns:a="http://schemas.openxmlformats.org/drawingml/2006/main">
          <a:off x="2290130" y="165221"/>
          <a:ext cx="1868426" cy="25493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US" sz="1200" b="1" i="0" u="none" strike="noStrike" baseline="0">
              <a:solidFill>
                <a:srgbClr val="000000"/>
              </a:solidFill>
              <a:latin typeface="Arial"/>
              <a:cs typeface="Arial"/>
            </a:rPr>
            <a:t>Total Collections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pane ySplit="1" topLeftCell="A8" activePane="bottomLeft" state="frozen"/>
      <selection pane="bottomLeft" activeCell="C26" sqref="C26"/>
    </sheetView>
  </sheetViews>
  <sheetFormatPr defaultRowHeight="12.75"/>
  <cols>
    <col min="1" max="1" width="10.5" style="75" customWidth="1"/>
    <col min="2" max="2" width="11" style="75" bestFit="1" customWidth="1"/>
    <col min="3" max="3" width="11.875" style="75" bestFit="1" customWidth="1"/>
    <col min="4" max="4" width="15.625" style="75" bestFit="1" customWidth="1"/>
    <col min="5" max="5" width="9.5" style="75" bestFit="1" customWidth="1"/>
    <col min="6" max="6" width="10.25" style="75" bestFit="1" customWidth="1"/>
    <col min="7" max="16384" width="9" style="75"/>
  </cols>
  <sheetData>
    <row r="1" spans="1:8" ht="16.5">
      <c r="A1" s="101" t="s">
        <v>77</v>
      </c>
      <c r="B1" s="70" t="s">
        <v>66</v>
      </c>
      <c r="C1" s="70" t="s">
        <v>67</v>
      </c>
      <c r="D1" s="83" t="s">
        <v>68</v>
      </c>
      <c r="E1" s="82" t="s">
        <v>69</v>
      </c>
      <c r="F1" s="82" t="s">
        <v>70</v>
      </c>
      <c r="H1" s="76"/>
    </row>
    <row r="2" spans="1:8" ht="12.95" customHeight="1">
      <c r="A2" s="77">
        <v>1996</v>
      </c>
      <c r="B2" s="78">
        <f>+'Fraud Collections'!B3/1000000</f>
        <v>0.24437</v>
      </c>
      <c r="C2" s="78">
        <f>+'Fraud Collections'!C3/1000000</f>
        <v>0.54801299999999997</v>
      </c>
      <c r="D2" s="78">
        <f>+'Fraud Collections'!D3/1000000</f>
        <v>0.12686900000000001</v>
      </c>
      <c r="E2" s="80">
        <f>+'Fraud Collections'!E3/1000000</f>
        <v>1.173457</v>
      </c>
      <c r="F2" s="80">
        <f t="shared" ref="F2:F22" si="0">+D2+C2+B2</f>
        <v>0.91925199999999996</v>
      </c>
      <c r="G2" s="76"/>
      <c r="H2" s="76"/>
    </row>
    <row r="3" spans="1:8" ht="12.95" customHeight="1">
      <c r="A3" s="102">
        <v>1997</v>
      </c>
      <c r="B3" s="78">
        <f>+'Fraud Collections'!B4/1000000</f>
        <v>0.71235999999999999</v>
      </c>
      <c r="C3" s="78">
        <f>+'Fraud Collections'!C4/1000000</f>
        <v>1.004675</v>
      </c>
      <c r="D3" s="78">
        <f>+'Fraud Collections'!D4/1000000</f>
        <v>0.235684</v>
      </c>
      <c r="E3" s="80">
        <f>+'Fraud Collections'!E4/1000000</f>
        <v>1.0897559999999999</v>
      </c>
      <c r="F3" s="80">
        <f t="shared" si="0"/>
        <v>1.9527190000000001</v>
      </c>
      <c r="H3" s="76"/>
    </row>
    <row r="4" spans="1:8" ht="12.95" customHeight="1">
      <c r="A4" s="102">
        <v>1998</v>
      </c>
      <c r="B4" s="78">
        <f>+'Fraud Collections'!B5/1000000</f>
        <v>0.84242099999999998</v>
      </c>
      <c r="C4" s="78">
        <f>+'Fraud Collections'!C5/1000000</f>
        <v>1.1621710000000001</v>
      </c>
      <c r="D4" s="78">
        <f>+'Fraud Collections'!D5/1000000</f>
        <v>0.356817</v>
      </c>
      <c r="E4" s="80">
        <f>+'Fraud Collections'!E5/1000000</f>
        <v>0.92441099999999998</v>
      </c>
      <c r="F4" s="80">
        <f t="shared" si="0"/>
        <v>2.3614090000000001</v>
      </c>
      <c r="H4" s="76"/>
    </row>
    <row r="5" spans="1:8" ht="12.95" customHeight="1">
      <c r="A5" s="102">
        <v>1999</v>
      </c>
      <c r="B5" s="78">
        <f>+'Fraud Collections'!B6/1000000</f>
        <v>0.82367500000000005</v>
      </c>
      <c r="C5" s="78">
        <f>+'Fraud Collections'!C6/1000000</f>
        <v>1.0020960000000001</v>
      </c>
      <c r="D5" s="78">
        <f>+'Fraud Collections'!D6/1000000</f>
        <v>0.38599299999999998</v>
      </c>
      <c r="E5" s="80">
        <f>+'Fraud Collections'!E6/1000000</f>
        <v>0.65067200000000003</v>
      </c>
      <c r="F5" s="80">
        <f t="shared" si="0"/>
        <v>2.2117640000000001</v>
      </c>
      <c r="H5" s="76"/>
    </row>
    <row r="6" spans="1:8" ht="12.95" customHeight="1">
      <c r="A6" s="102">
        <v>2000</v>
      </c>
      <c r="B6" s="78">
        <f>+'Fraud Collections'!B7/1000000</f>
        <v>0.892872</v>
      </c>
      <c r="C6" s="78">
        <f>+'Fraud Collections'!C7/1000000</f>
        <v>1.0388090000000001</v>
      </c>
      <c r="D6" s="78">
        <f>+'Fraud Collections'!D7/1000000</f>
        <v>0.38838899999999998</v>
      </c>
      <c r="E6" s="80">
        <f>+'Fraud Collections'!E7/1000000</f>
        <v>0.49467</v>
      </c>
      <c r="F6" s="80">
        <f t="shared" si="0"/>
        <v>2.3200700000000003</v>
      </c>
      <c r="H6" s="76"/>
    </row>
    <row r="7" spans="1:8" ht="12.95" customHeight="1">
      <c r="A7" s="102">
        <v>2001</v>
      </c>
      <c r="B7" s="78">
        <f>+'Fraud Collections'!B8/1000000</f>
        <v>0.95232612999999999</v>
      </c>
      <c r="C7" s="78">
        <f>+'Fraud Collections'!C8/1000000</f>
        <v>1.09474714</v>
      </c>
      <c r="D7" s="78">
        <f>+'Fraud Collections'!D8/1000000</f>
        <v>0.42183874999999998</v>
      </c>
      <c r="E7" s="80">
        <f>+'Fraud Collections'!E8/1000000</f>
        <v>0.341279</v>
      </c>
      <c r="F7" s="80">
        <f t="shared" si="0"/>
        <v>2.4689120199999999</v>
      </c>
      <c r="H7" s="76"/>
    </row>
    <row r="8" spans="1:8" ht="12.95" customHeight="1">
      <c r="A8" s="77">
        <v>2002</v>
      </c>
      <c r="B8" s="78">
        <f>+'Fraud Collections'!B9/1000000</f>
        <v>1.0799620000000001</v>
      </c>
      <c r="C8" s="78">
        <f>+'Fraud Collections'!C9/1000000</f>
        <v>1.099343</v>
      </c>
      <c r="D8" s="78">
        <f>+'Fraud Collections'!D9/1000000</f>
        <v>0.41800700000000002</v>
      </c>
      <c r="E8" s="80">
        <f>+'Fraud Collections'!E9/1000000</f>
        <v>0.37939600000000001</v>
      </c>
      <c r="F8" s="80">
        <f t="shared" si="0"/>
        <v>2.5973120000000001</v>
      </c>
      <c r="H8" s="76"/>
    </row>
    <row r="9" spans="1:8" ht="12.95" customHeight="1">
      <c r="A9" s="77">
        <v>2003</v>
      </c>
      <c r="B9" s="78">
        <f>+'Fraud Collections'!B10/1000000</f>
        <v>1.06871882</v>
      </c>
      <c r="C9" s="78">
        <f>+'Fraud Collections'!C10/1000000</f>
        <v>1.1822400900000001</v>
      </c>
      <c r="D9" s="78">
        <f>+'Fraud Collections'!D10/1000000</f>
        <v>0.45318505999999997</v>
      </c>
      <c r="E9" s="80">
        <f>+'Fraud Collections'!E10/1000000</f>
        <v>0.78985287000000004</v>
      </c>
      <c r="F9" s="80">
        <f t="shared" si="0"/>
        <v>2.7041439700000001</v>
      </c>
      <c r="H9" s="76"/>
    </row>
    <row r="10" spans="1:8" ht="12.95" customHeight="1">
      <c r="A10" s="102">
        <v>2004</v>
      </c>
      <c r="B10" s="78">
        <f>+'Fraud Collections'!B11/1000000</f>
        <v>1.0829800000000001</v>
      </c>
      <c r="C10" s="78">
        <f>+'Fraud Collections'!C11/1000000</f>
        <v>1.1278680000000001</v>
      </c>
      <c r="D10" s="78">
        <f>+'Fraud Collections'!D11/1000000</f>
        <v>0.49479499999999998</v>
      </c>
      <c r="E10" s="80">
        <f>+'Fraud Collections'!E11/1000000</f>
        <v>0.69380399999999998</v>
      </c>
      <c r="F10" s="80">
        <f t="shared" si="0"/>
        <v>2.7056430000000002</v>
      </c>
    </row>
    <row r="11" spans="1:8" ht="12.95" customHeight="1">
      <c r="A11" s="79">
        <v>2005</v>
      </c>
      <c r="B11" s="78">
        <f>+'Fraud Collections'!B12/1000000</f>
        <v>1.090622</v>
      </c>
      <c r="C11" s="78">
        <f>+'Fraud Collections'!C12/1000000</f>
        <v>1.118109</v>
      </c>
      <c r="D11" s="78">
        <f>+'Fraud Collections'!D12/1000000</f>
        <v>0.44730199999999998</v>
      </c>
      <c r="E11" s="80">
        <f>+'Fraud Collections'!E12/1000000</f>
        <v>0.64775899999999997</v>
      </c>
      <c r="F11" s="80">
        <f t="shared" si="0"/>
        <v>2.6560329999999999</v>
      </c>
    </row>
    <row r="12" spans="1:8" ht="12.95" customHeight="1">
      <c r="A12" s="79">
        <v>2006</v>
      </c>
      <c r="B12" s="78">
        <f>+'Fraud Collections'!B13/1000000</f>
        <v>0.980047</v>
      </c>
      <c r="C12" s="78">
        <f>+'Fraud Collections'!C13/1000000</f>
        <v>1.0011810000000001</v>
      </c>
      <c r="D12" s="78">
        <f>+'Fraud Collections'!D13/1000000</f>
        <v>0.40990399999999999</v>
      </c>
      <c r="E12" s="80">
        <f>+'Fraud Collections'!E13/1000000</f>
        <v>0.53033600000000003</v>
      </c>
      <c r="F12" s="80">
        <f t="shared" si="0"/>
        <v>2.3911320000000003</v>
      </c>
    </row>
    <row r="13" spans="1:8" ht="12.95" customHeight="1">
      <c r="A13" s="103">
        <v>2007</v>
      </c>
      <c r="B13" s="78">
        <f>+'Fraud Collections'!B14/1000000</f>
        <v>1.01400932</v>
      </c>
      <c r="C13" s="78">
        <f>+'Fraud Collections'!C14/1000000</f>
        <v>1.0632265900000002</v>
      </c>
      <c r="D13" s="78">
        <f>+'Fraud Collections'!D14/1000000</f>
        <v>0.49362540999999999</v>
      </c>
      <c r="E13" s="80">
        <f>+'Fraud Collections'!E14/1000000</f>
        <v>0.590499</v>
      </c>
      <c r="F13" s="80">
        <f t="shared" si="0"/>
        <v>2.5708613200000001</v>
      </c>
    </row>
    <row r="14" spans="1:8" ht="12.95" customHeight="1">
      <c r="A14" s="103">
        <v>2008</v>
      </c>
      <c r="B14" s="78">
        <f>+'Fraud Collections'!B15/1000000</f>
        <v>1.11962519</v>
      </c>
      <c r="C14" s="78">
        <f>+'Fraud Collections'!C15/1000000</f>
        <v>1.18271116</v>
      </c>
      <c r="D14" s="78">
        <f>+'Fraud Collections'!D15/1000000</f>
        <v>0.49823584999999998</v>
      </c>
      <c r="E14" s="80">
        <f>+'Fraud Collections'!E15/1000000</f>
        <v>0.59229203000000008</v>
      </c>
      <c r="F14" s="80">
        <f t="shared" si="0"/>
        <v>2.8005722</v>
      </c>
    </row>
    <row r="15" spans="1:8" ht="12.95" customHeight="1">
      <c r="A15" s="103">
        <v>2009</v>
      </c>
      <c r="B15" s="78">
        <f>+'Fraud Collections'!B16/1000000</f>
        <v>1.33</v>
      </c>
      <c r="C15" s="78">
        <f>+'Fraud Collections'!C16/1000000</f>
        <v>1.41</v>
      </c>
      <c r="D15" s="78">
        <f>+'Fraud Collections'!D16/1000000</f>
        <v>0.59</v>
      </c>
      <c r="E15" s="80">
        <f>+'Fraud Collections'!E16/1000000</f>
        <v>0.52</v>
      </c>
      <c r="F15" s="80">
        <f t="shared" si="0"/>
        <v>3.33</v>
      </c>
    </row>
    <row r="16" spans="1:8" ht="12.95" customHeight="1">
      <c r="A16" s="103">
        <v>2010</v>
      </c>
      <c r="B16" s="78">
        <f>+'Fraud Collections'!B17/1000000</f>
        <v>1.5157786000000002</v>
      </c>
      <c r="C16" s="78">
        <f>+'Fraud Collections'!C17/1000000</f>
        <v>1.44966931</v>
      </c>
      <c r="D16" s="78">
        <f>+'Fraud Collections'!D17/1000000</f>
        <v>0.64562122999999993</v>
      </c>
      <c r="E16" s="80">
        <f>+'Fraud Collections'!E17/1000000</f>
        <v>0.44543329999999998</v>
      </c>
      <c r="F16" s="80">
        <f t="shared" si="0"/>
        <v>3.6110691399999997</v>
      </c>
    </row>
    <row r="17" spans="1:6" ht="12.95" customHeight="1">
      <c r="A17" s="103">
        <v>2011</v>
      </c>
      <c r="B17" s="78">
        <f>+'Fraud Collections'!B18/1000000</f>
        <v>1.6680537600000001</v>
      </c>
      <c r="C17" s="78">
        <f>+'Fraud Collections'!C18/1000000</f>
        <v>1.7781013700000001</v>
      </c>
      <c r="D17" s="78">
        <f>+'Fraud Collections'!D18/1000000</f>
        <v>0.68953264999999997</v>
      </c>
      <c r="E17" s="80">
        <f>+'Fraud Collections'!E18/1000000</f>
        <v>0.47423878000000003</v>
      </c>
      <c r="F17" s="80">
        <f t="shared" si="0"/>
        <v>4.1356877800000005</v>
      </c>
    </row>
    <row r="18" spans="1:6" ht="12.95" customHeight="1">
      <c r="A18" s="103">
        <v>2012</v>
      </c>
      <c r="B18" s="78">
        <f>+'Fraud Collections'!B19/1000000</f>
        <v>1.87417094</v>
      </c>
      <c r="C18" s="78">
        <f>+'Fraud Collections'!C19/1000000</f>
        <v>2.2360239700000002</v>
      </c>
      <c r="D18" s="78">
        <f>+'Fraud Collections'!D19/1000000</f>
        <v>0.76564458999999996</v>
      </c>
      <c r="E18" s="80">
        <f>+'Fraud Collections'!E19/1000000</f>
        <v>0.44674365000000005</v>
      </c>
      <c r="F18" s="80">
        <f t="shared" si="0"/>
        <v>4.8758394999999997</v>
      </c>
    </row>
    <row r="19" spans="1:6" ht="12.95" customHeight="1">
      <c r="A19" s="103">
        <v>2013</v>
      </c>
      <c r="B19" s="78">
        <f>+'Fraud Collections'!B20/1000000</f>
        <v>1.9876778700000002</v>
      </c>
      <c r="C19" s="78">
        <f>+'Fraud Collections'!C20/1000000</f>
        <v>2.1336998399999998</v>
      </c>
      <c r="D19" s="78">
        <f>+'Fraud Collections'!D20/1000000</f>
        <v>0.80873635999999993</v>
      </c>
      <c r="E19" s="80">
        <f>+'Fraud Collections'!E20/1000000</f>
        <v>0.38141479</v>
      </c>
      <c r="F19" s="80">
        <f t="shared" si="0"/>
        <v>4.9301140700000001</v>
      </c>
    </row>
    <row r="20" spans="1:6" ht="12.95" customHeight="1">
      <c r="A20" s="103">
        <v>2014</v>
      </c>
      <c r="B20" s="78">
        <f>+'Fraud Collections'!B21/1000000</f>
        <v>2.1120905899999998</v>
      </c>
      <c r="C20" s="78">
        <f>+'Fraud Collections'!C21/1000000</f>
        <v>2.3517931700000001</v>
      </c>
      <c r="D20" s="78">
        <f>+'Fraud Collections'!D21/1000000</f>
        <v>0.77088811000000002</v>
      </c>
      <c r="E20" s="80">
        <f>+'Fraud Collections'!E21/1000000</f>
        <v>0.34404401000000001</v>
      </c>
      <c r="F20" s="80">
        <f t="shared" si="0"/>
        <v>5.2347718699999994</v>
      </c>
    </row>
    <row r="21" spans="1:6" ht="12.95" customHeight="1">
      <c r="A21" s="103">
        <v>2015</v>
      </c>
      <c r="B21" s="78">
        <f>+'Fraud Collections'!B22/1000000</f>
        <v>2.0664610800000003</v>
      </c>
      <c r="C21" s="78">
        <f>+'Fraud Collections'!C22/1000000</f>
        <v>2.3657808899999999</v>
      </c>
      <c r="D21" s="78">
        <f>+'Fraud Collections'!D22/1000000</f>
        <v>0.82569068000000001</v>
      </c>
      <c r="E21" s="80">
        <f>+'Fraud Collections'!E22/1000000</f>
        <v>0.31814611999999998</v>
      </c>
      <c r="F21" s="80">
        <f t="shared" si="0"/>
        <v>5.2579326500000008</v>
      </c>
    </row>
    <row r="22" spans="1:6" ht="12.95" customHeight="1">
      <c r="A22" s="103">
        <v>2016</v>
      </c>
      <c r="B22" s="78">
        <f>+'Fraud Collections'!B23/1000000</f>
        <v>2.0787722500000001</v>
      </c>
      <c r="C22" s="78">
        <f>+'Fraud Collections'!C23/1000000</f>
        <v>2.36117519</v>
      </c>
      <c r="D22" s="78">
        <f>+'Fraud Collections'!D23/1000000</f>
        <v>0.76234832999999991</v>
      </c>
      <c r="E22" s="80">
        <f>+'Fraud Collections'!E23/1000000</f>
        <v>0.29592000000000002</v>
      </c>
      <c r="F22" s="80">
        <f t="shared" si="0"/>
        <v>5.2022957700000001</v>
      </c>
    </row>
    <row r="23" spans="1:6" ht="15" customHeight="1">
      <c r="A23" s="103">
        <v>2017</v>
      </c>
      <c r="B23" s="78">
        <f>+'Fraud Collections'!B24/1000000</f>
        <v>1.9276254099999999</v>
      </c>
      <c r="C23" s="78">
        <f>+'Fraud Collections'!C24/1000000</f>
        <v>1.86411075</v>
      </c>
      <c r="D23" s="78">
        <f>+'Fraud Collections'!D24/1000000</f>
        <v>0.66340586000000001</v>
      </c>
      <c r="E23" s="80">
        <f>+'Fraud Collections'!E24/1000000</f>
        <v>0.15269099999999999</v>
      </c>
      <c r="F23" s="80">
        <f t="shared" ref="F23" si="1">+D23+C23+B23</f>
        <v>4.4551420200000003</v>
      </c>
    </row>
    <row r="24" spans="1:6" ht="15" customHeight="1">
      <c r="A24" s="103">
        <v>2018</v>
      </c>
      <c r="B24" s="78">
        <f>+'Fraud Collections'!B25/1000000</f>
        <v>2.32835744</v>
      </c>
      <c r="C24" s="78">
        <f>+'Fraud Collections'!C25/1000000</f>
        <v>2.0913314399999998</v>
      </c>
      <c r="D24" s="78">
        <f>+'Fraud Collections'!D25/1000000</f>
        <v>0.73945276999999998</v>
      </c>
      <c r="E24" s="80">
        <f>+'Fraud Collections'!E25/1000000</f>
        <v>9.1807029999999998E-2</v>
      </c>
      <c r="F24" s="80">
        <f t="shared" ref="F24" si="2">+D24+C24+B24</f>
        <v>5.1591416500000005</v>
      </c>
    </row>
    <row r="25" spans="1:6" ht="13.5">
      <c r="A25" s="103">
        <v>2019</v>
      </c>
      <c r="B25" s="78">
        <f>+'Fraud Collections'!B26/1000000</f>
        <v>2.3382232300000001</v>
      </c>
      <c r="C25" s="78">
        <f>+'Fraud Collections'!C26/1000000</f>
        <v>2.2416578999999999</v>
      </c>
      <c r="D25" s="78">
        <f>+'Fraud Collections'!D26/1000000</f>
        <v>0.69454859000000002</v>
      </c>
      <c r="E25" s="80">
        <f>+'Fraud Collections'!E26/1000000</f>
        <v>7.1519350000000009E-2</v>
      </c>
      <c r="F25" s="80">
        <f t="shared" ref="F25" si="3">+D25+C25+B25</f>
        <v>5.2744297200000005</v>
      </c>
    </row>
    <row r="26" spans="1:6" ht="13.5">
      <c r="A26" s="103">
        <v>2020</v>
      </c>
      <c r="B26" s="78">
        <f>+'Fraud Collections'!B27/1000000</f>
        <v>2.0272225100000001</v>
      </c>
      <c r="C26" s="78">
        <f>+'Fraud Collections'!C27/1000000</f>
        <v>1.81266799</v>
      </c>
      <c r="D26" s="78">
        <f>+'Fraud Collections'!D27/1000000</f>
        <v>0.5608806999999999</v>
      </c>
      <c r="E26" s="80">
        <f>+'Fraud Collections'!E27/1000000</f>
        <v>5.9975580000000001E-2</v>
      </c>
      <c r="F26" s="80">
        <f t="shared" ref="F26" si="4">+D26+C26+B26</f>
        <v>4.4007711999999994</v>
      </c>
    </row>
  </sheetData>
  <pageMargins left="0.3" right="0.3" top="0.55000000000000004" bottom="0.3" header="0" footer="0"/>
  <pageSetup orientation="portrait" r:id="rId1"/>
  <headerFooter alignWithMargins="0">
    <oddHeader>&amp;C&amp;"Palatino Linotype,Bold"&amp;14SNAP and TANF Overpayment Collections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zoomScaleNormal="100" workbookViewId="0">
      <pane ySplit="2" topLeftCell="A16" activePane="bottomLeft" state="frozen"/>
      <selection pane="bottomLeft" activeCell="B27" sqref="B27"/>
    </sheetView>
  </sheetViews>
  <sheetFormatPr defaultRowHeight="12.75"/>
  <cols>
    <col min="1" max="1" width="23.375" style="41" customWidth="1"/>
    <col min="2" max="3" width="15" style="41" bestFit="1" customWidth="1"/>
    <col min="4" max="4" width="13.375" style="41" bestFit="1" customWidth="1"/>
    <col min="5" max="5" width="11.375" style="41" customWidth="1"/>
    <col min="6" max="6" width="13.5" style="41" bestFit="1" customWidth="1"/>
    <col min="7" max="7" width="13.25" style="41" customWidth="1"/>
    <col min="8" max="18" width="9.375" style="41" customWidth="1"/>
    <col min="19" max="16384" width="9" style="41"/>
  </cols>
  <sheetData>
    <row r="1" spans="1:25">
      <c r="A1" s="106" t="s">
        <v>8</v>
      </c>
      <c r="B1" s="109" t="s">
        <v>51</v>
      </c>
      <c r="C1" s="109"/>
      <c r="D1" s="109"/>
      <c r="E1" s="109" t="s">
        <v>52</v>
      </c>
      <c r="F1" s="109"/>
      <c r="G1" s="108"/>
      <c r="H1" s="108"/>
      <c r="I1" s="108"/>
      <c r="J1" s="108"/>
      <c r="K1" s="108"/>
      <c r="L1" s="108"/>
      <c r="M1" s="110"/>
      <c r="N1" s="110"/>
      <c r="O1" s="108"/>
      <c r="P1" s="108"/>
      <c r="Q1" s="108"/>
      <c r="R1" s="108"/>
      <c r="S1" s="44"/>
      <c r="T1" s="44"/>
      <c r="U1" s="44"/>
      <c r="V1" s="44"/>
      <c r="W1" s="44"/>
      <c r="X1" s="44"/>
      <c r="Y1" s="44"/>
    </row>
    <row r="2" spans="1:25" ht="30" customHeight="1">
      <c r="A2" s="107"/>
      <c r="B2" s="62" t="s">
        <v>1</v>
      </c>
      <c r="C2" s="62" t="s">
        <v>2</v>
      </c>
      <c r="D2" s="63" t="s">
        <v>3</v>
      </c>
      <c r="E2" s="46" t="s">
        <v>49</v>
      </c>
      <c r="F2" s="46" t="s">
        <v>13</v>
      </c>
      <c r="G2" s="47"/>
      <c r="H2" s="47"/>
      <c r="I2" s="47"/>
      <c r="J2" s="47"/>
      <c r="K2" s="47"/>
      <c r="L2" s="47"/>
      <c r="M2" s="47"/>
      <c r="N2" s="47"/>
      <c r="O2" s="47"/>
      <c r="P2" s="47"/>
      <c r="Q2" s="47"/>
      <c r="R2" s="47"/>
      <c r="S2" s="44"/>
      <c r="T2" s="44"/>
      <c r="U2" s="44"/>
      <c r="V2" s="44"/>
      <c r="W2" s="44"/>
      <c r="X2" s="44"/>
      <c r="Y2" s="44"/>
    </row>
    <row r="3" spans="1:25" ht="12.75" customHeight="1">
      <c r="A3" s="93">
        <v>1996</v>
      </c>
      <c r="B3" s="61">
        <f>244370</f>
        <v>244370</v>
      </c>
      <c r="C3" s="61">
        <f>548013</f>
        <v>548013</v>
      </c>
      <c r="D3" s="61">
        <f>126869</f>
        <v>126869</v>
      </c>
      <c r="E3" s="81">
        <v>1173457</v>
      </c>
      <c r="F3" s="49">
        <f t="shared" ref="F3:F9" si="0">+D3+B3+C3</f>
        <v>919252</v>
      </c>
      <c r="G3" s="49"/>
      <c r="H3" s="47"/>
      <c r="I3" s="47"/>
      <c r="J3" s="47"/>
      <c r="K3" s="47"/>
      <c r="L3" s="47"/>
      <c r="M3" s="47"/>
      <c r="N3" s="47"/>
      <c r="O3" s="47"/>
      <c r="P3" s="47"/>
      <c r="Q3" s="47"/>
      <c r="R3" s="47"/>
      <c r="S3" s="44"/>
      <c r="T3" s="44"/>
      <c r="U3" s="44"/>
      <c r="V3" s="44"/>
      <c r="W3" s="44"/>
      <c r="X3" s="44"/>
      <c r="Y3" s="44"/>
    </row>
    <row r="4" spans="1:25" ht="18" customHeight="1">
      <c r="A4" s="93" t="s">
        <v>14</v>
      </c>
      <c r="B4" s="61">
        <f>712360</f>
        <v>712360</v>
      </c>
      <c r="C4" s="61">
        <f>1004675</f>
        <v>1004675</v>
      </c>
      <c r="D4" s="61">
        <f>235684</f>
        <v>235684</v>
      </c>
      <c r="E4" s="81">
        <v>1089756</v>
      </c>
      <c r="F4" s="49">
        <f t="shared" si="0"/>
        <v>1952719</v>
      </c>
      <c r="G4" s="49"/>
      <c r="H4" s="50"/>
      <c r="I4" s="50"/>
      <c r="J4" s="50"/>
      <c r="K4" s="50"/>
      <c r="L4" s="50"/>
      <c r="M4" s="50"/>
      <c r="N4" s="50"/>
      <c r="O4" s="50"/>
      <c r="P4" s="50"/>
      <c r="Q4" s="51"/>
      <c r="R4" s="50"/>
      <c r="S4" s="44"/>
      <c r="T4" s="44"/>
      <c r="U4" s="44"/>
      <c r="V4" s="44"/>
      <c r="W4" s="44"/>
      <c r="X4" s="44"/>
      <c r="Y4" s="44"/>
    </row>
    <row r="5" spans="1:25" ht="18" customHeight="1">
      <c r="A5" s="93" t="s">
        <v>15</v>
      </c>
      <c r="B5" s="61">
        <f>842421</f>
        <v>842421</v>
      </c>
      <c r="C5" s="61">
        <f>1162171</f>
        <v>1162171</v>
      </c>
      <c r="D5" s="61">
        <f>356817</f>
        <v>356817</v>
      </c>
      <c r="E5" s="81">
        <v>924411</v>
      </c>
      <c r="F5" s="49">
        <f t="shared" si="0"/>
        <v>2361409</v>
      </c>
      <c r="G5" s="49"/>
      <c r="H5" s="50"/>
      <c r="I5" s="50"/>
      <c r="J5" s="50"/>
      <c r="K5" s="50"/>
      <c r="L5" s="50"/>
      <c r="M5" s="50"/>
      <c r="N5" s="50"/>
      <c r="O5" s="50"/>
      <c r="P5" s="50"/>
      <c r="Q5" s="51"/>
      <c r="R5" s="50"/>
      <c r="S5" s="44"/>
      <c r="T5" s="44"/>
      <c r="U5" s="44"/>
      <c r="V5" s="44"/>
      <c r="W5" s="44"/>
      <c r="X5" s="44"/>
      <c r="Y5" s="44"/>
    </row>
    <row r="6" spans="1:25" ht="18" customHeight="1">
      <c r="A6" s="93" t="s">
        <v>16</v>
      </c>
      <c r="B6" s="61">
        <f>823675</f>
        <v>823675</v>
      </c>
      <c r="C6" s="61">
        <f>1002096</f>
        <v>1002096</v>
      </c>
      <c r="D6" s="61">
        <f>385993</f>
        <v>385993</v>
      </c>
      <c r="E6" s="81">
        <v>650672</v>
      </c>
      <c r="F6" s="49">
        <f t="shared" si="0"/>
        <v>2211764</v>
      </c>
      <c r="G6" s="49"/>
      <c r="H6" s="50"/>
      <c r="I6" s="50"/>
      <c r="J6" s="50"/>
      <c r="K6" s="50"/>
      <c r="L6" s="50"/>
      <c r="M6" s="50"/>
      <c r="N6" s="50"/>
      <c r="O6" s="50"/>
      <c r="P6" s="50"/>
      <c r="Q6" s="51"/>
      <c r="R6" s="50"/>
      <c r="S6" s="44"/>
      <c r="T6" s="44"/>
      <c r="U6" s="44"/>
      <c r="V6" s="44"/>
      <c r="W6" s="44"/>
      <c r="X6" s="44"/>
      <c r="Y6" s="44"/>
    </row>
    <row r="7" spans="1:25" ht="18" customHeight="1">
      <c r="A7" s="93" t="s">
        <v>17</v>
      </c>
      <c r="B7" s="61">
        <f>892872</f>
        <v>892872</v>
      </c>
      <c r="C7" s="61">
        <f>1038809</f>
        <v>1038809</v>
      </c>
      <c r="D7" s="61">
        <f>388389</f>
        <v>388389</v>
      </c>
      <c r="E7" s="81">
        <v>494670</v>
      </c>
      <c r="F7" s="49">
        <f t="shared" si="0"/>
        <v>2320070</v>
      </c>
      <c r="G7" s="49"/>
      <c r="H7" s="50"/>
      <c r="I7" s="50"/>
      <c r="J7" s="50"/>
      <c r="K7" s="50"/>
      <c r="L7" s="50"/>
      <c r="M7" s="50"/>
      <c r="N7" s="50"/>
      <c r="O7" s="50"/>
      <c r="P7" s="50"/>
      <c r="Q7" s="51"/>
      <c r="R7" s="50"/>
      <c r="S7" s="44"/>
      <c r="T7" s="44"/>
      <c r="U7" s="44"/>
      <c r="V7" s="44"/>
      <c r="W7" s="44"/>
      <c r="X7" s="44"/>
      <c r="Y7" s="44"/>
    </row>
    <row r="8" spans="1:25" ht="18" customHeight="1">
      <c r="A8" s="93" t="s">
        <v>18</v>
      </c>
      <c r="B8" s="61">
        <f>952326.13</f>
        <v>952326.13</v>
      </c>
      <c r="C8" s="61">
        <f>1094747.14</f>
        <v>1094747.1399999999</v>
      </c>
      <c r="D8" s="61">
        <f>421838.75</f>
        <v>421838.75</v>
      </c>
      <c r="E8" s="81">
        <v>341279</v>
      </c>
      <c r="F8" s="49">
        <f t="shared" si="0"/>
        <v>2468912.0199999996</v>
      </c>
      <c r="G8" s="49"/>
      <c r="H8" s="50"/>
      <c r="I8" s="50"/>
      <c r="J8" s="50"/>
      <c r="K8" s="50"/>
      <c r="L8" s="50"/>
      <c r="M8" s="50"/>
      <c r="N8" s="50"/>
      <c r="O8" s="50"/>
      <c r="P8" s="50"/>
      <c r="Q8" s="51"/>
      <c r="R8" s="50"/>
      <c r="S8" s="44"/>
      <c r="T8" s="44"/>
      <c r="U8" s="44"/>
      <c r="V8" s="44"/>
      <c r="W8" s="44"/>
      <c r="X8" s="44"/>
      <c r="Y8" s="44"/>
    </row>
    <row r="9" spans="1:25" ht="18" customHeight="1">
      <c r="A9" s="93">
        <v>2002</v>
      </c>
      <c r="B9" s="61">
        <f>1079962</f>
        <v>1079962</v>
      </c>
      <c r="C9" s="61">
        <f>1099343</f>
        <v>1099343</v>
      </c>
      <c r="D9" s="61">
        <f>418007</f>
        <v>418007</v>
      </c>
      <c r="E9" s="81">
        <v>379396</v>
      </c>
      <c r="F9" s="49">
        <f t="shared" si="0"/>
        <v>2597312</v>
      </c>
      <c r="G9" s="49"/>
      <c r="H9" s="50"/>
      <c r="I9" s="50"/>
      <c r="J9" s="50"/>
      <c r="K9" s="50"/>
      <c r="L9" s="50"/>
      <c r="M9" s="50"/>
      <c r="N9" s="50"/>
      <c r="O9" s="50">
        <f>+O7+O6+O5+O4</f>
        <v>0</v>
      </c>
      <c r="P9" s="50">
        <f>+P7+P6+P5+P4</f>
        <v>0</v>
      </c>
      <c r="Q9" s="44"/>
      <c r="R9" s="44"/>
      <c r="S9" s="44"/>
      <c r="T9" s="44"/>
      <c r="U9" s="44"/>
      <c r="V9" s="44"/>
      <c r="W9" s="44"/>
      <c r="X9" s="44"/>
      <c r="Y9" s="44"/>
    </row>
    <row r="10" spans="1:25" ht="18" customHeight="1">
      <c r="A10" s="93">
        <v>2003</v>
      </c>
      <c r="B10" s="61">
        <f>1068718.82</f>
        <v>1068718.82</v>
      </c>
      <c r="C10" s="61">
        <f>1182240.09</f>
        <v>1182240.0900000001</v>
      </c>
      <c r="D10" s="61">
        <f>453185.06</f>
        <v>453185.06</v>
      </c>
      <c r="E10" s="81">
        <v>789852.87</v>
      </c>
      <c r="F10" s="49">
        <f t="shared" ref="F10:F23" si="1">+D10+B10+C10</f>
        <v>2704143.97</v>
      </c>
      <c r="G10" s="49"/>
      <c r="H10" s="50"/>
      <c r="I10" s="50"/>
      <c r="J10" s="50"/>
      <c r="K10" s="50"/>
      <c r="L10" s="50"/>
      <c r="M10" s="50"/>
      <c r="N10" s="50"/>
      <c r="O10" s="50"/>
      <c r="P10" s="50"/>
      <c r="Q10" s="44"/>
      <c r="R10" s="44"/>
      <c r="S10" s="44"/>
      <c r="T10" s="44"/>
      <c r="U10" s="44"/>
      <c r="V10" s="44"/>
      <c r="W10" s="44"/>
      <c r="X10" s="44"/>
      <c r="Y10" s="44"/>
    </row>
    <row r="11" spans="1:25" ht="18" customHeight="1">
      <c r="A11" s="93" t="s">
        <v>19</v>
      </c>
      <c r="B11" s="61">
        <f>1082980</f>
        <v>1082980</v>
      </c>
      <c r="C11" s="61">
        <f>1127868</f>
        <v>1127868</v>
      </c>
      <c r="D11" s="61">
        <f>494795</f>
        <v>494795</v>
      </c>
      <c r="E11" s="81">
        <v>693804</v>
      </c>
      <c r="F11" s="49">
        <f t="shared" si="1"/>
        <v>2705643</v>
      </c>
      <c r="G11" s="49"/>
      <c r="H11" s="52"/>
      <c r="I11" s="52"/>
      <c r="J11" s="52"/>
      <c r="K11" s="52"/>
      <c r="L11" s="52"/>
      <c r="M11" s="52"/>
      <c r="N11" s="52"/>
      <c r="O11" s="52"/>
      <c r="P11" s="52"/>
    </row>
    <row r="12" spans="1:25" ht="18" customHeight="1">
      <c r="A12" s="93">
        <v>2005</v>
      </c>
      <c r="B12" s="61">
        <f>1090622</f>
        <v>1090622</v>
      </c>
      <c r="C12" s="61">
        <f>1118109</f>
        <v>1118109</v>
      </c>
      <c r="D12" s="61">
        <f>447302</f>
        <v>447302</v>
      </c>
      <c r="E12" s="81">
        <v>647759</v>
      </c>
      <c r="F12" s="49">
        <f t="shared" si="1"/>
        <v>2656033</v>
      </c>
      <c r="G12" s="49"/>
      <c r="H12" s="52"/>
      <c r="I12" s="52"/>
      <c r="J12" s="52"/>
      <c r="K12" s="52"/>
      <c r="L12" s="52"/>
      <c r="M12" s="52"/>
      <c r="N12" s="52"/>
      <c r="O12" s="52"/>
      <c r="P12" s="52"/>
    </row>
    <row r="13" spans="1:25" ht="18" customHeight="1">
      <c r="A13" s="93">
        <v>2006</v>
      </c>
      <c r="B13" s="61">
        <f>980047</f>
        <v>980047</v>
      </c>
      <c r="C13" s="61">
        <f>1001181</f>
        <v>1001181</v>
      </c>
      <c r="D13" s="61">
        <f>409904</f>
        <v>409904</v>
      </c>
      <c r="E13" s="81">
        <v>530336</v>
      </c>
      <c r="F13" s="49">
        <f t="shared" si="1"/>
        <v>2391132</v>
      </c>
      <c r="G13" s="49"/>
      <c r="H13" s="52"/>
      <c r="I13" s="52"/>
      <c r="J13" s="52"/>
      <c r="K13" s="52"/>
      <c r="L13" s="52"/>
      <c r="M13" s="52"/>
      <c r="N13" s="52"/>
      <c r="O13" s="52"/>
      <c r="P13" s="52"/>
    </row>
    <row r="14" spans="1:25" ht="18" customHeight="1">
      <c r="A14" s="93" t="s">
        <v>24</v>
      </c>
      <c r="B14" s="61">
        <f>1014009.32</f>
        <v>1014009.32</v>
      </c>
      <c r="C14" s="61">
        <f>1063226.59</f>
        <v>1063226.5900000001</v>
      </c>
      <c r="D14" s="61">
        <f>493625.41</f>
        <v>493625.41</v>
      </c>
      <c r="E14" s="81">
        <v>590499</v>
      </c>
      <c r="F14" s="49">
        <f t="shared" si="1"/>
        <v>2570861.3200000003</v>
      </c>
      <c r="G14" s="49"/>
      <c r="H14" s="52"/>
      <c r="I14" s="52"/>
      <c r="J14" s="52"/>
      <c r="K14" s="52"/>
      <c r="L14" s="52"/>
      <c r="M14" s="52"/>
      <c r="N14" s="52"/>
      <c r="O14" s="52"/>
      <c r="P14" s="52"/>
    </row>
    <row r="15" spans="1:25" ht="18" customHeight="1">
      <c r="A15" s="93" t="s">
        <v>50</v>
      </c>
      <c r="B15" s="61">
        <v>1119625.19</v>
      </c>
      <c r="C15" s="86">
        <v>1182711.1599999999</v>
      </c>
      <c r="D15" s="66">
        <v>498235.85</v>
      </c>
      <c r="E15" s="81">
        <v>592292.03</v>
      </c>
      <c r="F15" s="49">
        <f t="shared" si="1"/>
        <v>2800572.2</v>
      </c>
      <c r="G15" s="49"/>
      <c r="H15" s="52"/>
      <c r="I15" s="52"/>
      <c r="J15" s="52"/>
      <c r="K15" s="52"/>
      <c r="L15" s="52"/>
      <c r="M15" s="52"/>
      <c r="N15" s="52"/>
      <c r="O15" s="52"/>
      <c r="P15" s="52"/>
    </row>
    <row r="16" spans="1:25" ht="18" customHeight="1">
      <c r="A16" s="93" t="s">
        <v>53</v>
      </c>
      <c r="B16" s="61">
        <v>1330000</v>
      </c>
      <c r="C16" s="86">
        <v>1410000</v>
      </c>
      <c r="D16" s="66">
        <v>590000</v>
      </c>
      <c r="E16" s="81">
        <v>520000</v>
      </c>
      <c r="F16" s="49">
        <f t="shared" si="1"/>
        <v>3330000</v>
      </c>
      <c r="G16" s="49"/>
      <c r="H16" s="52"/>
      <c r="I16" s="52"/>
      <c r="J16" s="52"/>
      <c r="K16" s="52"/>
      <c r="L16" s="52"/>
      <c r="M16" s="52"/>
      <c r="N16" s="52"/>
      <c r="O16" s="52"/>
      <c r="P16" s="52"/>
    </row>
    <row r="17" spans="1:16" ht="18" customHeight="1">
      <c r="A17" s="93" t="s">
        <v>56</v>
      </c>
      <c r="B17" s="66">
        <v>1515778.6</v>
      </c>
      <c r="C17" s="86">
        <v>1449669.31</v>
      </c>
      <c r="D17" s="66">
        <v>645621.23</v>
      </c>
      <c r="E17" s="81">
        <v>445433.3</v>
      </c>
      <c r="F17" s="49">
        <f t="shared" si="1"/>
        <v>3611069.14</v>
      </c>
      <c r="G17" s="49"/>
      <c r="H17" s="52"/>
      <c r="I17" s="52"/>
      <c r="J17" s="52"/>
      <c r="K17" s="52"/>
      <c r="L17" s="52"/>
      <c r="M17" s="52"/>
      <c r="N17" s="52"/>
      <c r="O17" s="52"/>
      <c r="P17" s="52"/>
    </row>
    <row r="18" spans="1:16" ht="18" customHeight="1">
      <c r="A18" s="93" t="s">
        <v>57</v>
      </c>
      <c r="B18" s="66">
        <v>1668053.76</v>
      </c>
      <c r="C18" s="86">
        <v>1778101.37</v>
      </c>
      <c r="D18" s="66">
        <v>689532.65</v>
      </c>
      <c r="E18" s="81">
        <v>474238.78</v>
      </c>
      <c r="F18" s="49">
        <f t="shared" si="1"/>
        <v>4135687.7800000003</v>
      </c>
      <c r="G18" s="49"/>
      <c r="H18" s="52"/>
      <c r="I18" s="52"/>
      <c r="J18" s="52"/>
      <c r="K18" s="52"/>
      <c r="L18" s="52"/>
      <c r="M18" s="52"/>
      <c r="N18" s="52"/>
      <c r="O18" s="52"/>
      <c r="P18" s="52"/>
    </row>
    <row r="19" spans="1:16" ht="18" customHeight="1">
      <c r="A19" s="93" t="s">
        <v>60</v>
      </c>
      <c r="B19" s="66">
        <v>1874170.94</v>
      </c>
      <c r="C19" s="86">
        <v>2236023.9700000002</v>
      </c>
      <c r="D19" s="66">
        <v>765644.59</v>
      </c>
      <c r="E19" s="81">
        <v>446743.65</v>
      </c>
      <c r="F19" s="49">
        <f t="shared" si="1"/>
        <v>4875839.5</v>
      </c>
      <c r="G19" s="49"/>
      <c r="H19" s="52"/>
      <c r="I19" s="52"/>
      <c r="J19" s="52"/>
      <c r="K19" s="52"/>
      <c r="L19" s="52"/>
      <c r="M19" s="52"/>
      <c r="N19" s="52"/>
      <c r="O19" s="52"/>
      <c r="P19" s="52"/>
    </row>
    <row r="20" spans="1:16" ht="18" customHeight="1">
      <c r="A20" s="93" t="s">
        <v>62</v>
      </c>
      <c r="B20" s="66">
        <v>1987677.87</v>
      </c>
      <c r="C20" s="86">
        <v>2133699.84</v>
      </c>
      <c r="D20" s="66">
        <v>808736.36</v>
      </c>
      <c r="E20" s="81">
        <v>381414.79</v>
      </c>
      <c r="F20" s="49">
        <f t="shared" si="1"/>
        <v>4930114.07</v>
      </c>
      <c r="G20" s="49"/>
      <c r="H20" s="52"/>
      <c r="I20" s="52"/>
      <c r="J20" s="52"/>
      <c r="K20" s="52"/>
      <c r="L20" s="52"/>
      <c r="M20" s="52"/>
      <c r="N20" s="52"/>
      <c r="O20" s="52"/>
      <c r="P20" s="52"/>
    </row>
    <row r="21" spans="1:16" ht="18" customHeight="1">
      <c r="A21" s="93" t="s">
        <v>63</v>
      </c>
      <c r="B21" s="66">
        <v>2112090.59</v>
      </c>
      <c r="C21" s="86">
        <v>2351793.17</v>
      </c>
      <c r="D21" s="66">
        <v>770888.11</v>
      </c>
      <c r="E21" s="81">
        <v>344044.01</v>
      </c>
      <c r="F21" s="49">
        <f t="shared" si="1"/>
        <v>5234771.8699999992</v>
      </c>
      <c r="G21" s="49"/>
      <c r="H21" s="52"/>
      <c r="I21" s="52"/>
      <c r="J21" s="52"/>
      <c r="K21" s="52"/>
      <c r="L21" s="52"/>
      <c r="M21" s="52"/>
      <c r="N21" s="52"/>
      <c r="O21" s="52"/>
      <c r="P21" s="52"/>
    </row>
    <row r="22" spans="1:16" ht="18" customHeight="1">
      <c r="A22" s="93" t="s">
        <v>64</v>
      </c>
      <c r="B22" s="66">
        <v>2066461.08</v>
      </c>
      <c r="C22" s="86">
        <v>2365780.89</v>
      </c>
      <c r="D22" s="66">
        <v>825690.68</v>
      </c>
      <c r="E22" s="81">
        <v>318146.12</v>
      </c>
      <c r="F22" s="49">
        <f t="shared" si="1"/>
        <v>5257932.6500000004</v>
      </c>
      <c r="G22" s="49"/>
      <c r="H22" s="52"/>
      <c r="I22" s="52"/>
      <c r="J22" s="52"/>
      <c r="K22" s="52"/>
      <c r="L22" s="52"/>
      <c r="M22" s="52"/>
      <c r="N22" s="52"/>
      <c r="O22" s="52"/>
      <c r="P22" s="52"/>
    </row>
    <row r="23" spans="1:16" ht="18" customHeight="1">
      <c r="A23" s="93" t="s">
        <v>65</v>
      </c>
      <c r="B23" s="66">
        <v>2078772.25</v>
      </c>
      <c r="C23" s="86">
        <v>2361175.19</v>
      </c>
      <c r="D23" s="66">
        <v>762348.33</v>
      </c>
      <c r="E23" s="81">
        <v>295920</v>
      </c>
      <c r="F23" s="49">
        <f t="shared" si="1"/>
        <v>5202295.7699999996</v>
      </c>
      <c r="G23" s="49"/>
      <c r="H23" s="52"/>
      <c r="I23" s="52"/>
      <c r="J23" s="52"/>
      <c r="K23" s="52"/>
      <c r="L23" s="52"/>
      <c r="M23" s="52"/>
      <c r="N23" s="52"/>
      <c r="O23" s="52"/>
      <c r="P23" s="52"/>
    </row>
    <row r="24" spans="1:16" ht="18" customHeight="1">
      <c r="A24" s="93" t="s">
        <v>71</v>
      </c>
      <c r="B24" s="66">
        <v>1927625.41</v>
      </c>
      <c r="C24" s="86">
        <v>1864110.75</v>
      </c>
      <c r="D24" s="66">
        <v>663405.86</v>
      </c>
      <c r="E24" s="81">
        <v>152691</v>
      </c>
      <c r="F24" s="49">
        <f t="shared" ref="F24" si="2">+D24+B24+C24</f>
        <v>4455142.0199999996</v>
      </c>
      <c r="G24" s="49"/>
      <c r="H24" s="52"/>
      <c r="I24" s="52"/>
      <c r="J24" s="52"/>
      <c r="K24" s="52"/>
      <c r="L24" s="52"/>
      <c r="M24" s="52"/>
      <c r="N24" s="52"/>
      <c r="O24" s="52"/>
      <c r="P24" s="52"/>
    </row>
    <row r="25" spans="1:16" ht="18" customHeight="1">
      <c r="A25" s="93" t="s">
        <v>72</v>
      </c>
      <c r="B25" s="66">
        <v>2328357.44</v>
      </c>
      <c r="C25" s="86">
        <v>2091331.44</v>
      </c>
      <c r="D25" s="66">
        <v>739452.77</v>
      </c>
      <c r="E25" s="81">
        <v>91807.03</v>
      </c>
      <c r="F25" s="49">
        <f t="shared" ref="F25" si="3">+D25+B25+C25</f>
        <v>5159141.6500000004</v>
      </c>
      <c r="G25" s="49"/>
      <c r="H25" s="52"/>
      <c r="I25" s="52"/>
      <c r="J25" s="52"/>
      <c r="K25" s="52"/>
      <c r="L25" s="52"/>
      <c r="M25" s="52"/>
      <c r="N25" s="52"/>
      <c r="O25" s="52"/>
      <c r="P25" s="52"/>
    </row>
    <row r="26" spans="1:16" ht="18" customHeight="1">
      <c r="A26" s="89" t="s">
        <v>73</v>
      </c>
      <c r="B26" s="66">
        <v>2338223.23</v>
      </c>
      <c r="C26" s="86">
        <v>2241657.9</v>
      </c>
      <c r="D26" s="66">
        <v>694548.59</v>
      </c>
      <c r="E26" s="81">
        <v>71519.350000000006</v>
      </c>
      <c r="F26" s="49">
        <f t="shared" ref="F26" si="4">+D26+B26+C26</f>
        <v>5274429.72</v>
      </c>
      <c r="G26" s="49"/>
      <c r="H26" s="52"/>
      <c r="I26" s="52"/>
      <c r="J26" s="52"/>
      <c r="K26" s="52"/>
      <c r="L26" s="52"/>
      <c r="M26" s="52"/>
      <c r="N26" s="52"/>
      <c r="O26" s="52"/>
      <c r="P26" s="52"/>
    </row>
    <row r="27" spans="1:16" ht="13.5" customHeight="1">
      <c r="A27" s="89" t="s">
        <v>78</v>
      </c>
      <c r="B27" s="85">
        <v>2027222.51</v>
      </c>
      <c r="C27" s="87">
        <v>1812667.99</v>
      </c>
      <c r="D27" s="85">
        <v>560880.69999999995</v>
      </c>
      <c r="E27" s="84">
        <v>59975.58</v>
      </c>
      <c r="F27" s="49">
        <f t="shared" ref="F27" si="5">+D27+B27+C27</f>
        <v>4400771.2</v>
      </c>
      <c r="G27" s="52"/>
      <c r="H27" s="52"/>
      <c r="I27" s="52"/>
      <c r="J27" s="52"/>
      <c r="K27" s="52"/>
      <c r="L27" s="52"/>
      <c r="M27" s="52"/>
      <c r="N27" s="52"/>
      <c r="O27" s="52"/>
      <c r="P27" s="52"/>
    </row>
    <row r="28" spans="1:16" ht="15" customHeight="1">
      <c r="A28" s="58"/>
      <c r="B28" s="52"/>
      <c r="C28" s="52"/>
      <c r="D28" s="52"/>
      <c r="E28" s="52"/>
      <c r="F28" s="52"/>
      <c r="G28" s="52"/>
      <c r="H28" s="52"/>
      <c r="I28" s="52"/>
      <c r="J28" s="52"/>
      <c r="K28" s="52"/>
      <c r="L28" s="52"/>
      <c r="M28" s="52"/>
      <c r="N28" s="52"/>
      <c r="O28" s="52"/>
      <c r="P28" s="52"/>
    </row>
    <row r="29" spans="1:16" ht="15" customHeight="1">
      <c r="A29" s="58"/>
      <c r="B29" s="52"/>
      <c r="C29" s="52"/>
      <c r="D29" s="52"/>
      <c r="E29" s="52"/>
      <c r="F29" s="52"/>
      <c r="G29" s="52"/>
      <c r="H29" s="52"/>
      <c r="I29" s="52"/>
      <c r="J29" s="52"/>
      <c r="K29" s="52"/>
      <c r="L29" s="52"/>
      <c r="M29" s="52"/>
      <c r="N29" s="52"/>
      <c r="O29" s="52"/>
      <c r="P29" s="52"/>
    </row>
    <row r="30" spans="1:16" ht="15" hidden="1" customHeight="1">
      <c r="A30" s="99"/>
      <c r="B30" s="52"/>
      <c r="C30" s="52"/>
      <c r="D30" s="52"/>
      <c r="E30" s="52"/>
      <c r="F30" s="52"/>
      <c r="G30" s="52"/>
      <c r="H30" s="52"/>
      <c r="I30" s="52"/>
      <c r="J30" s="52"/>
      <c r="K30" s="52"/>
      <c r="L30" s="52"/>
      <c r="M30" s="52"/>
      <c r="N30" s="52"/>
      <c r="O30" s="52"/>
      <c r="P30" s="52"/>
    </row>
    <row r="31" spans="1:16" hidden="1">
      <c r="B31" s="52"/>
      <c r="C31" s="52"/>
      <c r="D31" s="52"/>
      <c r="E31" s="52"/>
      <c r="F31" s="52"/>
      <c r="G31" s="52"/>
      <c r="H31" s="52"/>
      <c r="I31" s="52"/>
      <c r="J31" s="52"/>
      <c r="K31" s="52"/>
      <c r="L31" s="52"/>
      <c r="M31" s="52"/>
      <c r="N31" s="52"/>
      <c r="O31" s="52"/>
      <c r="P31" s="52"/>
    </row>
    <row r="32" spans="1:16" hidden="1">
      <c r="B32" s="52"/>
      <c r="C32" s="52"/>
      <c r="D32" s="52"/>
      <c r="E32" s="52"/>
      <c r="F32" s="52"/>
      <c r="G32" s="52"/>
      <c r="H32" s="52"/>
      <c r="I32" s="52"/>
      <c r="J32" s="52"/>
      <c r="K32" s="52"/>
      <c r="L32" s="52"/>
      <c r="M32" s="52"/>
      <c r="N32" s="52"/>
      <c r="O32" s="52"/>
      <c r="P32" s="52"/>
    </row>
    <row r="33" spans="1:16" hidden="1">
      <c r="A33" s="41">
        <v>1999</v>
      </c>
      <c r="B33" s="52"/>
      <c r="C33" s="52"/>
      <c r="D33" s="52"/>
      <c r="E33" s="52"/>
      <c r="F33" s="52"/>
      <c r="G33" s="52"/>
      <c r="H33" s="52"/>
      <c r="I33" s="52"/>
      <c r="J33" s="52"/>
      <c r="K33" s="52"/>
      <c r="L33" s="52"/>
      <c r="M33" s="52"/>
      <c r="N33" s="52"/>
      <c r="O33" s="52"/>
      <c r="P33" s="52"/>
    </row>
    <row r="34" spans="1:16" hidden="1">
      <c r="A34" s="41">
        <v>2000</v>
      </c>
      <c r="B34" s="52"/>
      <c r="C34" s="52"/>
      <c r="D34" s="52"/>
      <c r="E34" s="52"/>
      <c r="F34" s="52"/>
      <c r="G34" s="52"/>
      <c r="H34" s="52"/>
      <c r="I34" s="52"/>
      <c r="J34" s="52"/>
      <c r="K34" s="52"/>
      <c r="L34" s="52"/>
      <c r="M34" s="52"/>
      <c r="N34" s="52"/>
      <c r="O34" s="52"/>
      <c r="P34" s="52"/>
    </row>
    <row r="35" spans="1:16" hidden="1">
      <c r="A35" s="41">
        <v>2001</v>
      </c>
      <c r="B35" s="52"/>
      <c r="C35" s="52"/>
      <c r="D35" s="52"/>
      <c r="E35" s="52"/>
      <c r="F35" s="52"/>
      <c r="G35" s="52"/>
      <c r="H35" s="52"/>
      <c r="I35" s="52"/>
      <c r="J35" s="52"/>
      <c r="K35" s="52"/>
      <c r="L35" s="52"/>
      <c r="M35" s="52"/>
      <c r="N35" s="52"/>
      <c r="O35" s="52"/>
      <c r="P35" s="52"/>
    </row>
    <row r="36" spans="1:16" hidden="1">
      <c r="A36" s="41">
        <v>2002</v>
      </c>
      <c r="B36" s="52"/>
      <c r="C36" s="52"/>
      <c r="D36" s="52"/>
      <c r="E36" s="52"/>
      <c r="F36" s="52"/>
      <c r="G36" s="52"/>
      <c r="H36" s="52"/>
      <c r="I36" s="52"/>
      <c r="J36" s="52"/>
      <c r="K36" s="52"/>
      <c r="L36" s="52"/>
      <c r="M36" s="52"/>
      <c r="N36" s="52"/>
      <c r="O36" s="52"/>
      <c r="P36" s="52"/>
    </row>
    <row r="37" spans="1:16" hidden="1">
      <c r="A37" s="41">
        <v>2003</v>
      </c>
      <c r="B37" s="52"/>
      <c r="C37" s="52"/>
      <c r="D37" s="52"/>
      <c r="E37" s="52"/>
      <c r="F37" s="52"/>
      <c r="G37" s="52"/>
      <c r="H37" s="52"/>
      <c r="I37" s="52"/>
      <c r="J37" s="52"/>
      <c r="K37" s="52"/>
      <c r="L37" s="52"/>
      <c r="M37" s="52"/>
      <c r="N37" s="52"/>
      <c r="O37" s="52"/>
      <c r="P37" s="52"/>
    </row>
    <row r="38" spans="1:16" hidden="1">
      <c r="A38" s="41">
        <v>2004</v>
      </c>
      <c r="B38" s="52"/>
      <c r="C38" s="52"/>
      <c r="D38" s="52"/>
      <c r="E38" s="52"/>
      <c r="F38" s="52"/>
      <c r="G38" s="52"/>
      <c r="H38" s="52"/>
      <c r="I38" s="52"/>
      <c r="J38" s="52"/>
      <c r="K38" s="52"/>
      <c r="L38" s="52"/>
      <c r="M38" s="52"/>
      <c r="N38" s="52"/>
      <c r="O38" s="52"/>
      <c r="P38" s="52"/>
    </row>
    <row r="39" spans="1:16" hidden="1">
      <c r="A39" s="41">
        <v>2005</v>
      </c>
      <c r="B39" s="52"/>
      <c r="C39" s="52"/>
      <c r="D39" s="52"/>
      <c r="E39" s="52"/>
      <c r="F39" s="52"/>
      <c r="G39" s="52"/>
      <c r="H39" s="52"/>
      <c r="I39" s="52"/>
      <c r="J39" s="52"/>
      <c r="K39" s="52"/>
      <c r="L39" s="52"/>
      <c r="M39" s="52"/>
      <c r="N39" s="52"/>
      <c r="O39" s="52"/>
      <c r="P39" s="52"/>
    </row>
    <row r="40" spans="1:16" hidden="1">
      <c r="A40" s="41">
        <v>2006</v>
      </c>
      <c r="B40" s="52"/>
      <c r="C40" s="52"/>
      <c r="D40" s="52"/>
      <c r="E40" s="52"/>
      <c r="F40" s="52"/>
      <c r="G40" s="52"/>
      <c r="H40" s="52"/>
      <c r="I40" s="52"/>
      <c r="J40" s="52"/>
      <c r="K40" s="52"/>
      <c r="L40" s="52"/>
      <c r="M40" s="52"/>
      <c r="N40" s="52"/>
      <c r="O40" s="52"/>
      <c r="P40" s="52"/>
    </row>
    <row r="41" spans="1:16" hidden="1">
      <c r="A41" s="41">
        <v>2007</v>
      </c>
      <c r="B41" s="52"/>
      <c r="C41" s="52"/>
      <c r="D41" s="52"/>
      <c r="E41" s="52"/>
      <c r="F41" s="52"/>
      <c r="G41" s="52"/>
      <c r="H41" s="52"/>
      <c r="I41" s="52"/>
      <c r="J41" s="52"/>
      <c r="K41" s="52"/>
      <c r="L41" s="52"/>
      <c r="M41" s="52"/>
      <c r="N41" s="52"/>
      <c r="O41" s="52"/>
      <c r="P41" s="52"/>
    </row>
    <row r="42" spans="1:16" hidden="1">
      <c r="A42" s="41" t="e">
        <f>+#REF!+1</f>
        <v>#REF!</v>
      </c>
      <c r="B42" s="52"/>
      <c r="C42" s="52"/>
      <c r="D42" s="52"/>
      <c r="E42" s="52"/>
      <c r="F42" s="52"/>
      <c r="G42" s="52"/>
      <c r="H42" s="52"/>
      <c r="I42" s="52"/>
      <c r="J42" s="52"/>
      <c r="K42" s="52"/>
      <c r="L42" s="52"/>
      <c r="M42" s="52"/>
      <c r="N42" s="52"/>
      <c r="O42" s="52"/>
      <c r="P42" s="52"/>
    </row>
    <row r="43" spans="1:16" hidden="1">
      <c r="A43" s="41" t="e">
        <f>+#REF!+1</f>
        <v>#REF!</v>
      </c>
      <c r="B43" s="52"/>
      <c r="C43" s="52"/>
      <c r="D43" s="52"/>
      <c r="E43" s="52"/>
      <c r="F43" s="52"/>
      <c r="G43" s="52"/>
      <c r="H43" s="52"/>
      <c r="I43" s="52"/>
      <c r="J43" s="52"/>
      <c r="K43" s="52"/>
      <c r="L43" s="52"/>
      <c r="M43" s="52"/>
      <c r="N43" s="52"/>
      <c r="O43" s="52"/>
      <c r="P43" s="52"/>
    </row>
    <row r="44" spans="1:16" hidden="1">
      <c r="A44" s="41" t="e">
        <f>+#REF!+1</f>
        <v>#REF!</v>
      </c>
      <c r="B44" s="52"/>
      <c r="C44" s="52"/>
      <c r="D44" s="52"/>
      <c r="E44" s="52"/>
      <c r="F44" s="52"/>
      <c r="G44" s="52"/>
      <c r="H44" s="52"/>
      <c r="I44" s="52"/>
      <c r="J44" s="52"/>
      <c r="K44" s="52"/>
      <c r="L44" s="52"/>
      <c r="M44" s="52"/>
      <c r="N44" s="52"/>
      <c r="O44" s="52"/>
      <c r="P44" s="52"/>
    </row>
    <row r="45" spans="1:16" hidden="1">
      <c r="A45" s="41" t="e">
        <f>+#REF!+1</f>
        <v>#REF!</v>
      </c>
      <c r="B45" s="52"/>
      <c r="C45" s="52"/>
      <c r="D45" s="52"/>
      <c r="E45" s="52"/>
      <c r="F45" s="52"/>
      <c r="G45" s="52"/>
      <c r="H45" s="52"/>
      <c r="I45" s="52"/>
      <c r="J45" s="52"/>
      <c r="K45" s="52"/>
      <c r="L45" s="52"/>
      <c r="M45" s="52"/>
      <c r="N45" s="52"/>
      <c r="O45" s="52"/>
      <c r="P45" s="52"/>
    </row>
    <row r="46" spans="1:16" hidden="1">
      <c r="A46" s="41" t="e">
        <f>+#REF!+1</f>
        <v>#REF!</v>
      </c>
      <c r="B46" s="52"/>
      <c r="C46" s="52"/>
      <c r="D46" s="52"/>
      <c r="E46" s="52"/>
      <c r="F46" s="52"/>
      <c r="G46" s="52"/>
      <c r="H46" s="52"/>
      <c r="I46" s="52"/>
      <c r="J46" s="52"/>
      <c r="K46" s="52"/>
      <c r="L46" s="52"/>
      <c r="M46" s="52"/>
      <c r="N46" s="52"/>
      <c r="O46" s="52"/>
      <c r="P46" s="52"/>
    </row>
    <row r="47" spans="1:16" hidden="1">
      <c r="A47" s="41" t="e">
        <f>+#REF!+1</f>
        <v>#REF!</v>
      </c>
      <c r="B47" s="52"/>
      <c r="C47" s="52"/>
      <c r="D47" s="52"/>
      <c r="E47" s="52"/>
      <c r="F47" s="52"/>
      <c r="G47" s="52"/>
      <c r="H47" s="52"/>
      <c r="I47" s="52"/>
      <c r="J47" s="52"/>
      <c r="K47" s="52"/>
      <c r="L47" s="52"/>
      <c r="M47" s="52"/>
      <c r="N47" s="52"/>
      <c r="O47" s="52"/>
      <c r="P47" s="52"/>
    </row>
    <row r="48" spans="1:16" hidden="1">
      <c r="A48" s="41" t="e">
        <f>+#REF!+1</f>
        <v>#REF!</v>
      </c>
      <c r="B48" s="52"/>
      <c r="C48" s="52"/>
      <c r="D48" s="52"/>
      <c r="E48" s="52"/>
      <c r="F48" s="52"/>
      <c r="G48" s="52"/>
      <c r="H48" s="52"/>
      <c r="I48" s="52"/>
      <c r="J48" s="52"/>
      <c r="K48" s="52"/>
      <c r="L48" s="52"/>
      <c r="M48" s="52"/>
      <c r="N48" s="52"/>
      <c r="O48" s="52"/>
      <c r="P48" s="52"/>
    </row>
    <row r="49" spans="1:18" hidden="1">
      <c r="A49" s="41" t="e">
        <f>+#REF!+1</f>
        <v>#REF!</v>
      </c>
      <c r="B49" s="52"/>
      <c r="C49" s="52"/>
      <c r="D49" s="52"/>
      <c r="E49" s="52"/>
      <c r="F49" s="52"/>
      <c r="G49" s="52"/>
      <c r="H49" s="52"/>
      <c r="I49" s="52"/>
      <c r="J49" s="52"/>
      <c r="K49" s="52"/>
      <c r="L49" s="52"/>
      <c r="M49" s="52"/>
      <c r="N49" s="52"/>
      <c r="O49" s="52"/>
      <c r="P49" s="52"/>
    </row>
    <row r="50" spans="1:18" hidden="1">
      <c r="A50" s="41" t="e">
        <f>+#REF!+1</f>
        <v>#REF!</v>
      </c>
      <c r="B50" s="52"/>
      <c r="C50" s="52"/>
      <c r="D50" s="52"/>
      <c r="E50" s="52"/>
      <c r="F50" s="52"/>
      <c r="G50" s="52"/>
      <c r="H50" s="52"/>
      <c r="I50" s="52"/>
      <c r="J50" s="52"/>
      <c r="K50" s="52"/>
      <c r="L50" s="52"/>
      <c r="M50" s="52"/>
      <c r="N50" s="52"/>
      <c r="O50" s="52"/>
      <c r="P50" s="52"/>
    </row>
    <row r="51" spans="1:18" ht="9" hidden="1" customHeight="1">
      <c r="A51" s="97"/>
      <c r="B51" s="52"/>
      <c r="C51" s="52"/>
      <c r="D51" s="52"/>
      <c r="E51" s="52"/>
      <c r="F51" s="52"/>
      <c r="G51" s="52"/>
      <c r="H51" s="52"/>
      <c r="I51" s="52"/>
      <c r="J51" s="52"/>
      <c r="K51" s="52"/>
      <c r="L51" s="52"/>
      <c r="M51" s="52"/>
      <c r="N51" s="52"/>
      <c r="O51" s="52"/>
      <c r="P51" s="52"/>
    </row>
    <row r="52" spans="1:18" ht="22.5" hidden="1" customHeight="1">
      <c r="A52" s="96"/>
      <c r="Q52" s="54"/>
    </row>
    <row r="53" spans="1:18" ht="22.5" hidden="1" customHeight="1">
      <c r="A53" s="98"/>
      <c r="M53" s="52"/>
      <c r="N53" s="52"/>
      <c r="O53" s="55"/>
      <c r="Q53" s="54"/>
      <c r="R53" s="54"/>
    </row>
    <row r="54" spans="1:18" ht="24" hidden="1" customHeight="1">
      <c r="A54" s="96"/>
      <c r="M54" s="52"/>
      <c r="N54" s="52"/>
      <c r="O54" s="55"/>
      <c r="Q54" s="54"/>
      <c r="R54" s="54"/>
    </row>
    <row r="55" spans="1:18">
      <c r="M55" s="52"/>
      <c r="N55" s="52"/>
      <c r="O55" s="55"/>
      <c r="Q55" s="54"/>
      <c r="R55" s="54"/>
    </row>
    <row r="56" spans="1:18">
      <c r="M56" s="52"/>
      <c r="N56" s="52"/>
      <c r="O56" s="55"/>
      <c r="Q56" s="54"/>
      <c r="R56" s="54"/>
    </row>
    <row r="57" spans="1:18">
      <c r="M57" s="52"/>
      <c r="N57" s="52"/>
      <c r="O57" s="55"/>
      <c r="Q57" s="54"/>
      <c r="R57" s="54"/>
    </row>
    <row r="58" spans="1:18">
      <c r="M58" s="52"/>
      <c r="N58" s="52"/>
      <c r="O58" s="55"/>
      <c r="R58" s="54"/>
    </row>
  </sheetData>
  <mergeCells count="9">
    <mergeCell ref="A1:A2"/>
    <mergeCell ref="Q1:R1"/>
    <mergeCell ref="I1:J1"/>
    <mergeCell ref="B1:D1"/>
    <mergeCell ref="E1:F1"/>
    <mergeCell ref="O1:P1"/>
    <mergeCell ref="M1:N1"/>
    <mergeCell ref="K1:L1"/>
    <mergeCell ref="G1:H1"/>
  </mergeCells>
  <phoneticPr fontId="1" type="noConversion"/>
  <pageMargins left="0.3" right="0.3" top="0.3" bottom="0.3" header="0" footer="0"/>
  <pageSetup orientation="portrait" r:id="rId1"/>
  <headerFooter alignWithMargins="0">
    <oddHeader>&amp;C&amp;"Palatino Linotype,Bold"&amp;14SNAP and TANF Overpayment Collections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86"/>
  <sheetViews>
    <sheetView tabSelected="1" zoomScaleNormal="100" workbookViewId="0">
      <pane ySplit="1" topLeftCell="A2" activePane="bottomLeft" state="frozen"/>
      <selection pane="bottomLeft" activeCell="A3" sqref="A3"/>
    </sheetView>
  </sheetViews>
  <sheetFormatPr defaultRowHeight="12.75"/>
  <cols>
    <col min="1" max="1" width="4.375" style="41" customWidth="1"/>
    <col min="2" max="2" width="15.625" style="41" customWidth="1"/>
    <col min="3" max="3" width="17.75" style="41" customWidth="1"/>
    <col min="4" max="4" width="9.375" style="41" hidden="1" customWidth="1"/>
    <col min="5" max="5" width="7.625" style="41" bestFit="1" customWidth="1"/>
    <col min="6" max="6" width="9.375" style="41" hidden="1" customWidth="1"/>
    <col min="7" max="7" width="11.625" style="41" bestFit="1" customWidth="1"/>
    <col min="8" max="8" width="7.375" style="41" hidden="1" customWidth="1"/>
    <col min="9" max="9" width="8.75" style="41" bestFit="1" customWidth="1"/>
    <col min="10" max="10" width="7.625" style="41" customWidth="1"/>
    <col min="11" max="11" width="7.625" style="41" bestFit="1" customWidth="1"/>
    <col min="12" max="12" width="16.125" style="41" customWidth="1"/>
    <col min="13" max="13" width="4" style="41" customWidth="1"/>
    <col min="14" max="19" width="15.625" style="41" customWidth="1"/>
    <col min="20" max="20" width="11.875" style="41" customWidth="1"/>
    <col min="21" max="21" width="9.375" style="41" customWidth="1"/>
    <col min="22" max="23" width="15" style="41" bestFit="1" customWidth="1"/>
    <col min="24" max="24" width="13.375" style="41" bestFit="1" customWidth="1"/>
    <col min="25" max="25" width="11.375" style="41" customWidth="1"/>
    <col min="26" max="26" width="13.5" style="41" bestFit="1" customWidth="1"/>
    <col min="27" max="27" width="13.25" style="41" customWidth="1"/>
    <col min="28" max="38" width="9.375" style="41" customWidth="1"/>
    <col min="39" max="16384" width="9" style="41"/>
  </cols>
  <sheetData>
    <row r="1" spans="2:30" ht="18">
      <c r="B1" s="111" t="s">
        <v>75</v>
      </c>
      <c r="C1" s="111"/>
      <c r="D1" s="111"/>
      <c r="E1" s="111"/>
      <c r="F1" s="111"/>
      <c r="G1" s="111"/>
      <c r="H1" s="111"/>
      <c r="I1" s="111"/>
      <c r="J1" s="111"/>
      <c r="K1" s="111"/>
      <c r="L1" s="111"/>
      <c r="M1" s="42"/>
      <c r="N1" s="42"/>
      <c r="O1" s="42"/>
      <c r="P1" s="42"/>
      <c r="Q1" s="42"/>
      <c r="R1" s="42"/>
      <c r="S1" s="42"/>
      <c r="T1" s="42"/>
      <c r="AD1" s="43"/>
    </row>
    <row r="2" spans="2:30" ht="18" customHeight="1">
      <c r="L2" s="42"/>
      <c r="M2" s="42"/>
      <c r="N2" s="42"/>
      <c r="O2" s="42"/>
      <c r="P2" s="42"/>
      <c r="Q2" s="42"/>
      <c r="R2" s="42"/>
      <c r="S2" s="42"/>
      <c r="T2" s="42"/>
      <c r="AD2" s="43"/>
    </row>
    <row r="3" spans="2:30" ht="18" customHeight="1">
      <c r="L3" s="42"/>
      <c r="M3" s="42"/>
      <c r="N3" s="42"/>
      <c r="O3" s="42"/>
      <c r="P3" s="42"/>
      <c r="Q3" s="42"/>
      <c r="R3" s="42"/>
      <c r="S3" s="42"/>
      <c r="T3" s="42"/>
      <c r="AD3" s="43"/>
    </row>
    <row r="4" spans="2:30" ht="18" customHeight="1">
      <c r="L4" s="42"/>
      <c r="M4" s="42"/>
      <c r="N4" s="42"/>
      <c r="O4" s="42"/>
      <c r="P4" s="42"/>
      <c r="Q4" s="42"/>
      <c r="R4" s="42"/>
      <c r="S4" s="42"/>
      <c r="T4" s="42"/>
      <c r="AD4" s="43"/>
    </row>
    <row r="5" spans="2:30" ht="18" customHeight="1">
      <c r="L5" s="42"/>
      <c r="M5" s="42"/>
      <c r="N5" s="42"/>
      <c r="O5" s="42"/>
      <c r="P5" s="42"/>
      <c r="Q5" s="42"/>
      <c r="R5" s="42"/>
      <c r="S5" s="42"/>
      <c r="T5" s="42"/>
      <c r="AD5" s="43"/>
    </row>
    <row r="6" spans="2:30" ht="18" customHeight="1">
      <c r="L6" s="42"/>
      <c r="M6" s="42"/>
      <c r="N6" s="42"/>
      <c r="O6" s="42"/>
      <c r="P6" s="42"/>
      <c r="Q6" s="42"/>
      <c r="R6" s="42"/>
      <c r="S6" s="42"/>
      <c r="T6" s="42"/>
      <c r="AD6" s="43"/>
    </row>
    <row r="7" spans="2:30" ht="18" customHeight="1">
      <c r="L7" s="42"/>
      <c r="M7" s="42"/>
      <c r="N7" s="42"/>
      <c r="O7" s="42"/>
      <c r="P7" s="42"/>
      <c r="Q7" s="42"/>
      <c r="R7" s="42"/>
      <c r="S7" s="42"/>
      <c r="T7" s="42"/>
      <c r="AD7" s="43"/>
    </row>
    <row r="8" spans="2:30" ht="18" customHeight="1">
      <c r="L8" s="42"/>
      <c r="M8" s="42"/>
      <c r="N8" s="42"/>
      <c r="O8" s="42"/>
      <c r="P8" s="42"/>
      <c r="Q8" s="42"/>
      <c r="R8" s="42"/>
      <c r="S8" s="42"/>
      <c r="T8" s="42"/>
      <c r="AD8" s="43"/>
    </row>
    <row r="9" spans="2:30" ht="18" customHeight="1">
      <c r="L9" s="42"/>
      <c r="M9" s="42"/>
      <c r="N9" s="42"/>
      <c r="O9" s="42"/>
      <c r="P9" s="42"/>
      <c r="Q9" s="42"/>
      <c r="R9" s="42"/>
      <c r="S9" s="42"/>
      <c r="T9" s="42"/>
      <c r="AD9" s="43"/>
    </row>
    <row r="10" spans="2:30" ht="18" customHeight="1">
      <c r="L10" s="42"/>
      <c r="M10" s="42"/>
      <c r="N10" s="42"/>
      <c r="O10" s="42"/>
      <c r="P10" s="42"/>
      <c r="Q10" s="42"/>
      <c r="R10" s="42"/>
      <c r="S10" s="42"/>
      <c r="T10" s="42"/>
      <c r="AD10" s="43"/>
    </row>
    <row r="11" spans="2:30" ht="18" customHeight="1">
      <c r="L11" s="42"/>
      <c r="M11" s="42"/>
      <c r="N11" s="42"/>
      <c r="O11" s="42"/>
      <c r="P11" s="42"/>
      <c r="Q11" s="42"/>
      <c r="R11" s="42"/>
      <c r="S11" s="42"/>
      <c r="T11" s="42"/>
      <c r="AD11" s="43"/>
    </row>
    <row r="12" spans="2:30" ht="18" customHeight="1">
      <c r="L12" s="42"/>
      <c r="M12" s="42"/>
      <c r="N12" s="42"/>
      <c r="O12" s="42"/>
      <c r="P12" s="42"/>
      <c r="Q12" s="42"/>
      <c r="R12" s="42"/>
      <c r="S12" s="42"/>
      <c r="T12" s="42"/>
      <c r="AD12" s="43"/>
    </row>
    <row r="13" spans="2:30" ht="18" customHeight="1">
      <c r="L13" s="42"/>
      <c r="M13" s="42"/>
      <c r="N13" s="42"/>
      <c r="O13" s="42"/>
      <c r="P13" s="42"/>
      <c r="Q13" s="42"/>
      <c r="R13" s="42"/>
      <c r="S13" s="42"/>
      <c r="T13" s="42"/>
      <c r="AD13" s="43"/>
    </row>
    <row r="14" spans="2:30" ht="18" customHeight="1">
      <c r="L14" s="42"/>
      <c r="M14" s="42"/>
      <c r="N14" s="42"/>
      <c r="O14" s="42"/>
      <c r="P14" s="42"/>
      <c r="Q14" s="42"/>
      <c r="R14" s="42"/>
      <c r="S14" s="42"/>
      <c r="T14" s="42"/>
      <c r="AD14" s="43"/>
    </row>
    <row r="15" spans="2:30" ht="18" customHeight="1">
      <c r="L15" s="42"/>
      <c r="M15" s="42"/>
      <c r="N15" s="42"/>
      <c r="O15" s="42"/>
      <c r="P15" s="42"/>
      <c r="Q15" s="42"/>
      <c r="R15" s="42"/>
      <c r="S15" s="42"/>
      <c r="T15" s="42"/>
      <c r="AD15" s="43"/>
    </row>
    <row r="16" spans="2:30" ht="18" customHeight="1">
      <c r="L16" s="42"/>
      <c r="M16" s="42"/>
      <c r="N16" s="42"/>
      <c r="O16" s="42"/>
      <c r="P16" s="42"/>
      <c r="Q16" s="42"/>
      <c r="R16" s="42"/>
      <c r="S16" s="42"/>
      <c r="T16" s="42"/>
      <c r="AD16" s="43"/>
    </row>
    <row r="17" spans="2:45" ht="18" customHeight="1">
      <c r="L17" s="42"/>
      <c r="M17" s="42"/>
      <c r="N17" s="42"/>
      <c r="O17" s="42"/>
      <c r="P17" s="42"/>
      <c r="Q17" s="42"/>
      <c r="R17" s="42"/>
      <c r="S17" s="42"/>
      <c r="T17" s="42"/>
      <c r="AD17" s="43"/>
    </row>
    <row r="18" spans="2:45" ht="18" customHeight="1">
      <c r="L18" s="42"/>
      <c r="M18" s="42"/>
      <c r="N18" s="42"/>
      <c r="O18" s="42"/>
      <c r="P18" s="42"/>
      <c r="Q18" s="42"/>
      <c r="R18" s="42"/>
      <c r="S18" s="42"/>
      <c r="T18" s="42"/>
      <c r="AD18" s="43"/>
    </row>
    <row r="19" spans="2:45" ht="15" customHeight="1">
      <c r="L19" s="42"/>
      <c r="M19" s="42"/>
      <c r="N19" s="42"/>
      <c r="O19" s="42"/>
      <c r="P19" s="42"/>
      <c r="Q19" s="42"/>
      <c r="R19" s="42"/>
      <c r="S19" s="42"/>
      <c r="T19" s="42"/>
      <c r="AD19" s="43"/>
    </row>
    <row r="20" spans="2:45" ht="15" customHeight="1">
      <c r="L20" s="42"/>
      <c r="M20" s="42"/>
      <c r="N20" s="42"/>
      <c r="O20" s="42"/>
      <c r="P20" s="42"/>
      <c r="Q20" s="42"/>
      <c r="R20" s="42"/>
      <c r="S20" s="42"/>
      <c r="T20" s="42"/>
      <c r="AD20" s="43"/>
    </row>
    <row r="21" spans="2:45" ht="15" customHeight="1">
      <c r="L21" s="42"/>
      <c r="M21" s="42"/>
      <c r="N21" s="42"/>
      <c r="O21" s="42"/>
      <c r="P21" s="42"/>
      <c r="Q21" s="42"/>
      <c r="R21" s="42"/>
      <c r="S21" s="42"/>
      <c r="T21" s="42"/>
      <c r="AD21" s="43"/>
    </row>
    <row r="22" spans="2:45" ht="31.5" customHeight="1">
      <c r="B22" s="45"/>
      <c r="C22" s="106" t="s">
        <v>8</v>
      </c>
      <c r="D22" s="69"/>
      <c r="E22" s="112" t="s">
        <v>54</v>
      </c>
      <c r="F22" s="112"/>
      <c r="G22" s="112"/>
      <c r="H22" s="112"/>
      <c r="I22" s="113"/>
      <c r="J22" s="106" t="s">
        <v>46</v>
      </c>
      <c r="K22" s="106"/>
      <c r="L22" s="44"/>
      <c r="M22" s="44"/>
      <c r="N22" s="44"/>
      <c r="O22" s="44"/>
      <c r="P22" s="44"/>
      <c r="Q22" s="44"/>
      <c r="R22" s="44"/>
      <c r="S22" s="44"/>
      <c r="T22" s="44"/>
      <c r="U22" s="65"/>
      <c r="V22" s="114" t="s">
        <v>51</v>
      </c>
      <c r="W22" s="114"/>
      <c r="X22" s="114"/>
      <c r="Y22" s="109" t="s">
        <v>52</v>
      </c>
      <c r="Z22" s="109"/>
      <c r="AA22" s="108"/>
      <c r="AB22" s="108"/>
      <c r="AC22" s="108"/>
      <c r="AD22" s="108"/>
      <c r="AE22" s="108"/>
      <c r="AF22" s="108"/>
      <c r="AG22" s="110"/>
      <c r="AH22" s="110"/>
      <c r="AI22" s="108"/>
      <c r="AJ22" s="108"/>
      <c r="AK22" s="108"/>
      <c r="AL22" s="108"/>
      <c r="AM22" s="44"/>
      <c r="AN22" s="44"/>
      <c r="AO22" s="44"/>
      <c r="AP22" s="44"/>
      <c r="AQ22" s="44"/>
      <c r="AR22" s="44"/>
      <c r="AS22" s="44"/>
    </row>
    <row r="23" spans="2:45" ht="33" customHeight="1">
      <c r="C23" s="107"/>
      <c r="D23" s="70" t="s">
        <v>7</v>
      </c>
      <c r="E23" s="71" t="s">
        <v>1</v>
      </c>
      <c r="F23" s="70" t="s">
        <v>7</v>
      </c>
      <c r="G23" s="71" t="s">
        <v>2</v>
      </c>
      <c r="H23" s="70" t="s">
        <v>7</v>
      </c>
      <c r="I23" s="72" t="s">
        <v>3</v>
      </c>
      <c r="J23" s="73" t="s">
        <v>61</v>
      </c>
      <c r="K23" s="73" t="s">
        <v>55</v>
      </c>
      <c r="L23" s="48"/>
      <c r="M23" s="48"/>
      <c r="N23" s="48"/>
      <c r="O23" s="48"/>
      <c r="P23" s="48"/>
      <c r="Q23" s="48"/>
      <c r="R23" s="48"/>
      <c r="S23" s="48"/>
      <c r="T23" s="48"/>
      <c r="U23" s="100" t="s">
        <v>4</v>
      </c>
      <c r="V23" s="62" t="s">
        <v>1</v>
      </c>
      <c r="W23" s="62" t="s">
        <v>2</v>
      </c>
      <c r="X23" s="63" t="s">
        <v>3</v>
      </c>
      <c r="Y23" s="46" t="s">
        <v>49</v>
      </c>
      <c r="Z23" s="46" t="s">
        <v>13</v>
      </c>
      <c r="AA23" s="100"/>
      <c r="AB23" s="100"/>
      <c r="AC23" s="100"/>
      <c r="AD23" s="100"/>
      <c r="AE23" s="100"/>
      <c r="AF23" s="100"/>
      <c r="AG23" s="100"/>
      <c r="AH23" s="100"/>
      <c r="AI23" s="100"/>
      <c r="AJ23" s="100"/>
      <c r="AK23" s="100"/>
      <c r="AL23" s="100"/>
      <c r="AM23" s="44"/>
      <c r="AN23" s="44"/>
      <c r="AO23" s="44"/>
      <c r="AP23" s="44"/>
      <c r="AQ23" s="44"/>
      <c r="AR23" s="44"/>
      <c r="AS23" s="44"/>
    </row>
    <row r="24" spans="2:45" ht="15" customHeight="1">
      <c r="C24" s="93">
        <v>1996</v>
      </c>
      <c r="D24" s="94">
        <f>250681/1000000</f>
        <v>0.25068099999999999</v>
      </c>
      <c r="E24" s="88">
        <f>244370/1000000</f>
        <v>0.24437</v>
      </c>
      <c r="F24" s="94">
        <f>710159/1000000</f>
        <v>0.71015899999999998</v>
      </c>
      <c r="G24" s="88">
        <f>548013/1000000</f>
        <v>0.54801299999999997</v>
      </c>
      <c r="H24" s="94">
        <f>131311/1000000</f>
        <v>0.13131100000000001</v>
      </c>
      <c r="I24" s="88">
        <f>126869/1000000</f>
        <v>0.12686900000000001</v>
      </c>
      <c r="J24" s="95">
        <f t="shared" ref="J24:J34" si="0">+H24+F24+D24+U24</f>
        <v>1.173457</v>
      </c>
      <c r="K24" s="95">
        <f>+I24+G24+E24</f>
        <v>0.91925199999999996</v>
      </c>
      <c r="L24" s="48"/>
      <c r="M24" s="48"/>
      <c r="N24" s="48"/>
      <c r="O24" s="48"/>
      <c r="P24" s="48"/>
      <c r="Q24" s="48"/>
      <c r="R24" s="48"/>
      <c r="S24" s="48"/>
      <c r="T24" s="49"/>
      <c r="U24" s="49">
        <v>8.1306000000000003E-2</v>
      </c>
      <c r="V24" s="61">
        <f>244370</f>
        <v>244370</v>
      </c>
      <c r="W24" s="61">
        <f>548013</f>
        <v>548013</v>
      </c>
      <c r="X24" s="61">
        <f>126869</f>
        <v>126869</v>
      </c>
      <c r="Y24" s="81">
        <v>1173457</v>
      </c>
      <c r="Z24" s="49">
        <f t="shared" ref="Z24:Z47" si="1">+X24+V24+W24</f>
        <v>919252</v>
      </c>
      <c r="AA24" s="49"/>
      <c r="AB24" s="100"/>
      <c r="AC24" s="100"/>
      <c r="AD24" s="100"/>
      <c r="AE24" s="100"/>
      <c r="AF24" s="100"/>
      <c r="AG24" s="100"/>
      <c r="AH24" s="100"/>
      <c r="AI24" s="100"/>
      <c r="AJ24" s="100"/>
      <c r="AK24" s="100"/>
      <c r="AL24" s="100"/>
      <c r="AM24" s="44"/>
      <c r="AN24" s="44"/>
      <c r="AO24" s="44"/>
      <c r="AP24" s="44"/>
      <c r="AQ24" s="44"/>
      <c r="AR24" s="44"/>
      <c r="AS24" s="44"/>
    </row>
    <row r="25" spans="2:45" ht="15" customHeight="1">
      <c r="C25" s="93" t="s">
        <v>14</v>
      </c>
      <c r="D25" s="94">
        <f>275694/1000000</f>
        <v>0.27569399999999999</v>
      </c>
      <c r="E25" s="88">
        <f>712360/1000000</f>
        <v>0.71235999999999999</v>
      </c>
      <c r="F25" s="94">
        <f>621405/1000000</f>
        <v>0.62140499999999999</v>
      </c>
      <c r="G25" s="88">
        <f>1004675/1000000</f>
        <v>1.004675</v>
      </c>
      <c r="H25" s="94">
        <f>119955/1000000</f>
        <v>0.11995500000000001</v>
      </c>
      <c r="I25" s="88">
        <f>235684/1000000</f>
        <v>0.235684</v>
      </c>
      <c r="J25" s="95">
        <f t="shared" si="0"/>
        <v>1.0897559999999999</v>
      </c>
      <c r="K25" s="95">
        <f t="shared" ref="K25:K47" si="2">+I25+G25+E25</f>
        <v>1.9527190000000001</v>
      </c>
      <c r="L25" s="44"/>
      <c r="M25" s="44"/>
      <c r="N25" s="44"/>
      <c r="O25" s="44"/>
      <c r="P25" s="44"/>
      <c r="Q25" s="44"/>
      <c r="R25" s="44"/>
      <c r="S25" s="44"/>
      <c r="T25" s="49"/>
      <c r="U25" s="49">
        <v>7.2702000000000003E-2</v>
      </c>
      <c r="V25" s="61">
        <f>712360</f>
        <v>712360</v>
      </c>
      <c r="W25" s="61">
        <f>1004675</f>
        <v>1004675</v>
      </c>
      <c r="X25" s="61">
        <f>235684</f>
        <v>235684</v>
      </c>
      <c r="Y25" s="81">
        <v>1089756</v>
      </c>
      <c r="Z25" s="49">
        <f t="shared" si="1"/>
        <v>1952719</v>
      </c>
      <c r="AA25" s="49"/>
      <c r="AB25" s="50"/>
      <c r="AC25" s="50"/>
      <c r="AD25" s="50"/>
      <c r="AE25" s="50"/>
      <c r="AF25" s="50"/>
      <c r="AG25" s="50"/>
      <c r="AH25" s="50"/>
      <c r="AI25" s="50"/>
      <c r="AJ25" s="50"/>
      <c r="AK25" s="51"/>
      <c r="AL25" s="50"/>
      <c r="AM25" s="44"/>
      <c r="AN25" s="44"/>
      <c r="AO25" s="44"/>
      <c r="AP25" s="44"/>
      <c r="AQ25" s="44"/>
      <c r="AR25" s="44"/>
      <c r="AS25" s="44"/>
    </row>
    <row r="26" spans="2:45" ht="15" customHeight="1">
      <c r="C26" s="93" t="s">
        <v>15</v>
      </c>
      <c r="D26" s="94">
        <f>266646/1000000</f>
        <v>0.26664599999999999</v>
      </c>
      <c r="E26" s="88">
        <f>842421/1000000</f>
        <v>0.84242099999999998</v>
      </c>
      <c r="F26" s="94">
        <f>505747/1000000</f>
        <v>0.50574699999999995</v>
      </c>
      <c r="G26" s="88">
        <f>1162171/1000000</f>
        <v>1.1621710000000001</v>
      </c>
      <c r="H26" s="94">
        <f>105008/1000000</f>
        <v>0.105008</v>
      </c>
      <c r="I26" s="88">
        <f>356817/1000000</f>
        <v>0.356817</v>
      </c>
      <c r="J26" s="95">
        <f t="shared" si="0"/>
        <v>0.92441099999999987</v>
      </c>
      <c r="K26" s="95">
        <f t="shared" si="2"/>
        <v>2.3614090000000001</v>
      </c>
      <c r="L26" s="44"/>
      <c r="M26" s="44"/>
      <c r="N26" s="44"/>
      <c r="O26" s="44"/>
      <c r="P26" s="44"/>
      <c r="Q26" s="44"/>
      <c r="R26" s="44"/>
      <c r="S26" s="44"/>
      <c r="T26" s="49"/>
      <c r="U26" s="49">
        <v>4.7010000000000003E-2</v>
      </c>
      <c r="V26" s="61">
        <f>842421</f>
        <v>842421</v>
      </c>
      <c r="W26" s="61">
        <f>1162171</f>
        <v>1162171</v>
      </c>
      <c r="X26" s="61">
        <f>356817</f>
        <v>356817</v>
      </c>
      <c r="Y26" s="81">
        <v>924411</v>
      </c>
      <c r="Z26" s="49">
        <f t="shared" si="1"/>
        <v>2361409</v>
      </c>
      <c r="AA26" s="49"/>
      <c r="AB26" s="50"/>
      <c r="AC26" s="50"/>
      <c r="AD26" s="50"/>
      <c r="AE26" s="50"/>
      <c r="AF26" s="50"/>
      <c r="AG26" s="50"/>
      <c r="AH26" s="50"/>
      <c r="AI26" s="50"/>
      <c r="AJ26" s="50"/>
      <c r="AK26" s="51"/>
      <c r="AL26" s="50"/>
      <c r="AM26" s="44"/>
      <c r="AN26" s="44"/>
      <c r="AO26" s="44"/>
      <c r="AP26" s="44"/>
      <c r="AQ26" s="44"/>
      <c r="AR26" s="44"/>
      <c r="AS26" s="44"/>
    </row>
    <row r="27" spans="2:45" ht="15" customHeight="1">
      <c r="C27" s="93" t="s">
        <v>16</v>
      </c>
      <c r="D27" s="94">
        <f>209873/1000000</f>
        <v>0.209873</v>
      </c>
      <c r="E27" s="88">
        <f>823675/1000000</f>
        <v>0.82367500000000005</v>
      </c>
      <c r="F27" s="94">
        <f>343332/1000000</f>
        <v>0.34333200000000003</v>
      </c>
      <c r="G27" s="88">
        <f>1002096/1000000</f>
        <v>1.0020960000000001</v>
      </c>
      <c r="H27" s="94">
        <f>65496/1000000</f>
        <v>6.5495999999999999E-2</v>
      </c>
      <c r="I27" s="88">
        <f>385993/1000000</f>
        <v>0.38599299999999998</v>
      </c>
      <c r="J27" s="95">
        <f t="shared" si="0"/>
        <v>0.65067200000000003</v>
      </c>
      <c r="K27" s="95">
        <f t="shared" si="2"/>
        <v>2.2117640000000001</v>
      </c>
      <c r="L27" s="44"/>
      <c r="M27" s="44"/>
      <c r="N27" s="44"/>
      <c r="O27" s="44"/>
      <c r="P27" s="44"/>
      <c r="Q27" s="44"/>
      <c r="R27" s="44"/>
      <c r="S27" s="44"/>
      <c r="T27" s="49"/>
      <c r="U27" s="49">
        <v>3.1970999999999999E-2</v>
      </c>
      <c r="V27" s="61">
        <f>823675</f>
        <v>823675</v>
      </c>
      <c r="W27" s="61">
        <f>1002096</f>
        <v>1002096</v>
      </c>
      <c r="X27" s="61">
        <f>385993</f>
        <v>385993</v>
      </c>
      <c r="Y27" s="81">
        <v>650672</v>
      </c>
      <c r="Z27" s="49">
        <f t="shared" si="1"/>
        <v>2211764</v>
      </c>
      <c r="AA27" s="49"/>
      <c r="AB27" s="50"/>
      <c r="AC27" s="50"/>
      <c r="AD27" s="50"/>
      <c r="AE27" s="50"/>
      <c r="AF27" s="50"/>
      <c r="AG27" s="50"/>
      <c r="AH27" s="50"/>
      <c r="AI27" s="50"/>
      <c r="AJ27" s="50"/>
      <c r="AK27" s="51"/>
      <c r="AL27" s="50"/>
      <c r="AM27" s="44"/>
      <c r="AN27" s="44"/>
      <c r="AO27" s="44"/>
      <c r="AP27" s="44"/>
      <c r="AQ27" s="44"/>
      <c r="AR27" s="44"/>
      <c r="AS27" s="44"/>
    </row>
    <row r="28" spans="2:45" ht="15" customHeight="1">
      <c r="C28" s="93" t="s">
        <v>17</v>
      </c>
      <c r="D28" s="94">
        <f>183267/1000000</f>
        <v>0.18326700000000001</v>
      </c>
      <c r="E28" s="88">
        <f>892872/1000000</f>
        <v>0.892872</v>
      </c>
      <c r="F28" s="94">
        <f>243596/1000000</f>
        <v>0.24359600000000001</v>
      </c>
      <c r="G28" s="88">
        <f>1038809/1000000</f>
        <v>1.0388090000000001</v>
      </c>
      <c r="H28" s="94">
        <f>46857/1000000</f>
        <v>4.6857000000000003E-2</v>
      </c>
      <c r="I28" s="88">
        <f>388389/1000000</f>
        <v>0.38838899999999998</v>
      </c>
      <c r="J28" s="95">
        <f t="shared" si="0"/>
        <v>0.49467000000000005</v>
      </c>
      <c r="K28" s="95">
        <f t="shared" si="2"/>
        <v>2.3200700000000003</v>
      </c>
      <c r="L28" s="44"/>
      <c r="M28" s="44"/>
      <c r="N28" s="44"/>
      <c r="O28" s="44"/>
      <c r="P28" s="44"/>
      <c r="Q28" s="44"/>
      <c r="R28" s="44"/>
      <c r="S28" s="44"/>
      <c r="T28" s="49"/>
      <c r="U28" s="49">
        <v>2.095E-2</v>
      </c>
      <c r="V28" s="61">
        <f>892872</f>
        <v>892872</v>
      </c>
      <c r="W28" s="61">
        <f>1038809</f>
        <v>1038809</v>
      </c>
      <c r="X28" s="61">
        <f>388389</f>
        <v>388389</v>
      </c>
      <c r="Y28" s="81">
        <v>494670</v>
      </c>
      <c r="Z28" s="49">
        <f t="shared" si="1"/>
        <v>2320070</v>
      </c>
      <c r="AA28" s="49"/>
      <c r="AB28" s="50"/>
      <c r="AC28" s="50"/>
      <c r="AD28" s="50"/>
      <c r="AE28" s="50"/>
      <c r="AF28" s="50"/>
      <c r="AG28" s="50"/>
      <c r="AH28" s="50"/>
      <c r="AI28" s="50"/>
      <c r="AJ28" s="50"/>
      <c r="AK28" s="51"/>
      <c r="AL28" s="50"/>
      <c r="AM28" s="44"/>
      <c r="AN28" s="44"/>
      <c r="AO28" s="44"/>
      <c r="AP28" s="44"/>
      <c r="AQ28" s="44"/>
      <c r="AR28" s="44"/>
      <c r="AS28" s="44"/>
    </row>
    <row r="29" spans="2:45" ht="15" customHeight="1">
      <c r="C29" s="93" t="s">
        <v>18</v>
      </c>
      <c r="D29" s="94">
        <f>139174/1000000</f>
        <v>0.13917399999999999</v>
      </c>
      <c r="E29" s="88">
        <f>952326.13/1000000</f>
        <v>0.95232612999999999</v>
      </c>
      <c r="F29" s="94">
        <f>149959/1000000</f>
        <v>0.14995900000000001</v>
      </c>
      <c r="G29" s="88">
        <f>1094747.14/1000000</f>
        <v>1.09474714</v>
      </c>
      <c r="H29" s="94">
        <f>40913/1000000</f>
        <v>4.0912999999999998E-2</v>
      </c>
      <c r="I29" s="88">
        <f>421838.75/1000000</f>
        <v>0.42183874999999998</v>
      </c>
      <c r="J29" s="95">
        <f t="shared" si="0"/>
        <v>0.341279</v>
      </c>
      <c r="K29" s="95">
        <f t="shared" si="2"/>
        <v>2.4689120199999999</v>
      </c>
      <c r="L29" s="44"/>
      <c r="M29" s="44"/>
      <c r="N29" s="44"/>
      <c r="O29" s="44"/>
      <c r="P29" s="44"/>
      <c r="Q29" s="44"/>
      <c r="R29" s="44"/>
      <c r="S29" s="44"/>
      <c r="T29" s="49"/>
      <c r="U29" s="49">
        <v>1.1233E-2</v>
      </c>
      <c r="V29" s="61">
        <f>952326.13</f>
        <v>952326.13</v>
      </c>
      <c r="W29" s="61">
        <f>1094747.14</f>
        <v>1094747.1399999999</v>
      </c>
      <c r="X29" s="61">
        <f>421838.75</f>
        <v>421838.75</v>
      </c>
      <c r="Y29" s="81">
        <v>341279</v>
      </c>
      <c r="Z29" s="49">
        <f t="shared" si="1"/>
        <v>2468912.0199999996</v>
      </c>
      <c r="AA29" s="49"/>
      <c r="AB29" s="50"/>
      <c r="AC29" s="50"/>
      <c r="AD29" s="50"/>
      <c r="AE29" s="50"/>
      <c r="AF29" s="50"/>
      <c r="AG29" s="50"/>
      <c r="AH29" s="50"/>
      <c r="AI29" s="50"/>
      <c r="AJ29" s="50"/>
      <c r="AK29" s="51"/>
      <c r="AL29" s="50"/>
      <c r="AM29" s="44"/>
      <c r="AN29" s="44"/>
      <c r="AO29" s="44"/>
      <c r="AP29" s="44"/>
      <c r="AQ29" s="44"/>
      <c r="AR29" s="44"/>
      <c r="AS29" s="44"/>
    </row>
    <row r="30" spans="2:45" ht="15" customHeight="1">
      <c r="C30" s="93">
        <v>2002</v>
      </c>
      <c r="D30" s="94">
        <f>157449/1000000</f>
        <v>0.15744900000000001</v>
      </c>
      <c r="E30" s="88">
        <f>1079962/1000000</f>
        <v>1.0799620000000001</v>
      </c>
      <c r="F30" s="94">
        <f>162799/1000000</f>
        <v>0.162799</v>
      </c>
      <c r="G30" s="88">
        <f>1099343/1000000</f>
        <v>1.099343</v>
      </c>
      <c r="H30" s="94">
        <f>47842/1000000</f>
        <v>4.7842000000000003E-2</v>
      </c>
      <c r="I30" s="88">
        <f>418007/1000000</f>
        <v>0.41800700000000002</v>
      </c>
      <c r="J30" s="95">
        <f t="shared" si="0"/>
        <v>0.37939600000000001</v>
      </c>
      <c r="K30" s="95">
        <f t="shared" si="2"/>
        <v>2.5973120000000001</v>
      </c>
      <c r="L30" s="44"/>
      <c r="M30" s="44"/>
      <c r="N30" s="44"/>
      <c r="O30" s="44"/>
      <c r="P30" s="44"/>
      <c r="Q30" s="44"/>
      <c r="R30" s="44"/>
      <c r="S30" s="44"/>
      <c r="T30" s="74"/>
      <c r="U30" s="49">
        <v>1.1306E-2</v>
      </c>
      <c r="V30" s="61">
        <f>1079962</f>
        <v>1079962</v>
      </c>
      <c r="W30" s="61">
        <f>1099343</f>
        <v>1099343</v>
      </c>
      <c r="X30" s="61">
        <f>418007</f>
        <v>418007</v>
      </c>
      <c r="Y30" s="81">
        <v>379396</v>
      </c>
      <c r="Z30" s="49">
        <f t="shared" si="1"/>
        <v>2597312</v>
      </c>
      <c r="AA30" s="49"/>
      <c r="AB30" s="50"/>
      <c r="AC30" s="50"/>
      <c r="AD30" s="50"/>
      <c r="AE30" s="50"/>
      <c r="AF30" s="50"/>
      <c r="AG30" s="50"/>
      <c r="AH30" s="50"/>
      <c r="AI30" s="50">
        <f>+AI28+AI27+AI26+AI25</f>
        <v>0</v>
      </c>
      <c r="AJ30" s="50">
        <f>+AJ28+AJ27+AJ26+AJ25</f>
        <v>0</v>
      </c>
      <c r="AK30" s="44"/>
      <c r="AL30" s="44"/>
      <c r="AM30" s="44"/>
      <c r="AN30" s="44"/>
      <c r="AO30" s="44"/>
      <c r="AP30" s="44"/>
      <c r="AQ30" s="44"/>
      <c r="AR30" s="44"/>
      <c r="AS30" s="44"/>
    </row>
    <row r="31" spans="2:45" ht="15" customHeight="1">
      <c r="C31" s="93">
        <v>2003</v>
      </c>
      <c r="D31" s="94">
        <f>96204.08/1000000</f>
        <v>9.6204079999999997E-2</v>
      </c>
      <c r="E31" s="88">
        <f>1068718.82/1000000</f>
        <v>1.06871882</v>
      </c>
      <c r="F31" s="94">
        <f>349272.94/1000000</f>
        <v>0.34927293999999998</v>
      </c>
      <c r="G31" s="88">
        <f>1182240.09/1000000</f>
        <v>1.1822400900000001</v>
      </c>
      <c r="H31" s="94">
        <f>325498.37/1000000</f>
        <v>0.32549836999999998</v>
      </c>
      <c r="I31" s="88">
        <f>453185.06/1000000</f>
        <v>0.45318505999999997</v>
      </c>
      <c r="J31" s="95">
        <f t="shared" si="0"/>
        <v>0.78985286999999993</v>
      </c>
      <c r="K31" s="95">
        <f t="shared" si="2"/>
        <v>2.7041439700000001</v>
      </c>
      <c r="L31" s="44"/>
      <c r="M31" s="44"/>
      <c r="N31" s="44"/>
      <c r="O31" s="44"/>
      <c r="P31" s="44"/>
      <c r="Q31" s="44"/>
      <c r="R31" s="44"/>
      <c r="S31" s="44"/>
      <c r="T31" s="74"/>
      <c r="U31" s="49">
        <v>1.8877479999999999E-2</v>
      </c>
      <c r="V31" s="61">
        <f>1068718.82</f>
        <v>1068718.82</v>
      </c>
      <c r="W31" s="61">
        <f>1182240.09</f>
        <v>1182240.0900000001</v>
      </c>
      <c r="X31" s="61">
        <f>453185.06</f>
        <v>453185.06</v>
      </c>
      <c r="Y31" s="81">
        <v>789852.87</v>
      </c>
      <c r="Z31" s="49">
        <f t="shared" si="1"/>
        <v>2704143.97</v>
      </c>
      <c r="AA31" s="49"/>
      <c r="AB31" s="50"/>
      <c r="AC31" s="50"/>
      <c r="AD31" s="50"/>
      <c r="AE31" s="50"/>
      <c r="AF31" s="50"/>
      <c r="AG31" s="50"/>
      <c r="AH31" s="50"/>
      <c r="AI31" s="50"/>
      <c r="AJ31" s="50"/>
      <c r="AK31" s="44"/>
      <c r="AL31" s="44"/>
      <c r="AM31" s="44"/>
      <c r="AN31" s="44"/>
      <c r="AO31" s="44"/>
      <c r="AP31" s="44"/>
      <c r="AQ31" s="44"/>
      <c r="AR31" s="44"/>
      <c r="AS31" s="44"/>
    </row>
    <row r="32" spans="2:45" ht="15" customHeight="1">
      <c r="C32" s="93" t="s">
        <v>19</v>
      </c>
      <c r="D32" s="94">
        <f>150486/1000000</f>
        <v>0.15048600000000001</v>
      </c>
      <c r="E32" s="88">
        <f>1082980/1000000</f>
        <v>1.0829800000000001</v>
      </c>
      <c r="F32" s="94">
        <f>303886/1000000</f>
        <v>0.30388599999999999</v>
      </c>
      <c r="G32" s="88">
        <f>1127868/1000000</f>
        <v>1.1278680000000001</v>
      </c>
      <c r="H32" s="94">
        <f>221532/1000000</f>
        <v>0.22153200000000001</v>
      </c>
      <c r="I32" s="88">
        <f>494795/1000000</f>
        <v>0.49479499999999998</v>
      </c>
      <c r="J32" s="95">
        <f t="shared" si="0"/>
        <v>0.69380399999999998</v>
      </c>
      <c r="K32" s="95">
        <f t="shared" si="2"/>
        <v>2.7056430000000002</v>
      </c>
      <c r="L32" s="42"/>
      <c r="M32" s="42"/>
      <c r="N32" s="42"/>
      <c r="O32" s="42"/>
      <c r="P32" s="42"/>
      <c r="Q32" s="42"/>
      <c r="R32" s="42"/>
      <c r="S32" s="42"/>
      <c r="T32" s="74"/>
      <c r="U32" s="49">
        <v>1.7899999999999999E-2</v>
      </c>
      <c r="V32" s="61">
        <f>1082980</f>
        <v>1082980</v>
      </c>
      <c r="W32" s="61">
        <f>1127868</f>
        <v>1127868</v>
      </c>
      <c r="X32" s="61">
        <f>494795</f>
        <v>494795</v>
      </c>
      <c r="Y32" s="81">
        <v>693804</v>
      </c>
      <c r="Z32" s="49">
        <f t="shared" si="1"/>
        <v>2705643</v>
      </c>
      <c r="AA32" s="49"/>
      <c r="AB32" s="52"/>
      <c r="AC32" s="52"/>
      <c r="AD32" s="52"/>
      <c r="AE32" s="52"/>
      <c r="AF32" s="52"/>
      <c r="AG32" s="52"/>
      <c r="AH32" s="52"/>
      <c r="AI32" s="52"/>
      <c r="AJ32" s="52"/>
    </row>
    <row r="33" spans="3:36" ht="15" customHeight="1">
      <c r="C33" s="93">
        <v>2005</v>
      </c>
      <c r="D33" s="94">
        <f>107704/1000000</f>
        <v>0.10770399999999999</v>
      </c>
      <c r="E33" s="88">
        <f>1090622/1000000</f>
        <v>1.090622</v>
      </c>
      <c r="F33" s="94">
        <f>285167/1000000</f>
        <v>0.285167</v>
      </c>
      <c r="G33" s="88">
        <f>1118109/1000000</f>
        <v>1.118109</v>
      </c>
      <c r="H33" s="94">
        <f>238831/1000000</f>
        <v>0.23883099999999999</v>
      </c>
      <c r="I33" s="88">
        <f>447302/1000000</f>
        <v>0.44730199999999998</v>
      </c>
      <c r="J33" s="95">
        <f t="shared" si="0"/>
        <v>0.64775899999999997</v>
      </c>
      <c r="K33" s="95">
        <f t="shared" si="2"/>
        <v>2.6560329999999999</v>
      </c>
      <c r="L33" s="42"/>
      <c r="M33" s="42"/>
      <c r="N33" s="42"/>
      <c r="O33" s="42"/>
      <c r="P33" s="42"/>
      <c r="Q33" s="42"/>
      <c r="R33" s="42"/>
      <c r="S33" s="42"/>
      <c r="T33" s="74"/>
      <c r="U33" s="49">
        <v>1.6056999999999998E-2</v>
      </c>
      <c r="V33" s="61">
        <f>1090622</f>
        <v>1090622</v>
      </c>
      <c r="W33" s="61">
        <f>1118109</f>
        <v>1118109</v>
      </c>
      <c r="X33" s="61">
        <f>447302</f>
        <v>447302</v>
      </c>
      <c r="Y33" s="81">
        <v>647759</v>
      </c>
      <c r="Z33" s="49">
        <f t="shared" si="1"/>
        <v>2656033</v>
      </c>
      <c r="AA33" s="49"/>
      <c r="AB33" s="52"/>
      <c r="AC33" s="52"/>
      <c r="AD33" s="52"/>
      <c r="AE33" s="52"/>
      <c r="AF33" s="52"/>
      <c r="AG33" s="52"/>
      <c r="AH33" s="52"/>
      <c r="AI33" s="52"/>
      <c r="AJ33" s="52"/>
    </row>
    <row r="34" spans="3:36" ht="15" customHeight="1">
      <c r="C34" s="93">
        <v>2006</v>
      </c>
      <c r="D34" s="94">
        <f>102065/1000000</f>
        <v>0.102065</v>
      </c>
      <c r="E34" s="88">
        <f>+V34/1000000</f>
        <v>0.980047</v>
      </c>
      <c r="F34" s="94">
        <f>232860/1000000</f>
        <v>0.23286000000000001</v>
      </c>
      <c r="G34" s="88">
        <f>+W34/1000000</f>
        <v>1.0011810000000001</v>
      </c>
      <c r="H34" s="94">
        <f>181987/1000000</f>
        <v>0.18198700000000001</v>
      </c>
      <c r="I34" s="88">
        <f>+X34/1000000</f>
        <v>0.40990399999999999</v>
      </c>
      <c r="J34" s="95">
        <f t="shared" si="0"/>
        <v>0.53033600000000003</v>
      </c>
      <c r="K34" s="95">
        <f t="shared" si="2"/>
        <v>2.3911320000000003</v>
      </c>
      <c r="L34" s="42"/>
      <c r="M34" s="42"/>
      <c r="N34" s="42"/>
      <c r="O34" s="42"/>
      <c r="P34" s="42"/>
      <c r="Q34" s="42"/>
      <c r="R34" s="42"/>
      <c r="S34" s="42"/>
      <c r="T34" s="74"/>
      <c r="U34" s="49">
        <v>1.3424E-2</v>
      </c>
      <c r="V34" s="61">
        <f>980047</f>
        <v>980047</v>
      </c>
      <c r="W34" s="61">
        <f>1001181</f>
        <v>1001181</v>
      </c>
      <c r="X34" s="61">
        <f>409904</f>
        <v>409904</v>
      </c>
      <c r="Y34" s="81">
        <v>530336</v>
      </c>
      <c r="Z34" s="49">
        <f t="shared" si="1"/>
        <v>2391132</v>
      </c>
      <c r="AA34" s="49"/>
      <c r="AB34" s="52"/>
      <c r="AC34" s="52"/>
      <c r="AD34" s="52"/>
      <c r="AE34" s="52"/>
      <c r="AF34" s="52"/>
      <c r="AG34" s="52"/>
      <c r="AH34" s="52"/>
      <c r="AI34" s="52"/>
      <c r="AJ34" s="52"/>
    </row>
    <row r="35" spans="3:36" ht="15" customHeight="1">
      <c r="C35" s="93" t="s">
        <v>24</v>
      </c>
      <c r="D35" s="94"/>
      <c r="E35" s="88">
        <f>+V35/1000000</f>
        <v>1.01400932</v>
      </c>
      <c r="F35" s="94"/>
      <c r="G35" s="88">
        <f>+W35/1000000</f>
        <v>1.0632265900000002</v>
      </c>
      <c r="H35" s="94"/>
      <c r="I35" s="88">
        <f>+X35/1000000</f>
        <v>0.49362540999999999</v>
      </c>
      <c r="J35" s="95">
        <f>+Y35/1000000</f>
        <v>0.590499</v>
      </c>
      <c r="K35" s="95">
        <f t="shared" si="2"/>
        <v>2.5708613200000001</v>
      </c>
      <c r="L35" s="42"/>
      <c r="M35" s="42"/>
      <c r="N35" s="42"/>
      <c r="O35" s="42"/>
      <c r="P35" s="42"/>
      <c r="Q35" s="42"/>
      <c r="R35" s="42"/>
      <c r="S35" s="42"/>
      <c r="T35" s="42"/>
      <c r="V35" s="61">
        <f>1014009.32</f>
        <v>1014009.32</v>
      </c>
      <c r="W35" s="61">
        <f>1063226.59</f>
        <v>1063226.5900000001</v>
      </c>
      <c r="X35" s="61">
        <f>493625.41</f>
        <v>493625.41</v>
      </c>
      <c r="Y35" s="81">
        <v>590499</v>
      </c>
      <c r="Z35" s="49">
        <f t="shared" si="1"/>
        <v>2570861.3200000003</v>
      </c>
      <c r="AA35" s="49"/>
      <c r="AB35" s="52"/>
      <c r="AC35" s="52"/>
      <c r="AD35" s="52"/>
      <c r="AE35" s="52"/>
      <c r="AF35" s="52"/>
      <c r="AG35" s="52"/>
      <c r="AH35" s="52"/>
      <c r="AI35" s="52"/>
      <c r="AJ35" s="52"/>
    </row>
    <row r="36" spans="3:36" ht="15" customHeight="1">
      <c r="C36" s="93" t="s">
        <v>50</v>
      </c>
      <c r="D36" s="94"/>
      <c r="E36" s="88">
        <f>+V36/1000000</f>
        <v>1.11962519</v>
      </c>
      <c r="F36" s="94"/>
      <c r="G36" s="88">
        <f>+W36/1000000</f>
        <v>1.18271116</v>
      </c>
      <c r="H36" s="94"/>
      <c r="I36" s="88">
        <f>+X36/1000000</f>
        <v>0.49823584999999998</v>
      </c>
      <c r="J36" s="95">
        <f>+Y36/1000000</f>
        <v>0.59229203000000008</v>
      </c>
      <c r="K36" s="95">
        <f t="shared" si="2"/>
        <v>2.8005722</v>
      </c>
      <c r="L36" s="42"/>
      <c r="M36" s="42"/>
      <c r="N36" s="42"/>
      <c r="O36" s="42"/>
      <c r="P36" s="42"/>
      <c r="Q36" s="42"/>
      <c r="R36" s="42"/>
      <c r="S36" s="42"/>
      <c r="T36" s="42"/>
      <c r="U36" s="64"/>
      <c r="V36" s="61">
        <v>1119625.19</v>
      </c>
      <c r="W36" s="86">
        <v>1182711.1599999999</v>
      </c>
      <c r="X36" s="66">
        <v>498235.85</v>
      </c>
      <c r="Y36" s="81">
        <v>592292.03</v>
      </c>
      <c r="Z36" s="49">
        <f t="shared" si="1"/>
        <v>2800572.2</v>
      </c>
      <c r="AA36" s="49"/>
      <c r="AB36" s="52"/>
      <c r="AC36" s="52"/>
      <c r="AD36" s="52"/>
      <c r="AE36" s="52"/>
      <c r="AF36" s="52"/>
      <c r="AG36" s="52"/>
      <c r="AH36" s="52"/>
      <c r="AI36" s="52"/>
      <c r="AJ36" s="52"/>
    </row>
    <row r="37" spans="3:36" ht="15" customHeight="1">
      <c r="C37" s="93" t="s">
        <v>53</v>
      </c>
      <c r="D37" s="94"/>
      <c r="E37" s="88">
        <v>1.33</v>
      </c>
      <c r="F37" s="94"/>
      <c r="G37" s="88">
        <v>1.41</v>
      </c>
      <c r="H37" s="94"/>
      <c r="I37" s="88">
        <v>0.59</v>
      </c>
      <c r="J37" s="95">
        <v>0.52</v>
      </c>
      <c r="K37" s="95">
        <f t="shared" si="2"/>
        <v>3.33</v>
      </c>
      <c r="L37" s="42"/>
      <c r="M37" s="42"/>
      <c r="N37" s="42"/>
      <c r="O37" s="42"/>
      <c r="P37" s="42"/>
      <c r="Q37" s="42"/>
      <c r="R37" s="42"/>
      <c r="S37" s="42"/>
      <c r="T37" s="42"/>
      <c r="U37" s="67"/>
      <c r="V37" s="61">
        <v>1330000</v>
      </c>
      <c r="W37" s="86">
        <v>1410000</v>
      </c>
      <c r="X37" s="66">
        <v>590000</v>
      </c>
      <c r="Y37" s="81">
        <v>520000</v>
      </c>
      <c r="Z37" s="49">
        <f t="shared" si="1"/>
        <v>3330000</v>
      </c>
      <c r="AA37" s="49"/>
      <c r="AB37" s="52"/>
      <c r="AC37" s="52"/>
      <c r="AD37" s="52"/>
      <c r="AE37" s="52"/>
      <c r="AF37" s="52"/>
      <c r="AG37" s="52"/>
      <c r="AH37" s="52"/>
      <c r="AI37" s="52"/>
      <c r="AJ37" s="52"/>
    </row>
    <row r="38" spans="3:36" ht="15" customHeight="1">
      <c r="C38" s="93" t="s">
        <v>56</v>
      </c>
      <c r="D38" s="94"/>
      <c r="E38" s="88">
        <f t="shared" ref="E38:E47" si="3">+V38/1000000</f>
        <v>1.5157786000000002</v>
      </c>
      <c r="F38" s="94"/>
      <c r="G38" s="88">
        <f t="shared" ref="G38:G47" si="4">+W38/1000000</f>
        <v>1.44966931</v>
      </c>
      <c r="H38" s="94"/>
      <c r="I38" s="88">
        <f t="shared" ref="I38:J47" si="5">+X38/1000000</f>
        <v>0.64562122999999993</v>
      </c>
      <c r="J38" s="95">
        <f t="shared" si="5"/>
        <v>0.44543329999999998</v>
      </c>
      <c r="K38" s="95">
        <f t="shared" si="2"/>
        <v>3.6110691399999997</v>
      </c>
      <c r="L38" s="42"/>
      <c r="M38" s="42"/>
      <c r="N38" s="42"/>
      <c r="O38" s="42"/>
      <c r="P38" s="42"/>
      <c r="Q38" s="42"/>
      <c r="R38" s="42"/>
      <c r="S38" s="42"/>
      <c r="T38" s="42"/>
      <c r="U38" s="68" t="s">
        <v>56</v>
      </c>
      <c r="V38" s="66">
        <v>1515778.6</v>
      </c>
      <c r="W38" s="86">
        <v>1449669.31</v>
      </c>
      <c r="X38" s="66">
        <v>645621.23</v>
      </c>
      <c r="Y38" s="81">
        <v>445433.3</v>
      </c>
      <c r="Z38" s="49">
        <f t="shared" si="1"/>
        <v>3611069.14</v>
      </c>
      <c r="AA38" s="49"/>
      <c r="AB38" s="52"/>
      <c r="AC38" s="52"/>
      <c r="AD38" s="52"/>
      <c r="AE38" s="52"/>
      <c r="AF38" s="52"/>
      <c r="AG38" s="52"/>
      <c r="AH38" s="52"/>
      <c r="AI38" s="52"/>
      <c r="AJ38" s="52"/>
    </row>
    <row r="39" spans="3:36" ht="15" customHeight="1">
      <c r="C39" s="93" t="s">
        <v>57</v>
      </c>
      <c r="D39" s="94"/>
      <c r="E39" s="88">
        <f t="shared" si="3"/>
        <v>1.6680537600000001</v>
      </c>
      <c r="F39" s="94"/>
      <c r="G39" s="88">
        <f t="shared" si="4"/>
        <v>1.7781013700000001</v>
      </c>
      <c r="H39" s="94"/>
      <c r="I39" s="88">
        <f t="shared" si="5"/>
        <v>0.68953264999999997</v>
      </c>
      <c r="J39" s="95">
        <f t="shared" si="5"/>
        <v>0.47423878000000003</v>
      </c>
      <c r="K39" s="95">
        <f t="shared" si="2"/>
        <v>4.1356877800000005</v>
      </c>
      <c r="L39" s="42"/>
      <c r="M39" s="42"/>
      <c r="N39" s="42"/>
      <c r="O39" s="42"/>
      <c r="P39" s="42"/>
      <c r="Q39" s="42"/>
      <c r="R39" s="42"/>
      <c r="S39" s="42"/>
      <c r="T39" s="42"/>
      <c r="U39" s="68" t="s">
        <v>57</v>
      </c>
      <c r="V39" s="66">
        <v>1668053.76</v>
      </c>
      <c r="W39" s="86">
        <v>1778101.37</v>
      </c>
      <c r="X39" s="66">
        <v>689532.65</v>
      </c>
      <c r="Y39" s="81">
        <v>474238.78</v>
      </c>
      <c r="Z39" s="49">
        <f t="shared" si="1"/>
        <v>4135687.7800000003</v>
      </c>
      <c r="AA39" s="49"/>
      <c r="AB39" s="52"/>
      <c r="AC39" s="52"/>
      <c r="AD39" s="52"/>
      <c r="AE39" s="52"/>
      <c r="AF39" s="52"/>
      <c r="AG39" s="52"/>
      <c r="AH39" s="52"/>
      <c r="AI39" s="52"/>
      <c r="AJ39" s="52"/>
    </row>
    <row r="40" spans="3:36" ht="15" customHeight="1">
      <c r="C40" s="93" t="s">
        <v>60</v>
      </c>
      <c r="D40" s="94"/>
      <c r="E40" s="88">
        <f t="shared" si="3"/>
        <v>1.87417094</v>
      </c>
      <c r="F40" s="94"/>
      <c r="G40" s="88">
        <f t="shared" si="4"/>
        <v>2.2360239700000002</v>
      </c>
      <c r="H40" s="94"/>
      <c r="I40" s="88">
        <f t="shared" si="5"/>
        <v>0.76564458999999996</v>
      </c>
      <c r="J40" s="95">
        <f t="shared" si="5"/>
        <v>0.44674365000000005</v>
      </c>
      <c r="K40" s="95">
        <f t="shared" si="2"/>
        <v>4.8758394999999997</v>
      </c>
      <c r="L40" s="42"/>
      <c r="M40" s="42"/>
      <c r="N40" s="42"/>
      <c r="O40" s="42"/>
      <c r="P40" s="42"/>
      <c r="Q40" s="42"/>
      <c r="R40" s="42"/>
      <c r="S40" s="42"/>
      <c r="T40" s="42"/>
      <c r="U40" s="68" t="s">
        <v>60</v>
      </c>
      <c r="V40" s="66">
        <v>1874170.94</v>
      </c>
      <c r="W40" s="86">
        <v>2236023.9700000002</v>
      </c>
      <c r="X40" s="66">
        <v>765644.59</v>
      </c>
      <c r="Y40" s="81">
        <v>446743.65</v>
      </c>
      <c r="Z40" s="49">
        <f t="shared" si="1"/>
        <v>4875839.5</v>
      </c>
      <c r="AA40" s="49"/>
      <c r="AB40" s="52"/>
      <c r="AC40" s="52"/>
      <c r="AD40" s="52"/>
      <c r="AE40" s="52"/>
      <c r="AF40" s="52"/>
      <c r="AG40" s="52"/>
      <c r="AH40" s="52"/>
      <c r="AI40" s="52"/>
      <c r="AJ40" s="52"/>
    </row>
    <row r="41" spans="3:36" ht="15" customHeight="1">
      <c r="C41" s="93" t="s">
        <v>62</v>
      </c>
      <c r="D41" s="94"/>
      <c r="E41" s="88">
        <f t="shared" si="3"/>
        <v>1.9876778700000002</v>
      </c>
      <c r="F41" s="94"/>
      <c r="G41" s="88">
        <f t="shared" si="4"/>
        <v>2.1336998399999998</v>
      </c>
      <c r="H41" s="94"/>
      <c r="I41" s="88">
        <f t="shared" si="5"/>
        <v>0.80873635999999993</v>
      </c>
      <c r="J41" s="95">
        <f t="shared" si="5"/>
        <v>0.38141479</v>
      </c>
      <c r="K41" s="95">
        <f t="shared" si="2"/>
        <v>4.9301140700000001</v>
      </c>
      <c r="L41" s="42"/>
      <c r="M41" s="42"/>
      <c r="N41" s="42"/>
      <c r="O41" s="42"/>
      <c r="P41" s="42"/>
      <c r="Q41" s="42"/>
      <c r="R41" s="42"/>
      <c r="S41" s="42"/>
      <c r="T41" s="42"/>
      <c r="U41" s="68" t="s">
        <v>62</v>
      </c>
      <c r="V41" s="66">
        <v>1987677.87</v>
      </c>
      <c r="W41" s="86">
        <v>2133699.84</v>
      </c>
      <c r="X41" s="66">
        <v>808736.36</v>
      </c>
      <c r="Y41" s="81">
        <v>381414.79</v>
      </c>
      <c r="Z41" s="49">
        <f t="shared" si="1"/>
        <v>4930114.07</v>
      </c>
      <c r="AA41" s="49"/>
      <c r="AB41" s="52"/>
      <c r="AC41" s="52"/>
      <c r="AD41" s="52"/>
      <c r="AE41" s="52"/>
      <c r="AF41" s="52"/>
      <c r="AG41" s="52"/>
      <c r="AH41" s="52"/>
      <c r="AI41" s="52"/>
      <c r="AJ41" s="52"/>
    </row>
    <row r="42" spans="3:36" ht="15" customHeight="1">
      <c r="C42" s="93" t="s">
        <v>63</v>
      </c>
      <c r="D42" s="94"/>
      <c r="E42" s="88">
        <f t="shared" si="3"/>
        <v>2.1120905899999998</v>
      </c>
      <c r="F42" s="94"/>
      <c r="G42" s="88">
        <f t="shared" si="4"/>
        <v>2.3517931700000001</v>
      </c>
      <c r="H42" s="94"/>
      <c r="I42" s="88">
        <f t="shared" si="5"/>
        <v>0.77088811000000002</v>
      </c>
      <c r="J42" s="95">
        <f t="shared" si="5"/>
        <v>0.34404401000000001</v>
      </c>
      <c r="K42" s="95">
        <f t="shared" si="2"/>
        <v>5.2347718699999994</v>
      </c>
      <c r="L42" s="42"/>
      <c r="M42" s="42"/>
      <c r="N42" s="42"/>
      <c r="O42" s="42"/>
      <c r="P42" s="42"/>
      <c r="Q42" s="42"/>
      <c r="R42" s="42"/>
      <c r="S42" s="42"/>
      <c r="T42" s="42"/>
      <c r="U42" s="68" t="s">
        <v>63</v>
      </c>
      <c r="V42" s="66">
        <v>2112090.59</v>
      </c>
      <c r="W42" s="86">
        <v>2351793.17</v>
      </c>
      <c r="X42" s="66">
        <v>770888.11</v>
      </c>
      <c r="Y42" s="81">
        <v>344044.01</v>
      </c>
      <c r="Z42" s="49">
        <f t="shared" si="1"/>
        <v>5234771.8699999992</v>
      </c>
      <c r="AA42" s="49"/>
      <c r="AB42" s="52"/>
      <c r="AC42" s="52"/>
      <c r="AD42" s="52"/>
      <c r="AE42" s="52"/>
      <c r="AF42" s="52"/>
      <c r="AG42" s="52"/>
      <c r="AH42" s="52"/>
      <c r="AI42" s="52"/>
      <c r="AJ42" s="52"/>
    </row>
    <row r="43" spans="3:36" ht="15" customHeight="1">
      <c r="C43" s="93" t="s">
        <v>64</v>
      </c>
      <c r="D43" s="94"/>
      <c r="E43" s="88">
        <f t="shared" si="3"/>
        <v>2.0664610800000003</v>
      </c>
      <c r="F43" s="94"/>
      <c r="G43" s="88">
        <f t="shared" si="4"/>
        <v>2.3657808899999999</v>
      </c>
      <c r="H43" s="94"/>
      <c r="I43" s="88">
        <f t="shared" si="5"/>
        <v>0.82569068000000001</v>
      </c>
      <c r="J43" s="95">
        <f t="shared" si="5"/>
        <v>0.31814611999999998</v>
      </c>
      <c r="K43" s="95">
        <f t="shared" si="2"/>
        <v>5.2579326500000008</v>
      </c>
      <c r="L43" s="42"/>
      <c r="M43" s="42"/>
      <c r="N43" s="42"/>
      <c r="O43" s="42"/>
      <c r="P43" s="42"/>
      <c r="Q43" s="42"/>
      <c r="R43" s="42"/>
      <c r="S43" s="42"/>
      <c r="T43" s="42"/>
      <c r="U43" s="68" t="s">
        <v>64</v>
      </c>
      <c r="V43" s="66">
        <v>2066461.08</v>
      </c>
      <c r="W43" s="86">
        <v>2365780.89</v>
      </c>
      <c r="X43" s="66">
        <v>825690.68</v>
      </c>
      <c r="Y43" s="81">
        <v>318146.12</v>
      </c>
      <c r="Z43" s="49">
        <f t="shared" si="1"/>
        <v>5257932.6500000004</v>
      </c>
      <c r="AA43" s="49"/>
      <c r="AB43" s="52"/>
      <c r="AC43" s="52"/>
      <c r="AD43" s="52"/>
      <c r="AE43" s="52"/>
      <c r="AF43" s="52"/>
      <c r="AG43" s="52"/>
      <c r="AH43" s="52"/>
      <c r="AI43" s="52"/>
      <c r="AJ43" s="52"/>
    </row>
    <row r="44" spans="3:36" ht="15" customHeight="1">
      <c r="C44" s="93" t="s">
        <v>65</v>
      </c>
      <c r="D44" s="94"/>
      <c r="E44" s="88">
        <f t="shared" si="3"/>
        <v>2.0787722500000001</v>
      </c>
      <c r="F44" s="94"/>
      <c r="G44" s="88">
        <f t="shared" si="4"/>
        <v>2.36117519</v>
      </c>
      <c r="H44" s="94"/>
      <c r="I44" s="88">
        <f t="shared" si="5"/>
        <v>0.76234832999999991</v>
      </c>
      <c r="J44" s="95">
        <f t="shared" si="5"/>
        <v>0.29592000000000002</v>
      </c>
      <c r="K44" s="95">
        <f t="shared" si="2"/>
        <v>5.2022957700000001</v>
      </c>
      <c r="L44" s="42"/>
      <c r="M44" s="42"/>
      <c r="N44" s="42"/>
      <c r="O44" s="42"/>
      <c r="P44" s="42"/>
      <c r="Q44" s="42"/>
      <c r="R44" s="42"/>
      <c r="S44" s="42"/>
      <c r="T44" s="42"/>
      <c r="U44" s="68" t="s">
        <v>65</v>
      </c>
      <c r="V44" s="66">
        <v>2078772.25</v>
      </c>
      <c r="W44" s="86">
        <v>2361175.19</v>
      </c>
      <c r="X44" s="66">
        <v>762348.33</v>
      </c>
      <c r="Y44" s="81">
        <v>295920</v>
      </c>
      <c r="Z44" s="49">
        <f t="shared" si="1"/>
        <v>5202295.7699999996</v>
      </c>
      <c r="AA44" s="49"/>
      <c r="AB44" s="52"/>
      <c r="AC44" s="52"/>
      <c r="AD44" s="52"/>
      <c r="AE44" s="52"/>
      <c r="AF44" s="52"/>
      <c r="AG44" s="52"/>
      <c r="AH44" s="52"/>
      <c r="AI44" s="52"/>
      <c r="AJ44" s="52"/>
    </row>
    <row r="45" spans="3:36" ht="15" customHeight="1">
      <c r="C45" s="93" t="s">
        <v>71</v>
      </c>
      <c r="D45" s="94"/>
      <c r="E45" s="88">
        <f t="shared" si="3"/>
        <v>1.9276254099999999</v>
      </c>
      <c r="F45" s="94"/>
      <c r="G45" s="88">
        <f t="shared" si="4"/>
        <v>1.86411075</v>
      </c>
      <c r="H45" s="94"/>
      <c r="I45" s="88">
        <f t="shared" si="5"/>
        <v>0.66340586000000001</v>
      </c>
      <c r="J45" s="95">
        <f t="shared" si="5"/>
        <v>0.15269099999999999</v>
      </c>
      <c r="K45" s="95">
        <f t="shared" si="2"/>
        <v>4.4551420200000003</v>
      </c>
      <c r="L45" s="42"/>
      <c r="M45" s="42"/>
      <c r="N45" s="42"/>
      <c r="O45" s="42"/>
      <c r="P45" s="42"/>
      <c r="Q45" s="42"/>
      <c r="R45" s="42"/>
      <c r="S45" s="42"/>
      <c r="T45" s="42"/>
      <c r="U45" s="68" t="s">
        <v>71</v>
      </c>
      <c r="V45" s="66">
        <v>1927625.41</v>
      </c>
      <c r="W45" s="86">
        <v>1864110.75</v>
      </c>
      <c r="X45" s="66">
        <v>663405.86</v>
      </c>
      <c r="Y45" s="81">
        <v>152691</v>
      </c>
      <c r="Z45" s="49">
        <f t="shared" si="1"/>
        <v>4455142.0199999996</v>
      </c>
      <c r="AA45" s="49"/>
      <c r="AB45" s="52"/>
      <c r="AC45" s="52"/>
      <c r="AD45" s="52"/>
      <c r="AE45" s="52"/>
      <c r="AF45" s="52"/>
      <c r="AG45" s="52"/>
      <c r="AH45" s="52"/>
      <c r="AI45" s="52"/>
      <c r="AJ45" s="52"/>
    </row>
    <row r="46" spans="3:36" ht="15" customHeight="1">
      <c r="C46" s="93" t="s">
        <v>72</v>
      </c>
      <c r="D46" s="94"/>
      <c r="E46" s="88">
        <f t="shared" si="3"/>
        <v>2.32835744</v>
      </c>
      <c r="F46" s="94"/>
      <c r="G46" s="88">
        <f t="shared" si="4"/>
        <v>2.0913314399999998</v>
      </c>
      <c r="H46" s="94"/>
      <c r="I46" s="88">
        <f t="shared" si="5"/>
        <v>0.73945276999999998</v>
      </c>
      <c r="J46" s="95">
        <f t="shared" si="5"/>
        <v>9.1807029999999998E-2</v>
      </c>
      <c r="K46" s="95">
        <f t="shared" si="2"/>
        <v>5.1591416500000005</v>
      </c>
      <c r="L46" s="42"/>
      <c r="M46" s="42"/>
      <c r="N46" s="42"/>
      <c r="O46" s="42"/>
      <c r="P46" s="42"/>
      <c r="Q46" s="42"/>
      <c r="R46" s="42"/>
      <c r="S46" s="42"/>
      <c r="T46" s="42"/>
      <c r="U46" s="68" t="s">
        <v>72</v>
      </c>
      <c r="V46" s="66">
        <v>2328357.44</v>
      </c>
      <c r="W46" s="86">
        <v>2091331.44</v>
      </c>
      <c r="X46" s="66">
        <v>739452.77</v>
      </c>
      <c r="Y46" s="81">
        <v>91807.03</v>
      </c>
      <c r="Z46" s="49">
        <f t="shared" si="1"/>
        <v>5159141.6500000004</v>
      </c>
      <c r="AA46" s="49"/>
      <c r="AB46" s="52"/>
      <c r="AC46" s="52"/>
      <c r="AD46" s="52"/>
      <c r="AE46" s="52"/>
      <c r="AF46" s="52"/>
      <c r="AG46" s="52"/>
      <c r="AH46" s="52"/>
      <c r="AI46" s="52"/>
      <c r="AJ46" s="52"/>
    </row>
    <row r="47" spans="3:36" ht="15" customHeight="1">
      <c r="C47" s="93" t="s">
        <v>73</v>
      </c>
      <c r="D47" s="94"/>
      <c r="E47" s="88">
        <f t="shared" si="3"/>
        <v>2.3382232300000001</v>
      </c>
      <c r="F47" s="94"/>
      <c r="G47" s="88">
        <f t="shared" si="4"/>
        <v>2.2416578999999999</v>
      </c>
      <c r="H47" s="94"/>
      <c r="I47" s="88">
        <f t="shared" si="5"/>
        <v>0.69454859000000002</v>
      </c>
      <c r="J47" s="95">
        <f t="shared" si="5"/>
        <v>7.1519350000000009E-2</v>
      </c>
      <c r="K47" s="95">
        <f t="shared" si="2"/>
        <v>5.2744297200000005</v>
      </c>
      <c r="L47" s="42"/>
      <c r="M47" s="42"/>
      <c r="N47" s="42"/>
      <c r="O47" s="42"/>
      <c r="P47" s="42"/>
      <c r="Q47" s="42"/>
      <c r="R47" s="42"/>
      <c r="S47" s="42"/>
      <c r="T47" s="42"/>
      <c r="U47" s="67" t="s">
        <v>74</v>
      </c>
      <c r="V47" s="85">
        <v>2338223.23</v>
      </c>
      <c r="W47" s="87">
        <v>2241657.9</v>
      </c>
      <c r="X47" s="85">
        <v>694548.59</v>
      </c>
      <c r="Y47" s="84">
        <v>71519.350000000006</v>
      </c>
      <c r="Z47" s="49">
        <f t="shared" si="1"/>
        <v>5274429.72</v>
      </c>
      <c r="AA47" s="49"/>
      <c r="AB47" s="52"/>
      <c r="AC47" s="52"/>
      <c r="AD47" s="52"/>
      <c r="AE47" s="52"/>
      <c r="AF47" s="52"/>
      <c r="AG47" s="52"/>
      <c r="AH47" s="52"/>
      <c r="AI47" s="52"/>
      <c r="AJ47" s="52"/>
    </row>
    <row r="48" spans="3:36" ht="15" customHeight="1">
      <c r="C48" s="89" t="s">
        <v>78</v>
      </c>
      <c r="D48" s="90"/>
      <c r="E48" s="91">
        <f>+'Fraud Collections'!B27/1000000</f>
        <v>2.0272225100000001</v>
      </c>
      <c r="F48" s="90"/>
      <c r="G48" s="91">
        <f>+'Fraud Collections'!C27/1000000</f>
        <v>1.81266799</v>
      </c>
      <c r="H48" s="90"/>
      <c r="I48" s="91">
        <f>+'Fraud Collections'!D27/1000000</f>
        <v>0.5608806999999999</v>
      </c>
      <c r="J48" s="92">
        <f>+'Fraud Collections'!E27/1000000</f>
        <v>5.9975580000000001E-2</v>
      </c>
      <c r="K48" s="92">
        <f t="shared" ref="K48" si="6">+I48+G48+E48</f>
        <v>4.4007711999999994</v>
      </c>
      <c r="L48" s="42"/>
      <c r="M48" s="42"/>
      <c r="N48" s="42"/>
      <c r="O48" s="42"/>
      <c r="P48" s="42"/>
      <c r="Q48" s="42"/>
      <c r="R48" s="42"/>
      <c r="S48" s="42"/>
      <c r="T48" s="42"/>
      <c r="U48" s="67"/>
      <c r="V48" s="104"/>
      <c r="W48" s="104"/>
      <c r="X48" s="104"/>
      <c r="Y48" s="84"/>
      <c r="Z48" s="49"/>
      <c r="AA48" s="49"/>
      <c r="AB48" s="52"/>
      <c r="AC48" s="52"/>
      <c r="AD48" s="52"/>
      <c r="AE48" s="52"/>
      <c r="AF48" s="52"/>
      <c r="AG48" s="52"/>
      <c r="AH48" s="52"/>
      <c r="AI48" s="52"/>
      <c r="AJ48" s="52"/>
    </row>
    <row r="49" spans="2:36" ht="13.5">
      <c r="C49" s="116" t="s">
        <v>76</v>
      </c>
      <c r="D49" s="116"/>
      <c r="E49" s="116"/>
      <c r="F49" s="116"/>
      <c r="G49" s="116"/>
      <c r="H49" s="116"/>
      <c r="I49" s="116"/>
      <c r="J49" s="116"/>
      <c r="K49" s="116"/>
      <c r="L49" s="42"/>
      <c r="M49" s="42"/>
      <c r="N49" s="42"/>
      <c r="O49" s="42"/>
      <c r="P49" s="42"/>
      <c r="Q49" s="42"/>
      <c r="R49" s="42"/>
      <c r="S49" s="42"/>
      <c r="T49" s="42"/>
      <c r="U49" s="117"/>
      <c r="V49" s="117"/>
      <c r="W49" s="117"/>
      <c r="X49" s="52"/>
      <c r="Y49" s="52"/>
      <c r="Z49" s="52"/>
      <c r="AA49" s="52"/>
      <c r="AB49" s="52"/>
      <c r="AC49" s="52"/>
      <c r="AD49" s="52"/>
      <c r="AE49" s="52"/>
      <c r="AF49" s="52"/>
      <c r="AG49" s="52"/>
      <c r="AH49" s="52"/>
      <c r="AI49" s="52"/>
      <c r="AJ49" s="52"/>
    </row>
    <row r="50" spans="2:36" ht="15" customHeight="1">
      <c r="C50" s="58"/>
      <c r="D50" s="42"/>
      <c r="E50" s="59"/>
      <c r="F50" s="42"/>
      <c r="G50" s="59"/>
      <c r="H50" s="42"/>
      <c r="I50" s="59"/>
      <c r="J50" s="59"/>
      <c r="K50" s="59"/>
      <c r="L50" s="42"/>
      <c r="M50" s="42"/>
      <c r="N50" s="42"/>
      <c r="O50" s="42"/>
      <c r="P50" s="42"/>
      <c r="Q50" s="42"/>
      <c r="R50" s="42"/>
      <c r="S50" s="42"/>
      <c r="T50" s="42"/>
      <c r="U50" s="52"/>
      <c r="V50" s="52"/>
      <c r="W50" s="52"/>
      <c r="X50" s="52"/>
      <c r="Y50" s="52"/>
      <c r="Z50" s="52"/>
      <c r="AA50" s="52"/>
      <c r="AB50" s="52"/>
      <c r="AC50" s="52"/>
      <c r="AD50" s="52"/>
      <c r="AE50" s="52"/>
      <c r="AF50" s="52"/>
      <c r="AG50" s="52"/>
      <c r="AH50" s="52"/>
      <c r="AI50" s="52"/>
      <c r="AJ50" s="52"/>
    </row>
    <row r="51" spans="2:36" ht="15" customHeight="1">
      <c r="C51" s="58"/>
      <c r="D51" s="42"/>
      <c r="E51" s="59"/>
      <c r="F51" s="42"/>
      <c r="G51" s="59"/>
      <c r="H51" s="42"/>
      <c r="I51" s="59"/>
      <c r="J51" s="59"/>
      <c r="K51" s="59"/>
      <c r="L51" s="42"/>
      <c r="M51" s="42"/>
      <c r="N51" s="42"/>
      <c r="O51" s="42"/>
      <c r="P51" s="42"/>
      <c r="Q51" s="42"/>
      <c r="R51" s="42"/>
      <c r="S51" s="42"/>
      <c r="T51" s="42"/>
      <c r="U51" s="52"/>
      <c r="V51" s="52"/>
      <c r="W51" s="52"/>
      <c r="X51" s="52"/>
      <c r="Y51" s="52"/>
      <c r="Z51" s="52"/>
      <c r="AA51" s="52"/>
      <c r="AB51" s="52"/>
      <c r="AC51" s="52"/>
      <c r="AD51" s="52"/>
      <c r="AE51" s="52"/>
      <c r="AF51" s="52"/>
      <c r="AG51" s="52"/>
      <c r="AH51" s="52"/>
      <c r="AI51" s="52"/>
      <c r="AJ51" s="52"/>
    </row>
    <row r="52" spans="2:36" ht="15" hidden="1" customHeight="1">
      <c r="B52" s="118" t="s">
        <v>59</v>
      </c>
      <c r="C52" s="118"/>
      <c r="D52" s="118"/>
      <c r="E52" s="118"/>
      <c r="F52" s="118"/>
      <c r="G52" s="118"/>
      <c r="H52" s="118"/>
      <c r="I52" s="118"/>
      <c r="J52" s="118"/>
      <c r="K52" s="118"/>
      <c r="L52" s="118"/>
      <c r="M52" s="118"/>
      <c r="N52" s="118"/>
      <c r="O52" s="118"/>
      <c r="P52" s="118"/>
      <c r="Q52" s="118"/>
      <c r="R52" s="118"/>
      <c r="S52" s="118"/>
      <c r="T52" s="118"/>
      <c r="U52" s="52"/>
      <c r="V52" s="52"/>
      <c r="W52" s="52"/>
      <c r="X52" s="52"/>
      <c r="Y52" s="52"/>
      <c r="Z52" s="52"/>
      <c r="AA52" s="52"/>
      <c r="AB52" s="52"/>
      <c r="AC52" s="52"/>
      <c r="AD52" s="52"/>
      <c r="AE52" s="52"/>
      <c r="AF52" s="52"/>
      <c r="AG52" s="52"/>
      <c r="AH52" s="52"/>
      <c r="AI52" s="52"/>
      <c r="AJ52" s="52"/>
    </row>
    <row r="53" spans="2:36" hidden="1">
      <c r="L53" s="42"/>
      <c r="M53" s="42"/>
      <c r="N53" s="42"/>
      <c r="O53" s="42"/>
      <c r="P53" s="42"/>
      <c r="Q53" s="42"/>
      <c r="R53" s="42"/>
      <c r="S53" s="42"/>
      <c r="T53" s="42"/>
      <c r="U53" s="52"/>
      <c r="V53" s="52"/>
      <c r="W53" s="52"/>
      <c r="X53" s="52"/>
      <c r="Y53" s="52"/>
      <c r="Z53" s="52"/>
      <c r="AA53" s="52"/>
      <c r="AB53" s="52"/>
      <c r="AC53" s="52"/>
      <c r="AD53" s="52"/>
      <c r="AE53" s="52"/>
      <c r="AF53" s="52"/>
      <c r="AG53" s="52"/>
      <c r="AH53" s="52"/>
      <c r="AI53" s="52"/>
      <c r="AJ53" s="52"/>
    </row>
    <row r="54" spans="2:36" hidden="1">
      <c r="E54" s="57">
        <f>AVERAGE(E63:F72)</f>
        <v>7.9792811506155248E-2</v>
      </c>
      <c r="G54" s="57">
        <f t="shared" ref="G54:K54" si="7">AVERAGE(G63:H72)</f>
        <v>-5.5267227304392867E-3</v>
      </c>
      <c r="H54" s="57">
        <f t="shared" si="7"/>
        <v>-2.9609807140462775E-2</v>
      </c>
      <c r="I54" s="57">
        <f t="shared" si="7"/>
        <v>7.1330754493389159E-3</v>
      </c>
      <c r="J54" s="57">
        <f t="shared" si="7"/>
        <v>1.4867557904353077E-2</v>
      </c>
      <c r="K54" s="57">
        <f t="shared" si="7"/>
        <v>8.2898177055519287E-2</v>
      </c>
      <c r="L54" s="42"/>
      <c r="M54" s="42"/>
      <c r="N54" s="42"/>
      <c r="O54" s="42"/>
      <c r="P54" s="42"/>
      <c r="Q54" s="42"/>
      <c r="R54" s="42"/>
      <c r="S54" s="42"/>
      <c r="T54" s="42"/>
      <c r="U54" s="52"/>
      <c r="V54" s="52"/>
      <c r="W54" s="52"/>
      <c r="X54" s="52"/>
      <c r="Y54" s="52"/>
      <c r="Z54" s="52"/>
      <c r="AA54" s="52"/>
      <c r="AB54" s="52"/>
      <c r="AC54" s="52"/>
      <c r="AD54" s="52"/>
      <c r="AE54" s="52"/>
      <c r="AF54" s="52"/>
      <c r="AG54" s="52"/>
      <c r="AH54" s="52"/>
      <c r="AI54" s="52"/>
      <c r="AJ54" s="52"/>
    </row>
    <row r="55" spans="2:36" hidden="1">
      <c r="B55" s="41">
        <v>1998</v>
      </c>
      <c r="C55" s="41">
        <v>1999</v>
      </c>
      <c r="E55" s="57">
        <f>AVERAGE(E56:F73)</f>
        <v>5.8303171186699421E-2</v>
      </c>
      <c r="G55" s="57">
        <f t="shared" ref="G55:K63" si="8">+(G27-G26)/G26</f>
        <v>-0.13773790603964473</v>
      </c>
      <c r="H55" s="57">
        <f t="shared" si="8"/>
        <v>-0.37627609325003814</v>
      </c>
      <c r="I55" s="57">
        <f t="shared" si="8"/>
        <v>8.1767404579938682E-2</v>
      </c>
      <c r="J55" s="57">
        <f t="shared" si="8"/>
        <v>-0.29612261212815499</v>
      </c>
      <c r="K55" s="57">
        <f t="shared" si="8"/>
        <v>-6.3371063631924851E-2</v>
      </c>
      <c r="L55" s="42"/>
      <c r="M55" s="42"/>
      <c r="N55" s="42"/>
      <c r="O55" s="42"/>
      <c r="P55" s="42"/>
      <c r="Q55" s="42"/>
      <c r="R55" s="42"/>
      <c r="S55" s="42"/>
      <c r="T55" s="42"/>
      <c r="U55" s="52"/>
      <c r="V55" s="52"/>
      <c r="W55" s="52"/>
      <c r="X55" s="52"/>
      <c r="Y55" s="52"/>
      <c r="Z55" s="52"/>
      <c r="AA55" s="52"/>
      <c r="AB55" s="52"/>
      <c r="AC55" s="52"/>
      <c r="AD55" s="52"/>
      <c r="AE55" s="52"/>
      <c r="AF55" s="52"/>
      <c r="AG55" s="52"/>
      <c r="AH55" s="52"/>
      <c r="AI55" s="52"/>
      <c r="AJ55" s="52"/>
    </row>
    <row r="56" spans="2:36" hidden="1">
      <c r="B56" s="41">
        <f t="shared" ref="B56:B72" si="9">+B55+1</f>
        <v>1999</v>
      </c>
      <c r="C56" s="41">
        <v>2000</v>
      </c>
      <c r="E56" s="57">
        <f t="shared" ref="E56:E72" si="10">+(E28-E27)/E27</f>
        <v>8.4010076789995988E-2</v>
      </c>
      <c r="G56" s="57">
        <f t="shared" si="8"/>
        <v>3.6636210502786155E-2</v>
      </c>
      <c r="H56" s="57">
        <f t="shared" si="8"/>
        <v>-0.28458226456577496</v>
      </c>
      <c r="I56" s="57">
        <f t="shared" si="8"/>
        <v>6.2073664548321066E-3</v>
      </c>
      <c r="J56" s="57">
        <f t="shared" si="8"/>
        <v>-0.23975520692453337</v>
      </c>
      <c r="K56" s="57">
        <f t="shared" si="8"/>
        <v>4.8968153926006674E-2</v>
      </c>
      <c r="L56" s="42"/>
      <c r="M56" s="42"/>
      <c r="N56" s="42"/>
      <c r="O56" s="42"/>
      <c r="P56" s="42"/>
      <c r="Q56" s="42"/>
      <c r="R56" s="42"/>
      <c r="S56" s="42"/>
      <c r="T56" s="42"/>
      <c r="U56" s="52"/>
      <c r="V56" s="52"/>
      <c r="W56" s="52"/>
      <c r="X56" s="52"/>
      <c r="Y56" s="52"/>
      <c r="Z56" s="52"/>
      <c r="AA56" s="52"/>
      <c r="AB56" s="52"/>
      <c r="AC56" s="52"/>
      <c r="AD56" s="52"/>
      <c r="AE56" s="52"/>
      <c r="AF56" s="52"/>
      <c r="AG56" s="52"/>
      <c r="AH56" s="52"/>
      <c r="AI56" s="52"/>
      <c r="AJ56" s="52"/>
    </row>
    <row r="57" spans="2:36" hidden="1">
      <c r="B57" s="41">
        <f t="shared" si="9"/>
        <v>2000</v>
      </c>
      <c r="C57" s="41">
        <v>2001</v>
      </c>
      <c r="E57" s="57">
        <f t="shared" si="10"/>
        <v>6.6587517583707401E-2</v>
      </c>
      <c r="G57" s="57">
        <f t="shared" si="8"/>
        <v>5.3848339781422623E-2</v>
      </c>
      <c r="H57" s="57">
        <f t="shared" si="8"/>
        <v>-0.12685404528672353</v>
      </c>
      <c r="I57" s="57">
        <f t="shared" si="8"/>
        <v>8.6124349556758822E-2</v>
      </c>
      <c r="J57" s="57">
        <f t="shared" si="8"/>
        <v>-0.31008753310287673</v>
      </c>
      <c r="K57" s="57">
        <f t="shared" si="8"/>
        <v>6.4154107419172504E-2</v>
      </c>
      <c r="L57" s="42"/>
      <c r="M57" s="42"/>
      <c r="N57" s="42"/>
      <c r="O57" s="42"/>
      <c r="P57" s="42"/>
      <c r="Q57" s="42"/>
      <c r="R57" s="42"/>
      <c r="S57" s="42"/>
      <c r="T57" s="42"/>
      <c r="U57" s="52"/>
      <c r="V57" s="52"/>
      <c r="W57" s="52"/>
      <c r="X57" s="52"/>
      <c r="Y57" s="52"/>
      <c r="Z57" s="52"/>
      <c r="AA57" s="52"/>
      <c r="AB57" s="52"/>
      <c r="AC57" s="52"/>
      <c r="AD57" s="52"/>
      <c r="AE57" s="52"/>
      <c r="AF57" s="52"/>
      <c r="AG57" s="52"/>
      <c r="AH57" s="52"/>
      <c r="AI57" s="52"/>
      <c r="AJ57" s="52"/>
    </row>
    <row r="58" spans="2:36" hidden="1">
      <c r="B58" s="41">
        <f t="shared" si="9"/>
        <v>2001</v>
      </c>
      <c r="C58" s="41">
        <v>2002</v>
      </c>
      <c r="E58" s="57">
        <f t="shared" si="10"/>
        <v>0.13402537846987364</v>
      </c>
      <c r="G58" s="57">
        <f t="shared" si="8"/>
        <v>4.1981018557399538E-3</v>
      </c>
      <c r="H58" s="57">
        <f t="shared" si="8"/>
        <v>0.16935937232664447</v>
      </c>
      <c r="I58" s="57">
        <f t="shared" si="8"/>
        <v>-9.0834471702752936E-3</v>
      </c>
      <c r="J58" s="57">
        <f t="shared" si="8"/>
        <v>0.11168867700620318</v>
      </c>
      <c r="K58" s="57">
        <f t="shared" si="8"/>
        <v>5.2006705366520189E-2</v>
      </c>
      <c r="L58" s="42"/>
      <c r="M58" s="42"/>
      <c r="N58" s="42"/>
      <c r="O58" s="42"/>
      <c r="P58" s="42"/>
      <c r="Q58" s="42"/>
      <c r="R58" s="42"/>
      <c r="S58" s="42"/>
      <c r="T58" s="42"/>
      <c r="U58" s="52"/>
      <c r="V58" s="52"/>
      <c r="W58" s="52"/>
      <c r="X58" s="52"/>
      <c r="Y58" s="52"/>
      <c r="Z58" s="52"/>
      <c r="AA58" s="52"/>
      <c r="AB58" s="52"/>
      <c r="AC58" s="52"/>
      <c r="AD58" s="52"/>
      <c r="AE58" s="52"/>
      <c r="AF58" s="52"/>
      <c r="AG58" s="52"/>
      <c r="AH58" s="52"/>
      <c r="AI58" s="52"/>
      <c r="AJ58" s="52"/>
    </row>
    <row r="59" spans="2:36" hidden="1">
      <c r="B59" s="41">
        <f t="shared" si="9"/>
        <v>2002</v>
      </c>
      <c r="C59" s="41">
        <v>2003</v>
      </c>
      <c r="E59" s="57">
        <f t="shared" si="10"/>
        <v>-1.0410718154898163E-2</v>
      </c>
      <c r="G59" s="57">
        <f t="shared" si="8"/>
        <v>7.5406028873609171E-2</v>
      </c>
      <c r="H59" s="57">
        <f t="shared" si="8"/>
        <v>5.8036112620709828</v>
      </c>
      <c r="I59" s="57">
        <f t="shared" si="8"/>
        <v>8.4156628955974311E-2</v>
      </c>
      <c r="J59" s="57">
        <f t="shared" si="8"/>
        <v>1.0818692606142393</v>
      </c>
      <c r="K59" s="57">
        <f t="shared" si="8"/>
        <v>4.1131743125200203E-2</v>
      </c>
      <c r="L59" s="42"/>
      <c r="M59" s="42"/>
      <c r="N59" s="42"/>
      <c r="O59" s="42"/>
      <c r="P59" s="42"/>
      <c r="Q59" s="42"/>
      <c r="R59" s="42"/>
      <c r="S59" s="42"/>
      <c r="T59" s="42"/>
      <c r="U59" s="52"/>
      <c r="V59" s="52"/>
      <c r="W59" s="52"/>
      <c r="X59" s="52"/>
      <c r="Y59" s="52"/>
      <c r="Z59" s="52"/>
      <c r="AA59" s="52"/>
      <c r="AB59" s="52"/>
      <c r="AC59" s="52"/>
      <c r="AD59" s="52"/>
      <c r="AE59" s="52"/>
      <c r="AF59" s="52"/>
      <c r="AG59" s="52"/>
      <c r="AH59" s="52"/>
      <c r="AI59" s="52"/>
      <c r="AJ59" s="52"/>
    </row>
    <row r="60" spans="2:36" hidden="1">
      <c r="B60" s="41">
        <f t="shared" si="9"/>
        <v>2003</v>
      </c>
      <c r="C60" s="41">
        <v>2004</v>
      </c>
      <c r="E60" s="57">
        <f t="shared" si="10"/>
        <v>1.3344183458844765E-2</v>
      </c>
      <c r="G60" s="57">
        <f t="shared" si="8"/>
        <v>-4.5990734420112568E-2</v>
      </c>
      <c r="H60" s="57">
        <f t="shared" si="8"/>
        <v>-0.31940673005520726</v>
      </c>
      <c r="I60" s="57">
        <f t="shared" si="8"/>
        <v>9.181666315301748E-2</v>
      </c>
      <c r="J60" s="57">
        <f t="shared" si="8"/>
        <v>-0.12160349559785731</v>
      </c>
      <c r="K60" s="57">
        <f t="shared" si="8"/>
        <v>5.5434548479317048E-4</v>
      </c>
      <c r="L60" s="42"/>
      <c r="M60" s="42"/>
      <c r="N60" s="42"/>
      <c r="O60" s="42"/>
      <c r="P60" s="42"/>
      <c r="Q60" s="42"/>
      <c r="R60" s="42"/>
      <c r="S60" s="42"/>
      <c r="T60" s="42"/>
      <c r="U60" s="52"/>
      <c r="V60" s="52"/>
      <c r="W60" s="52"/>
      <c r="X60" s="52"/>
      <c r="Y60" s="52"/>
      <c r="Z60" s="52"/>
      <c r="AA60" s="52"/>
      <c r="AB60" s="52"/>
      <c r="AC60" s="52"/>
      <c r="AD60" s="52"/>
      <c r="AE60" s="52"/>
      <c r="AF60" s="52"/>
      <c r="AG60" s="52"/>
      <c r="AH60" s="52"/>
      <c r="AI60" s="52"/>
      <c r="AJ60" s="52"/>
    </row>
    <row r="61" spans="2:36" hidden="1">
      <c r="B61" s="41">
        <f t="shared" si="9"/>
        <v>2004</v>
      </c>
      <c r="C61" s="41">
        <v>2005</v>
      </c>
      <c r="E61" s="57">
        <f t="shared" si="10"/>
        <v>7.0564553362018933E-3</v>
      </c>
      <c r="G61" s="57">
        <f t="shared" si="8"/>
        <v>-8.6526082839481853E-3</v>
      </c>
      <c r="H61" s="57">
        <f t="shared" si="8"/>
        <v>7.8088041456764623E-2</v>
      </c>
      <c r="I61" s="57">
        <f t="shared" si="8"/>
        <v>-9.5985205994401745E-2</v>
      </c>
      <c r="J61" s="57">
        <f t="shared" si="8"/>
        <v>-6.6366005384806095E-2</v>
      </c>
      <c r="K61" s="57">
        <f t="shared" si="8"/>
        <v>-1.8335752351659244E-2</v>
      </c>
      <c r="L61" s="42"/>
      <c r="M61" s="42"/>
      <c r="N61" s="42"/>
      <c r="O61" s="42"/>
      <c r="P61" s="42"/>
      <c r="Q61" s="42"/>
      <c r="R61" s="42"/>
      <c r="S61" s="42"/>
      <c r="T61" s="42"/>
      <c r="U61" s="52"/>
      <c r="V61" s="52"/>
      <c r="W61" s="52"/>
      <c r="X61" s="52"/>
      <c r="Y61" s="52"/>
      <c r="Z61" s="52"/>
      <c r="AA61" s="52"/>
      <c r="AB61" s="52"/>
      <c r="AC61" s="52"/>
      <c r="AD61" s="52"/>
      <c r="AE61" s="52"/>
      <c r="AF61" s="52"/>
      <c r="AG61" s="52"/>
      <c r="AH61" s="52"/>
      <c r="AI61" s="52"/>
      <c r="AJ61" s="52"/>
    </row>
    <row r="62" spans="2:36" hidden="1">
      <c r="B62" s="41">
        <f t="shared" si="9"/>
        <v>2005</v>
      </c>
      <c r="C62" s="41">
        <v>2006</v>
      </c>
      <c r="E62" s="57">
        <f t="shared" si="10"/>
        <v>-0.10138709837138805</v>
      </c>
      <c r="G62" s="57">
        <f t="shared" si="8"/>
        <v>-0.10457656632761199</v>
      </c>
      <c r="H62" s="57">
        <f t="shared" si="8"/>
        <v>-0.23800930364986111</v>
      </c>
      <c r="I62" s="57">
        <f t="shared" si="8"/>
        <v>-8.3607942732203275E-2</v>
      </c>
      <c r="J62" s="57">
        <f t="shared" si="8"/>
        <v>-0.18127575224736353</v>
      </c>
      <c r="K62" s="57">
        <f t="shared" si="8"/>
        <v>-9.9735583104577252E-2</v>
      </c>
      <c r="L62" s="42"/>
      <c r="M62" s="42"/>
      <c r="N62" s="42"/>
      <c r="O62" s="42"/>
      <c r="P62" s="42"/>
      <c r="Q62" s="42"/>
      <c r="R62" s="42"/>
      <c r="S62" s="42"/>
      <c r="T62" s="42"/>
      <c r="U62" s="52"/>
      <c r="V62" s="52"/>
      <c r="W62" s="52"/>
      <c r="X62" s="52"/>
      <c r="Y62" s="52"/>
      <c r="Z62" s="52"/>
      <c r="AA62" s="52"/>
      <c r="AB62" s="52"/>
      <c r="AC62" s="52"/>
      <c r="AD62" s="52"/>
      <c r="AE62" s="52"/>
      <c r="AF62" s="52"/>
      <c r="AG62" s="52"/>
      <c r="AH62" s="52"/>
      <c r="AI62" s="52"/>
      <c r="AJ62" s="52"/>
    </row>
    <row r="63" spans="2:36" hidden="1">
      <c r="B63" s="41">
        <f t="shared" si="9"/>
        <v>2006</v>
      </c>
      <c r="C63" s="41">
        <v>2007</v>
      </c>
      <c r="E63" s="57">
        <f t="shared" si="10"/>
        <v>3.4653766605070968E-2</v>
      </c>
      <c r="G63" s="57">
        <f t="shared" si="8"/>
        <v>6.1972400594897517E-2</v>
      </c>
      <c r="H63" s="57">
        <f t="shared" si="8"/>
        <v>-1</v>
      </c>
      <c r="I63" s="57">
        <f t="shared" si="8"/>
        <v>0.20424638451930208</v>
      </c>
      <c r="J63" s="57">
        <f t="shared" si="8"/>
        <v>0.11344317564713684</v>
      </c>
      <c r="K63" s="57">
        <f t="shared" si="8"/>
        <v>7.5164951161207263E-2</v>
      </c>
      <c r="L63" s="42"/>
      <c r="M63" s="42"/>
      <c r="N63" s="42"/>
      <c r="O63" s="42"/>
      <c r="P63" s="42"/>
      <c r="Q63" s="42"/>
      <c r="R63" s="42"/>
      <c r="S63" s="42"/>
      <c r="T63" s="42"/>
      <c r="U63" s="52"/>
      <c r="V63" s="52"/>
      <c r="W63" s="52"/>
      <c r="X63" s="52"/>
      <c r="Y63" s="52"/>
      <c r="Z63" s="52"/>
      <c r="AA63" s="52"/>
      <c r="AB63" s="52"/>
      <c r="AC63" s="52"/>
      <c r="AD63" s="52"/>
      <c r="AE63" s="52"/>
      <c r="AF63" s="52"/>
      <c r="AG63" s="52"/>
      <c r="AH63" s="52"/>
      <c r="AI63" s="52"/>
      <c r="AJ63" s="52"/>
    </row>
    <row r="64" spans="2:36" hidden="1">
      <c r="B64" s="41">
        <f t="shared" si="9"/>
        <v>2007</v>
      </c>
      <c r="C64" s="41">
        <f t="shared" ref="C64:C72" si="11">+B64+1</f>
        <v>2008</v>
      </c>
      <c r="E64" s="57">
        <f t="shared" si="10"/>
        <v>0.10415670538412808</v>
      </c>
      <c r="G64" s="57">
        <f t="shared" ref="G64:G70" si="12">+(G36-G35)/G35</f>
        <v>0.11237921542199182</v>
      </c>
      <c r="I64" s="57">
        <f t="shared" ref="I64:K70" si="13">+(I36-I35)/I35</f>
        <v>9.3399567903118957E-3</v>
      </c>
      <c r="J64" s="57">
        <f t="shared" si="13"/>
        <v>3.036465768782139E-3</v>
      </c>
      <c r="K64" s="57">
        <f t="shared" si="13"/>
        <v>8.9351719679690786E-2</v>
      </c>
      <c r="L64" s="42"/>
      <c r="M64" s="42"/>
      <c r="N64" s="42"/>
      <c r="O64" s="42"/>
      <c r="P64" s="42"/>
      <c r="Q64" s="42"/>
      <c r="R64" s="42"/>
      <c r="S64" s="42"/>
      <c r="T64" s="42"/>
      <c r="U64" s="52"/>
      <c r="V64" s="52"/>
      <c r="W64" s="52"/>
      <c r="X64" s="52"/>
      <c r="Y64" s="52"/>
      <c r="Z64" s="52"/>
      <c r="AA64" s="52"/>
      <c r="AB64" s="52"/>
      <c r="AC64" s="52"/>
      <c r="AD64" s="52"/>
      <c r="AE64" s="52"/>
      <c r="AF64" s="52"/>
      <c r="AG64" s="52"/>
      <c r="AH64" s="52"/>
      <c r="AI64" s="52"/>
      <c r="AJ64" s="52"/>
    </row>
    <row r="65" spans="2:38" hidden="1">
      <c r="B65" s="41">
        <f t="shared" si="9"/>
        <v>2008</v>
      </c>
      <c r="C65" s="41">
        <f t="shared" si="11"/>
        <v>2009</v>
      </c>
      <c r="E65" s="57">
        <f t="shared" si="10"/>
        <v>0.18789753203033957</v>
      </c>
      <c r="G65" s="57">
        <f t="shared" si="12"/>
        <v>0.19217611847004126</v>
      </c>
      <c r="I65" s="57">
        <f t="shared" si="13"/>
        <v>0.18417813571624761</v>
      </c>
      <c r="J65" s="57">
        <f t="shared" si="13"/>
        <v>-0.12205470669595209</v>
      </c>
      <c r="K65" s="57">
        <f t="shared" si="13"/>
        <v>0.18904272491171631</v>
      </c>
      <c r="L65" s="42"/>
      <c r="M65" s="42"/>
      <c r="N65" s="42"/>
      <c r="O65" s="42"/>
      <c r="P65" s="42"/>
      <c r="Q65" s="42"/>
      <c r="R65" s="42"/>
      <c r="S65" s="42"/>
      <c r="T65" s="42"/>
      <c r="U65" s="52"/>
      <c r="V65" s="52"/>
      <c r="W65" s="52"/>
      <c r="X65" s="52"/>
      <c r="Y65" s="52"/>
      <c r="Z65" s="52"/>
      <c r="AA65" s="52"/>
      <c r="AB65" s="52"/>
      <c r="AC65" s="52"/>
      <c r="AD65" s="52"/>
      <c r="AE65" s="52"/>
      <c r="AF65" s="52"/>
      <c r="AG65" s="52"/>
      <c r="AH65" s="52"/>
      <c r="AI65" s="52"/>
      <c r="AJ65" s="52"/>
    </row>
    <row r="66" spans="2:38" hidden="1">
      <c r="B66" s="41">
        <f t="shared" si="9"/>
        <v>2009</v>
      </c>
      <c r="C66" s="41">
        <f t="shared" si="11"/>
        <v>2010</v>
      </c>
      <c r="E66" s="57">
        <f t="shared" si="10"/>
        <v>0.13968315789473693</v>
      </c>
      <c r="G66" s="57">
        <f t="shared" si="12"/>
        <v>2.8134262411347567E-2</v>
      </c>
      <c r="I66" s="57">
        <f t="shared" si="13"/>
        <v>9.4273271186440619E-2</v>
      </c>
      <c r="J66" s="57">
        <f t="shared" si="13"/>
        <v>-0.14339750000000007</v>
      </c>
      <c r="K66" s="57">
        <f t="shared" si="13"/>
        <v>8.440514714714703E-2</v>
      </c>
      <c r="L66" s="42"/>
      <c r="M66" s="42"/>
      <c r="N66" s="42"/>
      <c r="O66" s="42"/>
      <c r="P66" s="42"/>
      <c r="Q66" s="42"/>
      <c r="R66" s="42"/>
      <c r="S66" s="42"/>
      <c r="T66" s="42"/>
      <c r="U66" s="52"/>
      <c r="V66" s="52"/>
      <c r="W66" s="52"/>
      <c r="X66" s="52"/>
      <c r="Y66" s="52"/>
      <c r="Z66" s="52"/>
      <c r="AA66" s="52"/>
      <c r="AB66" s="52"/>
      <c r="AC66" s="52"/>
      <c r="AD66" s="52"/>
      <c r="AE66" s="52"/>
      <c r="AF66" s="52"/>
      <c r="AG66" s="52"/>
      <c r="AH66" s="52"/>
      <c r="AI66" s="52"/>
      <c r="AJ66" s="52"/>
    </row>
    <row r="67" spans="2:38" hidden="1">
      <c r="B67" s="41">
        <f t="shared" si="9"/>
        <v>2010</v>
      </c>
      <c r="C67" s="41">
        <f t="shared" si="11"/>
        <v>2011</v>
      </c>
      <c r="E67" s="57">
        <f t="shared" si="10"/>
        <v>0.10046002760561459</v>
      </c>
      <c r="G67" s="57">
        <f t="shared" si="12"/>
        <v>0.22655653791829264</v>
      </c>
      <c r="I67" s="57">
        <f t="shared" si="13"/>
        <v>6.8014213225299353E-2</v>
      </c>
      <c r="J67" s="57">
        <f t="shared" si="13"/>
        <v>6.4668447554325312E-2</v>
      </c>
      <c r="K67" s="57">
        <f t="shared" si="13"/>
        <v>0.14528069656401008</v>
      </c>
      <c r="L67" s="42"/>
      <c r="M67" s="42"/>
      <c r="N67" s="42"/>
      <c r="O67" s="42"/>
      <c r="P67" s="42"/>
      <c r="Q67" s="42"/>
      <c r="R67" s="42"/>
      <c r="S67" s="42"/>
      <c r="T67" s="42"/>
      <c r="U67" s="52"/>
      <c r="V67" s="52"/>
      <c r="W67" s="52"/>
      <c r="X67" s="52"/>
      <c r="Y67" s="52"/>
      <c r="Z67" s="52"/>
      <c r="AA67" s="52"/>
      <c r="AB67" s="52"/>
      <c r="AC67" s="52"/>
      <c r="AD67" s="52"/>
      <c r="AE67" s="52"/>
      <c r="AF67" s="52"/>
      <c r="AG67" s="52"/>
      <c r="AH67" s="52"/>
      <c r="AI67" s="52"/>
      <c r="AJ67" s="52"/>
    </row>
    <row r="68" spans="2:38" hidden="1">
      <c r="B68" s="41">
        <f t="shared" si="9"/>
        <v>2011</v>
      </c>
      <c r="C68" s="41">
        <f t="shared" si="11"/>
        <v>2012</v>
      </c>
      <c r="E68" s="57">
        <f t="shared" si="10"/>
        <v>0.12356746823315808</v>
      </c>
      <c r="G68" s="57">
        <f t="shared" si="12"/>
        <v>0.25753458589371653</v>
      </c>
      <c r="I68" s="57">
        <f t="shared" si="13"/>
        <v>0.11038192317651672</v>
      </c>
      <c r="J68" s="57">
        <f t="shared" si="13"/>
        <v>-5.7977396956022824E-2</v>
      </c>
      <c r="K68" s="57">
        <f t="shared" si="13"/>
        <v>0.1789670205713641</v>
      </c>
      <c r="L68" s="42"/>
      <c r="M68" s="42"/>
      <c r="N68" s="42"/>
      <c r="O68" s="42"/>
      <c r="P68" s="42"/>
      <c r="Q68" s="42"/>
      <c r="R68" s="42"/>
      <c r="S68" s="42"/>
      <c r="T68" s="42"/>
      <c r="U68" s="52"/>
      <c r="V68" s="52"/>
      <c r="W68" s="52"/>
      <c r="X68" s="52"/>
      <c r="Y68" s="52"/>
      <c r="Z68" s="52"/>
      <c r="AA68" s="52"/>
      <c r="AB68" s="52"/>
      <c r="AC68" s="52"/>
      <c r="AD68" s="52"/>
      <c r="AE68" s="52"/>
      <c r="AF68" s="52"/>
      <c r="AG68" s="52"/>
      <c r="AH68" s="52"/>
      <c r="AI68" s="52"/>
      <c r="AJ68" s="52"/>
    </row>
    <row r="69" spans="2:38" hidden="1">
      <c r="B69" s="41">
        <f t="shared" si="9"/>
        <v>2012</v>
      </c>
      <c r="C69" s="41">
        <f t="shared" si="11"/>
        <v>2013</v>
      </c>
      <c r="E69" s="57">
        <f t="shared" si="10"/>
        <v>6.056380854992887E-2</v>
      </c>
      <c r="G69" s="57">
        <f t="shared" si="12"/>
        <v>-4.5761642707256127E-2</v>
      </c>
      <c r="I69" s="57">
        <f t="shared" si="13"/>
        <v>5.6281688087158006E-2</v>
      </c>
      <c r="J69" s="57">
        <f t="shared" si="13"/>
        <v>-0.146233438348816</v>
      </c>
      <c r="K69" s="57">
        <f t="shared" si="13"/>
        <v>1.1131328256395739E-2</v>
      </c>
      <c r="L69" s="42"/>
      <c r="M69" s="42"/>
      <c r="N69" s="42"/>
      <c r="O69" s="42"/>
      <c r="P69" s="42"/>
      <c r="Q69" s="42"/>
      <c r="R69" s="42"/>
      <c r="S69" s="42"/>
      <c r="T69" s="42"/>
      <c r="U69" s="52"/>
      <c r="V69" s="52"/>
      <c r="W69" s="52"/>
      <c r="X69" s="52"/>
      <c r="Y69" s="52"/>
      <c r="Z69" s="52"/>
      <c r="AA69" s="52"/>
      <c r="AB69" s="52"/>
      <c r="AC69" s="52"/>
      <c r="AD69" s="52"/>
      <c r="AE69" s="52"/>
      <c r="AF69" s="52"/>
      <c r="AG69" s="52"/>
      <c r="AH69" s="52"/>
      <c r="AI69" s="52"/>
      <c r="AJ69" s="52"/>
    </row>
    <row r="70" spans="2:38" hidden="1">
      <c r="B70" s="41">
        <f t="shared" si="9"/>
        <v>2013</v>
      </c>
      <c r="C70" s="41">
        <f t="shared" si="11"/>
        <v>2014</v>
      </c>
      <c r="E70" s="57">
        <f t="shared" si="10"/>
        <v>6.2591993339443666E-2</v>
      </c>
      <c r="G70" s="57">
        <f t="shared" si="12"/>
        <v>0.10221368812588012</v>
      </c>
      <c r="I70" s="57">
        <f t="shared" si="13"/>
        <v>-4.6799243699145565E-2</v>
      </c>
      <c r="J70" s="57">
        <f t="shared" si="13"/>
        <v>-9.7979367816334526E-2</v>
      </c>
      <c r="K70" s="57">
        <f t="shared" si="13"/>
        <v>6.1795284180919431E-2</v>
      </c>
      <c r="L70" s="42"/>
      <c r="M70" s="42"/>
      <c r="N70" s="42"/>
      <c r="O70" s="42"/>
      <c r="P70" s="42"/>
      <c r="Q70" s="42"/>
      <c r="R70" s="42"/>
      <c r="S70" s="42"/>
      <c r="T70" s="42"/>
      <c r="U70" s="52"/>
      <c r="V70" s="52"/>
      <c r="W70" s="52"/>
      <c r="X70" s="52"/>
      <c r="Y70" s="52"/>
      <c r="Z70" s="52"/>
      <c r="AA70" s="52"/>
      <c r="AB70" s="52"/>
      <c r="AC70" s="52"/>
      <c r="AD70" s="52"/>
      <c r="AE70" s="52"/>
      <c r="AF70" s="52"/>
      <c r="AG70" s="52"/>
      <c r="AH70" s="52"/>
      <c r="AI70" s="52"/>
      <c r="AJ70" s="52"/>
    </row>
    <row r="71" spans="2:38" hidden="1">
      <c r="B71" s="41">
        <f t="shared" si="9"/>
        <v>2014</v>
      </c>
      <c r="C71" s="41">
        <f t="shared" si="11"/>
        <v>2015</v>
      </c>
      <c r="E71" s="57">
        <f t="shared" si="10"/>
        <v>-2.1603954970510753E-2</v>
      </c>
      <c r="G71" s="57">
        <f t="shared" ref="G71:G72" si="14">+(G43-G42)/G42</f>
        <v>5.9476828908384891E-3</v>
      </c>
      <c r="I71" s="57">
        <f t="shared" ref="I71:K72" si="15">+(I43-I42)/I42</f>
        <v>7.1090174162888556E-2</v>
      </c>
      <c r="J71" s="57">
        <f t="shared" si="15"/>
        <v>-7.5274933576085321E-2</v>
      </c>
      <c r="K71" s="57">
        <f t="shared" si="15"/>
        <v>4.4244105713056271E-3</v>
      </c>
      <c r="L71" s="42"/>
      <c r="M71" s="42"/>
      <c r="N71" s="42"/>
      <c r="O71" s="42"/>
      <c r="P71" s="42"/>
      <c r="Q71" s="42"/>
      <c r="R71" s="42"/>
      <c r="S71" s="42"/>
      <c r="T71" s="42"/>
      <c r="U71" s="52"/>
      <c r="V71" s="52"/>
      <c r="W71" s="52"/>
      <c r="X71" s="52"/>
      <c r="Y71" s="52"/>
      <c r="Z71" s="52"/>
      <c r="AA71" s="52"/>
      <c r="AB71" s="52"/>
      <c r="AC71" s="52"/>
      <c r="AD71" s="52"/>
      <c r="AE71" s="52"/>
      <c r="AF71" s="52"/>
      <c r="AG71" s="52"/>
      <c r="AH71" s="52"/>
      <c r="AI71" s="52"/>
      <c r="AJ71" s="52"/>
    </row>
    <row r="72" spans="2:38" hidden="1">
      <c r="B72" s="41">
        <f t="shared" si="9"/>
        <v>2015</v>
      </c>
      <c r="C72" s="41">
        <f t="shared" si="11"/>
        <v>2016</v>
      </c>
      <c r="E72" s="57">
        <f t="shared" si="10"/>
        <v>5.9576103896424775E-3</v>
      </c>
      <c r="G72" s="57">
        <f t="shared" si="14"/>
        <v>-1.9467990545819038E-3</v>
      </c>
      <c r="I72" s="57">
        <f t="shared" si="15"/>
        <v>-7.6714381710109775E-2</v>
      </c>
      <c r="J72" s="57">
        <f t="shared" si="15"/>
        <v>-6.9861358045164787E-2</v>
      </c>
      <c r="K72" s="57">
        <f t="shared" si="15"/>
        <v>-1.0581512488563477E-2</v>
      </c>
      <c r="L72" s="42"/>
      <c r="M72" s="42"/>
      <c r="N72" s="42"/>
      <c r="O72" s="42"/>
      <c r="P72" s="42"/>
      <c r="Q72" s="42"/>
      <c r="R72" s="42"/>
      <c r="S72" s="42"/>
      <c r="T72" s="42"/>
      <c r="U72" s="52"/>
      <c r="V72" s="52"/>
      <c r="W72" s="52"/>
      <c r="X72" s="52"/>
      <c r="Y72" s="52"/>
      <c r="Z72" s="52"/>
      <c r="AA72" s="52"/>
      <c r="AB72" s="52"/>
      <c r="AC72" s="52"/>
      <c r="AD72" s="52"/>
      <c r="AE72" s="52"/>
      <c r="AF72" s="52"/>
      <c r="AG72" s="52"/>
      <c r="AH72" s="52"/>
      <c r="AI72" s="52"/>
      <c r="AJ72" s="52"/>
    </row>
    <row r="73" spans="2:38" ht="9" hidden="1" customHeight="1">
      <c r="B73" s="119" t="s">
        <v>20</v>
      </c>
      <c r="C73" s="119"/>
      <c r="D73" s="119"/>
      <c r="E73" s="119"/>
      <c r="F73" s="119"/>
      <c r="G73" s="119"/>
      <c r="H73" s="119"/>
      <c r="I73" s="53"/>
      <c r="J73" s="53"/>
      <c r="K73" s="53"/>
      <c r="L73" s="42"/>
      <c r="M73" s="42"/>
      <c r="N73" s="42"/>
      <c r="O73" s="42"/>
      <c r="P73" s="42"/>
      <c r="Q73" s="42"/>
      <c r="R73" s="42"/>
      <c r="S73" s="42"/>
      <c r="T73" s="42"/>
      <c r="U73" s="52"/>
      <c r="V73" s="52"/>
      <c r="W73" s="52"/>
      <c r="X73" s="52"/>
      <c r="Y73" s="52"/>
      <c r="Z73" s="52"/>
      <c r="AA73" s="52"/>
      <c r="AB73" s="52"/>
      <c r="AC73" s="52"/>
      <c r="AD73" s="52"/>
      <c r="AE73" s="52"/>
      <c r="AF73" s="52"/>
      <c r="AG73" s="52"/>
      <c r="AH73" s="52"/>
      <c r="AI73" s="52"/>
      <c r="AJ73" s="52"/>
    </row>
    <row r="74" spans="2:38" ht="22.5" hidden="1" customHeight="1">
      <c r="B74" s="115" t="s">
        <v>21</v>
      </c>
      <c r="C74" s="115"/>
      <c r="D74" s="115"/>
      <c r="E74" s="115"/>
      <c r="F74" s="115"/>
      <c r="G74" s="115"/>
      <c r="H74" s="115"/>
      <c r="I74" s="53"/>
      <c r="J74" s="53"/>
      <c r="K74" s="53"/>
      <c r="AK74" s="54"/>
    </row>
    <row r="75" spans="2:38" ht="22.5" hidden="1" customHeight="1">
      <c r="B75" s="120" t="s">
        <v>23</v>
      </c>
      <c r="C75" s="120"/>
      <c r="D75" s="120"/>
      <c r="E75" s="120"/>
      <c r="F75" s="120"/>
      <c r="G75" s="120"/>
      <c r="H75" s="120"/>
      <c r="I75" s="53"/>
      <c r="J75" s="53"/>
      <c r="K75" s="53"/>
      <c r="AG75" s="52"/>
      <c r="AH75" s="52"/>
      <c r="AI75" s="55"/>
      <c r="AK75" s="54"/>
      <c r="AL75" s="54"/>
    </row>
    <row r="76" spans="2:38" ht="24" hidden="1" customHeight="1">
      <c r="B76" s="115" t="s">
        <v>58</v>
      </c>
      <c r="C76" s="115"/>
      <c r="D76" s="115"/>
      <c r="E76" s="115"/>
      <c r="F76" s="115"/>
      <c r="G76" s="115"/>
      <c r="H76" s="115"/>
      <c r="I76" s="53"/>
      <c r="J76" s="53"/>
      <c r="K76" s="53"/>
      <c r="L76" s="56"/>
      <c r="M76" s="56"/>
      <c r="N76" s="56"/>
      <c r="O76" s="56"/>
      <c r="P76" s="56"/>
      <c r="Q76" s="56"/>
      <c r="R76" s="56"/>
      <c r="S76" s="56"/>
      <c r="T76" s="56"/>
      <c r="AG76" s="52"/>
      <c r="AH76" s="52"/>
      <c r="AI76" s="55"/>
      <c r="AK76" s="54"/>
      <c r="AL76" s="54"/>
    </row>
    <row r="77" spans="2:38">
      <c r="L77" s="56"/>
      <c r="M77" s="56"/>
      <c r="N77" s="56"/>
      <c r="O77" s="56"/>
      <c r="P77" s="56"/>
      <c r="Q77" s="56"/>
      <c r="R77" s="56"/>
      <c r="S77" s="56"/>
      <c r="T77" s="56"/>
      <c r="AG77" s="52"/>
      <c r="AH77" s="52"/>
      <c r="AI77" s="55"/>
      <c r="AK77" s="54"/>
      <c r="AL77" s="54"/>
    </row>
    <row r="78" spans="2:38">
      <c r="L78" s="56"/>
      <c r="M78" s="56"/>
      <c r="N78" s="56"/>
      <c r="O78" s="56"/>
      <c r="P78" s="56"/>
      <c r="Q78" s="56"/>
      <c r="R78" s="56"/>
      <c r="S78" s="56"/>
      <c r="T78" s="56"/>
      <c r="AG78" s="52"/>
      <c r="AH78" s="52"/>
      <c r="AI78" s="55"/>
      <c r="AK78" s="54"/>
      <c r="AL78" s="54"/>
    </row>
    <row r="79" spans="2:38">
      <c r="L79" s="56"/>
      <c r="M79" s="56"/>
      <c r="N79" s="56"/>
      <c r="O79" s="56"/>
      <c r="P79" s="56"/>
      <c r="Q79" s="56"/>
      <c r="R79" s="56"/>
      <c r="S79" s="56"/>
      <c r="T79" s="56"/>
      <c r="AG79" s="52"/>
      <c r="AH79" s="52"/>
      <c r="AI79" s="55"/>
      <c r="AK79" s="54"/>
      <c r="AL79" s="54"/>
    </row>
    <row r="80" spans="2:38">
      <c r="L80" s="56"/>
      <c r="M80" s="56"/>
      <c r="N80" s="56"/>
      <c r="O80" s="56"/>
      <c r="P80" s="56"/>
      <c r="Q80" s="56"/>
      <c r="R80" s="56"/>
      <c r="S80" s="56"/>
      <c r="T80" s="56"/>
      <c r="AG80" s="52"/>
      <c r="AH80" s="52"/>
      <c r="AI80" s="55"/>
      <c r="AL80" s="54"/>
    </row>
    <row r="81" spans="12:20">
      <c r="L81" s="56"/>
      <c r="M81" s="56"/>
      <c r="N81" s="56"/>
      <c r="O81" s="56"/>
      <c r="P81" s="56"/>
      <c r="Q81" s="56"/>
      <c r="R81" s="56"/>
      <c r="S81" s="56"/>
      <c r="T81" s="56"/>
    </row>
    <row r="82" spans="12:20">
      <c r="L82" s="56"/>
      <c r="M82" s="56"/>
      <c r="N82" s="56"/>
      <c r="O82" s="56"/>
      <c r="P82" s="56"/>
      <c r="Q82" s="56"/>
      <c r="R82" s="56"/>
      <c r="S82" s="56"/>
      <c r="T82" s="56"/>
    </row>
    <row r="83" spans="12:20">
      <c r="L83" s="56"/>
      <c r="M83" s="56"/>
      <c r="N83" s="56"/>
      <c r="O83" s="56"/>
      <c r="P83" s="56"/>
      <c r="Q83" s="56"/>
      <c r="R83" s="56"/>
      <c r="S83" s="56"/>
      <c r="T83" s="56"/>
    </row>
    <row r="84" spans="12:20">
      <c r="L84" s="56"/>
      <c r="M84" s="56"/>
      <c r="N84" s="56"/>
      <c r="O84" s="56"/>
      <c r="P84" s="56"/>
      <c r="Q84" s="56"/>
      <c r="R84" s="56"/>
      <c r="S84" s="56"/>
      <c r="T84" s="56"/>
    </row>
    <row r="85" spans="12:20">
      <c r="L85" s="56"/>
      <c r="M85" s="56"/>
      <c r="N85" s="56"/>
      <c r="O85" s="56"/>
      <c r="P85" s="56"/>
      <c r="Q85" s="56"/>
      <c r="R85" s="56"/>
      <c r="S85" s="56"/>
      <c r="T85" s="56"/>
    </row>
    <row r="86" spans="12:20">
      <c r="L86" s="56"/>
      <c r="M86" s="56"/>
      <c r="N86" s="56"/>
      <c r="O86" s="56"/>
      <c r="P86" s="56"/>
      <c r="Q86" s="56"/>
      <c r="R86" s="56"/>
      <c r="S86" s="56"/>
      <c r="T86" s="56"/>
    </row>
  </sheetData>
  <mergeCells count="19">
    <mergeCell ref="B76:H76"/>
    <mergeCell ref="C49:K49"/>
    <mergeCell ref="U49:W49"/>
    <mergeCell ref="B52:T52"/>
    <mergeCell ref="B73:H73"/>
    <mergeCell ref="B74:H74"/>
    <mergeCell ref="B75:H75"/>
    <mergeCell ref="AK22:AL22"/>
    <mergeCell ref="B1:L1"/>
    <mergeCell ref="C22:C23"/>
    <mergeCell ref="E22:I22"/>
    <mergeCell ref="J22:K22"/>
    <mergeCell ref="V22:X22"/>
    <mergeCell ref="Y22:Z22"/>
    <mergeCell ref="AA22:AB22"/>
    <mergeCell ref="AC22:AD22"/>
    <mergeCell ref="AE22:AF22"/>
    <mergeCell ref="AG22:AH22"/>
    <mergeCell ref="AI22:AJ22"/>
  </mergeCells>
  <pageMargins left="0.3" right="0.3" top="0.3" bottom="0.3" header="0" footer="0"/>
  <pageSetup orientation="portrait" r:id="rId1"/>
  <headerFooter alignWithMargins="0">
    <oddHeader>&amp;C&amp;"Palatino Linotype,Bold"&amp;14SNAP and TANF Overpayment Collections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0"/>
  <sheetViews>
    <sheetView zoomScaleNormal="100" workbookViewId="0">
      <pane xSplit="1" ySplit="4" topLeftCell="B5" activePane="bottomRight" state="frozen"/>
      <selection pane="topRight" activeCell="B1" sqref="B1"/>
      <selection pane="bottomLeft" activeCell="A5" sqref="A5"/>
      <selection pane="bottomRight" activeCell="J16" sqref="J16"/>
    </sheetView>
  </sheetViews>
  <sheetFormatPr defaultRowHeight="12.75"/>
  <cols>
    <col min="1" max="1" width="5.5" style="1" bestFit="1" customWidth="1"/>
    <col min="2" max="2" width="8" style="1" bestFit="1" customWidth="1"/>
    <col min="3" max="3" width="9.375" style="1" bestFit="1" customWidth="1"/>
    <col min="4" max="4" width="8" style="1" bestFit="1" customWidth="1"/>
    <col min="5" max="5" width="9.375" style="1" bestFit="1" customWidth="1"/>
    <col min="6" max="7" width="8" style="1" bestFit="1" customWidth="1"/>
    <col min="8" max="8" width="8.25" style="1" customWidth="1"/>
    <col min="9" max="9" width="1.5" style="1" hidden="1" customWidth="1"/>
    <col min="10" max="11" width="9.375" style="1" bestFit="1" customWidth="1"/>
    <col min="12" max="12" width="12.5" style="1" customWidth="1"/>
    <col min="13" max="13" width="10.125" style="1" customWidth="1"/>
    <col min="14" max="14" width="11.75" style="1" bestFit="1" customWidth="1"/>
    <col min="15" max="32" width="9.375" style="1" customWidth="1"/>
    <col min="33" max="16384" width="9" style="1"/>
  </cols>
  <sheetData>
    <row r="1" spans="1:39">
      <c r="L1" s="2"/>
      <c r="X1" s="13"/>
    </row>
    <row r="2" spans="1:39" ht="15.75" customHeight="1">
      <c r="J2" s="6"/>
      <c r="K2" s="6"/>
      <c r="L2" s="4"/>
      <c r="M2" s="5" t="s">
        <v>8</v>
      </c>
      <c r="N2" s="5"/>
      <c r="O2" s="123" t="s">
        <v>8</v>
      </c>
      <c r="P2" s="123"/>
      <c r="Q2" s="123"/>
      <c r="R2" s="123"/>
      <c r="S2" s="123"/>
      <c r="T2" s="123"/>
      <c r="U2" s="123"/>
      <c r="V2" s="123"/>
      <c r="W2" s="123"/>
      <c r="X2" s="123"/>
      <c r="Y2" s="123"/>
      <c r="Z2" s="123"/>
      <c r="AA2" s="123"/>
      <c r="AB2" s="123"/>
      <c r="AC2" s="123"/>
      <c r="AD2" s="123"/>
      <c r="AE2" s="123"/>
      <c r="AF2" s="123"/>
      <c r="AG2" s="6"/>
      <c r="AH2" s="6"/>
      <c r="AI2" s="6"/>
      <c r="AJ2" s="6"/>
      <c r="AK2" s="6"/>
      <c r="AL2" s="6"/>
      <c r="AM2" s="6"/>
    </row>
    <row r="3" spans="1:39" ht="25.5" customHeight="1">
      <c r="A3" s="18"/>
      <c r="B3" s="127" t="s">
        <v>1</v>
      </c>
      <c r="C3" s="127"/>
      <c r="D3" s="127" t="s">
        <v>2</v>
      </c>
      <c r="E3" s="127"/>
      <c r="F3" s="127" t="s">
        <v>3</v>
      </c>
      <c r="G3" s="127"/>
      <c r="H3" s="127" t="s">
        <v>4</v>
      </c>
      <c r="I3" s="127"/>
      <c r="J3" s="128" t="s">
        <v>11</v>
      </c>
      <c r="K3" s="128"/>
      <c r="L3" s="6"/>
      <c r="M3" s="7">
        <v>1996</v>
      </c>
      <c r="N3" s="8"/>
      <c r="O3" s="121"/>
      <c r="P3" s="121"/>
      <c r="Q3" s="121"/>
      <c r="R3" s="121"/>
      <c r="S3" s="7"/>
      <c r="T3" s="8"/>
      <c r="U3" s="121"/>
      <c r="V3" s="121"/>
      <c r="W3" s="121"/>
      <c r="X3" s="121"/>
      <c r="Y3" s="121"/>
      <c r="Z3" s="121"/>
      <c r="AA3" s="124"/>
      <c r="AB3" s="124"/>
      <c r="AC3" s="121"/>
      <c r="AD3" s="121"/>
      <c r="AE3" s="121"/>
      <c r="AF3" s="121"/>
      <c r="AG3" s="6"/>
      <c r="AH3" s="6"/>
      <c r="AI3" s="6"/>
      <c r="AJ3" s="6"/>
      <c r="AK3" s="6"/>
      <c r="AL3" s="6"/>
      <c r="AM3" s="6"/>
    </row>
    <row r="4" spans="1:39" ht="42" customHeight="1">
      <c r="A4" s="22" t="s">
        <v>8</v>
      </c>
      <c r="B4" s="19" t="s">
        <v>7</v>
      </c>
      <c r="C4" s="20" t="s">
        <v>13</v>
      </c>
      <c r="D4" s="19" t="s">
        <v>7</v>
      </c>
      <c r="E4" s="20" t="s">
        <v>13</v>
      </c>
      <c r="F4" s="19" t="s">
        <v>7</v>
      </c>
      <c r="G4" s="20" t="s">
        <v>13</v>
      </c>
      <c r="H4" s="21" t="s">
        <v>7</v>
      </c>
      <c r="I4" s="19" t="s">
        <v>0</v>
      </c>
      <c r="J4" s="22" t="s">
        <v>12</v>
      </c>
      <c r="K4" s="22" t="s">
        <v>13</v>
      </c>
      <c r="L4" s="10"/>
      <c r="M4" s="9" t="s">
        <v>6</v>
      </c>
      <c r="N4" s="9" t="s">
        <v>0</v>
      </c>
      <c r="O4" s="9"/>
      <c r="P4" s="9"/>
      <c r="Q4" s="9"/>
      <c r="R4" s="9"/>
      <c r="S4" s="9"/>
      <c r="T4" s="9"/>
      <c r="U4" s="9"/>
      <c r="V4" s="9"/>
      <c r="W4" s="9"/>
      <c r="X4" s="9"/>
      <c r="Y4" s="9"/>
      <c r="Z4" s="9"/>
      <c r="AA4" s="9"/>
      <c r="AB4" s="9"/>
      <c r="AC4" s="9"/>
      <c r="AD4" s="9"/>
      <c r="AE4" s="9"/>
      <c r="AF4" s="9"/>
      <c r="AG4" s="6"/>
      <c r="AH4" s="6"/>
      <c r="AI4" s="6"/>
      <c r="AJ4" s="6"/>
      <c r="AK4" s="6"/>
      <c r="AL4" s="6"/>
      <c r="AM4" s="6"/>
    </row>
    <row r="5" spans="1:39">
      <c r="A5" s="23">
        <v>1996</v>
      </c>
      <c r="B5" s="26">
        <f>+M6</f>
        <v>250681</v>
      </c>
      <c r="C5" s="27">
        <f>+N6</f>
        <v>244370</v>
      </c>
      <c r="D5" s="26">
        <f>+M7</f>
        <v>710159</v>
      </c>
      <c r="E5" s="27">
        <f>+N7</f>
        <v>548013</v>
      </c>
      <c r="F5" s="26">
        <f>+M8</f>
        <v>131311</v>
      </c>
      <c r="G5" s="27">
        <f>+N8</f>
        <v>126869</v>
      </c>
      <c r="H5" s="28">
        <f>+M9</f>
        <v>81306</v>
      </c>
      <c r="I5" s="26">
        <f>+N9</f>
        <v>0</v>
      </c>
      <c r="J5" s="26">
        <f t="shared" ref="J5:K7" si="0">+H5+F5+D5+B5</f>
        <v>1173457</v>
      </c>
      <c r="K5" s="26">
        <f t="shared" si="0"/>
        <v>919252</v>
      </c>
      <c r="L5" s="10"/>
      <c r="M5" s="9"/>
      <c r="N5" s="9"/>
      <c r="O5" s="9"/>
      <c r="P5" s="9"/>
      <c r="Q5" s="9"/>
      <c r="R5" s="9"/>
      <c r="S5" s="9"/>
      <c r="T5" s="9"/>
      <c r="U5" s="9"/>
      <c r="V5" s="9"/>
      <c r="W5" s="9"/>
      <c r="X5" s="9"/>
      <c r="Y5" s="9"/>
      <c r="Z5" s="9"/>
      <c r="AA5" s="9"/>
      <c r="AB5" s="9"/>
      <c r="AC5" s="9"/>
      <c r="AD5" s="9"/>
      <c r="AE5" s="9"/>
      <c r="AF5" s="9"/>
      <c r="AG5" s="6"/>
      <c r="AH5" s="6"/>
      <c r="AI5" s="6"/>
      <c r="AJ5" s="6"/>
      <c r="AK5" s="6"/>
      <c r="AL5" s="6"/>
      <c r="AM5" s="6"/>
    </row>
    <row r="6" spans="1:39">
      <c r="A6" s="23" t="s">
        <v>14</v>
      </c>
      <c r="B6" s="26">
        <v>275694</v>
      </c>
      <c r="C6" s="27">
        <v>712360</v>
      </c>
      <c r="D6" s="26">
        <v>621405</v>
      </c>
      <c r="E6" s="27">
        <v>1004675</v>
      </c>
      <c r="F6" s="26">
        <v>119955</v>
      </c>
      <c r="G6" s="27">
        <v>235684</v>
      </c>
      <c r="H6" s="28">
        <v>72702</v>
      </c>
      <c r="I6" s="26">
        <v>0</v>
      </c>
      <c r="J6" s="26">
        <f t="shared" si="0"/>
        <v>1089756</v>
      </c>
      <c r="K6" s="26">
        <f t="shared" si="0"/>
        <v>1952719</v>
      </c>
      <c r="L6" s="6" t="s">
        <v>1</v>
      </c>
      <c r="M6" s="11">
        <v>250681</v>
      </c>
      <c r="N6" s="11">
        <v>244370</v>
      </c>
      <c r="O6" s="11"/>
      <c r="P6" s="11"/>
      <c r="Q6" s="11"/>
      <c r="R6" s="11"/>
      <c r="S6" s="11"/>
      <c r="T6" s="11"/>
      <c r="U6" s="11"/>
      <c r="V6" s="11"/>
      <c r="W6" s="11"/>
      <c r="X6" s="11"/>
      <c r="Y6" s="11"/>
      <c r="Z6" s="11"/>
      <c r="AA6" s="11"/>
      <c r="AB6" s="11"/>
      <c r="AC6" s="11"/>
      <c r="AD6" s="11"/>
      <c r="AE6" s="12"/>
      <c r="AF6" s="11"/>
      <c r="AG6" s="6"/>
      <c r="AH6" s="6"/>
      <c r="AI6" s="6"/>
      <c r="AJ6" s="6"/>
      <c r="AK6" s="6"/>
      <c r="AL6" s="6"/>
      <c r="AM6" s="6"/>
    </row>
    <row r="7" spans="1:39">
      <c r="A7" s="23" t="s">
        <v>15</v>
      </c>
      <c r="B7" s="26">
        <v>266646</v>
      </c>
      <c r="C7" s="27">
        <v>842421</v>
      </c>
      <c r="D7" s="26">
        <v>505747</v>
      </c>
      <c r="E7" s="27">
        <v>1162171</v>
      </c>
      <c r="F7" s="26">
        <v>105008</v>
      </c>
      <c r="G7" s="27">
        <v>356817</v>
      </c>
      <c r="H7" s="28">
        <v>47010</v>
      </c>
      <c r="I7" s="26">
        <v>0</v>
      </c>
      <c r="J7" s="26">
        <f t="shared" si="0"/>
        <v>924411</v>
      </c>
      <c r="K7" s="26">
        <f t="shared" si="0"/>
        <v>2361409</v>
      </c>
      <c r="L7" s="6" t="s">
        <v>2</v>
      </c>
      <c r="M7" s="11">
        <v>710159</v>
      </c>
      <c r="N7" s="11">
        <v>548013</v>
      </c>
      <c r="O7" s="11"/>
      <c r="P7" s="11"/>
      <c r="Q7" s="11"/>
      <c r="R7" s="11"/>
      <c r="S7" s="11"/>
      <c r="T7" s="11"/>
      <c r="U7" s="11"/>
      <c r="V7" s="11"/>
      <c r="W7" s="11"/>
      <c r="X7" s="11"/>
      <c r="Y7" s="11"/>
      <c r="Z7" s="11"/>
      <c r="AA7" s="11"/>
      <c r="AB7" s="11"/>
      <c r="AC7" s="11"/>
      <c r="AD7" s="11"/>
      <c r="AE7" s="12"/>
      <c r="AF7" s="11"/>
      <c r="AG7" s="6"/>
      <c r="AH7" s="6"/>
      <c r="AI7" s="6"/>
      <c r="AJ7" s="6"/>
      <c r="AK7" s="6"/>
      <c r="AL7" s="6"/>
      <c r="AM7" s="6"/>
    </row>
    <row r="8" spans="1:39">
      <c r="A8" s="23" t="s">
        <v>16</v>
      </c>
      <c r="B8" s="26">
        <v>209873</v>
      </c>
      <c r="C8" s="27">
        <v>823675</v>
      </c>
      <c r="D8" s="26">
        <v>343332</v>
      </c>
      <c r="E8" s="27">
        <v>1002096</v>
      </c>
      <c r="F8" s="26">
        <v>65496</v>
      </c>
      <c r="G8" s="27">
        <v>385993</v>
      </c>
      <c r="H8" s="28">
        <v>31971</v>
      </c>
      <c r="I8" s="26">
        <v>0</v>
      </c>
      <c r="J8" s="26">
        <f t="shared" ref="J8:J15" si="1">+H8+F8+D8+B8</f>
        <v>650672</v>
      </c>
      <c r="K8" s="26">
        <f t="shared" ref="K8:K16" si="2">+I8+G8+E8+C8</f>
        <v>2211764</v>
      </c>
      <c r="L8" s="6" t="s">
        <v>3</v>
      </c>
      <c r="M8" s="11">
        <v>131311</v>
      </c>
      <c r="N8" s="11">
        <v>126869</v>
      </c>
      <c r="O8" s="11"/>
      <c r="P8" s="11"/>
      <c r="Q8" s="11"/>
      <c r="R8" s="11"/>
      <c r="S8" s="11"/>
      <c r="T8" s="11"/>
      <c r="U8" s="11"/>
      <c r="V8" s="11"/>
      <c r="W8" s="11"/>
      <c r="X8" s="11"/>
      <c r="Y8" s="11"/>
      <c r="Z8" s="11"/>
      <c r="AA8" s="11"/>
      <c r="AB8" s="11"/>
      <c r="AC8" s="11"/>
      <c r="AD8" s="11"/>
      <c r="AE8" s="12"/>
      <c r="AF8" s="11"/>
      <c r="AG8" s="6"/>
      <c r="AH8" s="6"/>
      <c r="AI8" s="6"/>
      <c r="AJ8" s="6"/>
      <c r="AK8" s="6"/>
      <c r="AL8" s="6"/>
      <c r="AM8" s="6"/>
    </row>
    <row r="9" spans="1:39">
      <c r="A9" s="23" t="s">
        <v>17</v>
      </c>
      <c r="B9" s="26">
        <v>183267</v>
      </c>
      <c r="C9" s="27">
        <v>892872</v>
      </c>
      <c r="D9" s="26">
        <v>243596</v>
      </c>
      <c r="E9" s="27">
        <v>1038809</v>
      </c>
      <c r="F9" s="26">
        <v>46857</v>
      </c>
      <c r="G9" s="27">
        <v>388389</v>
      </c>
      <c r="H9" s="28">
        <v>20950</v>
      </c>
      <c r="I9" s="26">
        <v>0</v>
      </c>
      <c r="J9" s="26">
        <f t="shared" si="1"/>
        <v>494670</v>
      </c>
      <c r="K9" s="26">
        <f t="shared" si="2"/>
        <v>2320070</v>
      </c>
      <c r="L9" s="6" t="s">
        <v>4</v>
      </c>
      <c r="M9" s="11">
        <v>81306</v>
      </c>
      <c r="N9" s="11">
        <v>0</v>
      </c>
      <c r="O9" s="11"/>
      <c r="P9" s="11"/>
      <c r="Q9" s="11"/>
      <c r="R9" s="11"/>
      <c r="S9" s="11"/>
      <c r="T9" s="11"/>
      <c r="U9" s="11"/>
      <c r="V9" s="11"/>
      <c r="W9" s="11"/>
      <c r="X9" s="11"/>
      <c r="Y9" s="11"/>
      <c r="Z9" s="11"/>
      <c r="AA9" s="11"/>
      <c r="AB9" s="11"/>
      <c r="AC9" s="11"/>
      <c r="AD9" s="11"/>
      <c r="AE9" s="12"/>
      <c r="AF9" s="11"/>
      <c r="AG9" s="6"/>
      <c r="AH9" s="6"/>
      <c r="AI9" s="6"/>
      <c r="AJ9" s="6"/>
      <c r="AK9" s="6"/>
      <c r="AL9" s="6"/>
      <c r="AM9" s="6"/>
    </row>
    <row r="10" spans="1:39">
      <c r="A10" s="23" t="s">
        <v>18</v>
      </c>
      <c r="B10" s="26">
        <v>139174</v>
      </c>
      <c r="C10" s="27">
        <v>952326.13</v>
      </c>
      <c r="D10" s="26">
        <v>149959</v>
      </c>
      <c r="E10" s="27">
        <v>1094747.1399999999</v>
      </c>
      <c r="F10" s="26">
        <v>40913</v>
      </c>
      <c r="G10" s="27">
        <v>421838.75</v>
      </c>
      <c r="H10" s="28">
        <v>11233</v>
      </c>
      <c r="I10" s="26">
        <v>0</v>
      </c>
      <c r="J10" s="26">
        <f t="shared" si="1"/>
        <v>341279</v>
      </c>
      <c r="K10" s="26">
        <f t="shared" si="2"/>
        <v>2468912.02</v>
      </c>
      <c r="L10" s="6" t="s">
        <v>5</v>
      </c>
      <c r="M10" s="11">
        <f>SUM(M6:M9)</f>
        <v>1173457</v>
      </c>
      <c r="N10" s="11">
        <f>SUM(N6:N9)</f>
        <v>919252</v>
      </c>
      <c r="O10" s="11"/>
      <c r="P10" s="11"/>
      <c r="Q10" s="11"/>
      <c r="R10" s="11"/>
      <c r="S10" s="11"/>
      <c r="T10" s="11"/>
      <c r="U10" s="11"/>
      <c r="V10" s="11"/>
      <c r="W10" s="11"/>
      <c r="X10" s="11"/>
      <c r="Y10" s="11"/>
      <c r="Z10" s="11"/>
      <c r="AA10" s="11"/>
      <c r="AB10" s="11"/>
      <c r="AC10" s="11"/>
      <c r="AD10" s="11"/>
      <c r="AE10" s="12"/>
      <c r="AF10" s="11"/>
      <c r="AG10" s="6"/>
      <c r="AH10" s="6"/>
      <c r="AI10" s="6"/>
      <c r="AJ10" s="6"/>
      <c r="AK10" s="6"/>
      <c r="AL10" s="6"/>
      <c r="AM10" s="6"/>
    </row>
    <row r="11" spans="1:39">
      <c r="A11" s="23">
        <v>2002</v>
      </c>
      <c r="B11" s="26">
        <v>157449</v>
      </c>
      <c r="C11" s="27">
        <v>1079962</v>
      </c>
      <c r="D11" s="26">
        <v>162799</v>
      </c>
      <c r="E11" s="27">
        <v>1099343</v>
      </c>
      <c r="F11" s="26">
        <v>47842</v>
      </c>
      <c r="G11" s="27">
        <v>418007</v>
      </c>
      <c r="H11" s="28">
        <v>11306</v>
      </c>
      <c r="I11" s="26">
        <v>0</v>
      </c>
      <c r="J11" s="26">
        <f t="shared" si="1"/>
        <v>379396</v>
      </c>
      <c r="K11" s="26">
        <f t="shared" si="2"/>
        <v>2597312</v>
      </c>
      <c r="L11" s="6"/>
      <c r="M11" s="11"/>
      <c r="N11" s="11"/>
      <c r="O11" s="11"/>
      <c r="P11" s="11"/>
      <c r="Q11" s="11"/>
      <c r="R11" s="11"/>
      <c r="S11" s="11"/>
      <c r="T11" s="11"/>
      <c r="U11" s="11"/>
      <c r="V11" s="11"/>
      <c r="W11" s="11"/>
      <c r="X11" s="11"/>
      <c r="Y11" s="11"/>
      <c r="Z11" s="11"/>
      <c r="AA11" s="11"/>
      <c r="AB11" s="11"/>
      <c r="AC11" s="11">
        <f>+AC9+AC8+AC7+AC6</f>
        <v>0</v>
      </c>
      <c r="AD11" s="11">
        <f>+AD9+AD8+AD7+AD6</f>
        <v>0</v>
      </c>
      <c r="AE11" s="6"/>
      <c r="AF11" s="6"/>
      <c r="AG11" s="6"/>
      <c r="AH11" s="6"/>
      <c r="AI11" s="6"/>
      <c r="AJ11" s="6"/>
      <c r="AK11" s="6"/>
      <c r="AL11" s="6"/>
      <c r="AM11" s="6"/>
    </row>
    <row r="12" spans="1:39">
      <c r="A12" s="23">
        <v>2003</v>
      </c>
      <c r="B12" s="26">
        <v>96204.08</v>
      </c>
      <c r="C12" s="27">
        <v>1068718.82</v>
      </c>
      <c r="D12" s="26">
        <v>349272.94</v>
      </c>
      <c r="E12" s="27">
        <v>1182240.0900000001</v>
      </c>
      <c r="F12" s="26">
        <v>325498.37</v>
      </c>
      <c r="G12" s="27">
        <v>453185.06</v>
      </c>
      <c r="H12" s="28">
        <v>18877.48</v>
      </c>
      <c r="I12" s="26">
        <v>0</v>
      </c>
      <c r="J12" s="26">
        <f t="shared" si="1"/>
        <v>789852.87</v>
      </c>
      <c r="K12" s="26">
        <f t="shared" si="2"/>
        <v>2704143.97</v>
      </c>
      <c r="L12" s="6" t="s">
        <v>9</v>
      </c>
      <c r="M12" s="11"/>
      <c r="N12" s="11"/>
      <c r="O12" s="11"/>
      <c r="P12" s="11"/>
      <c r="Q12" s="11"/>
      <c r="R12" s="11"/>
      <c r="S12" s="11"/>
      <c r="T12" s="11"/>
      <c r="U12" s="11"/>
      <c r="V12" s="11"/>
      <c r="W12" s="11"/>
      <c r="X12" s="11"/>
      <c r="Y12" s="11"/>
      <c r="Z12" s="11"/>
      <c r="AA12" s="11"/>
      <c r="AB12" s="11"/>
      <c r="AC12" s="11"/>
      <c r="AD12" s="11"/>
      <c r="AE12" s="6"/>
      <c r="AF12" s="6"/>
      <c r="AG12" s="6"/>
      <c r="AH12" s="6"/>
      <c r="AI12" s="6"/>
      <c r="AJ12" s="6"/>
      <c r="AK12" s="6"/>
      <c r="AL12" s="6"/>
      <c r="AM12" s="6"/>
    </row>
    <row r="13" spans="1:39">
      <c r="A13" s="23" t="s">
        <v>19</v>
      </c>
      <c r="B13" s="26">
        <v>150486</v>
      </c>
      <c r="C13" s="27">
        <v>1082980</v>
      </c>
      <c r="D13" s="26">
        <v>303886</v>
      </c>
      <c r="E13" s="27">
        <v>1127868</v>
      </c>
      <c r="F13" s="26">
        <v>221532</v>
      </c>
      <c r="G13" s="27">
        <v>494795</v>
      </c>
      <c r="H13" s="28">
        <v>17900</v>
      </c>
      <c r="I13" s="26">
        <v>0</v>
      </c>
      <c r="J13" s="26">
        <f t="shared" si="1"/>
        <v>693804</v>
      </c>
      <c r="K13" s="26">
        <f t="shared" si="2"/>
        <v>2705643</v>
      </c>
      <c r="L13" s="2"/>
      <c r="M13" s="14"/>
      <c r="N13" s="14"/>
      <c r="O13" s="14"/>
      <c r="P13" s="14"/>
      <c r="Q13" s="14"/>
      <c r="R13" s="14"/>
      <c r="S13" s="14"/>
      <c r="T13" s="14"/>
      <c r="U13" s="14"/>
      <c r="V13" s="14"/>
      <c r="W13" s="14"/>
      <c r="X13" s="14"/>
      <c r="Y13" s="14"/>
      <c r="Z13" s="14"/>
      <c r="AA13" s="14"/>
      <c r="AB13" s="14"/>
      <c r="AC13" s="14"/>
      <c r="AD13" s="14"/>
    </row>
    <row r="14" spans="1:39">
      <c r="A14" s="24">
        <v>2005</v>
      </c>
      <c r="B14" s="26">
        <v>107704</v>
      </c>
      <c r="C14" s="27">
        <v>1090622</v>
      </c>
      <c r="D14" s="26">
        <v>285167</v>
      </c>
      <c r="E14" s="27">
        <v>1118109</v>
      </c>
      <c r="F14" s="26">
        <v>238831</v>
      </c>
      <c r="G14" s="27">
        <v>447302</v>
      </c>
      <c r="H14" s="28">
        <v>16057</v>
      </c>
      <c r="I14" s="26">
        <v>0</v>
      </c>
      <c r="J14" s="26">
        <f>+H14+F14+D14+B14</f>
        <v>647759</v>
      </c>
      <c r="K14" s="26">
        <f>+I14+G14+E14+C14</f>
        <v>2656033</v>
      </c>
      <c r="L14" s="2"/>
      <c r="M14" s="14"/>
      <c r="N14" s="14"/>
      <c r="O14" s="14"/>
      <c r="P14" s="14"/>
      <c r="Q14" s="14"/>
      <c r="R14" s="14"/>
      <c r="S14" s="14"/>
      <c r="T14" s="14"/>
      <c r="U14" s="14"/>
      <c r="V14" s="14"/>
      <c r="W14" s="14"/>
      <c r="X14" s="14"/>
      <c r="Y14" s="14"/>
      <c r="Z14" s="14"/>
      <c r="AA14" s="14"/>
      <c r="AB14" s="14"/>
      <c r="AC14" s="14"/>
      <c r="AD14" s="14"/>
    </row>
    <row r="15" spans="1:39">
      <c r="A15" s="24">
        <v>2006</v>
      </c>
      <c r="B15" s="26">
        <v>102065</v>
      </c>
      <c r="C15" s="26">
        <v>980047</v>
      </c>
      <c r="D15" s="26">
        <v>232860</v>
      </c>
      <c r="E15" s="26">
        <v>1001181</v>
      </c>
      <c r="F15" s="26">
        <v>181987</v>
      </c>
      <c r="G15" s="26">
        <v>409904</v>
      </c>
      <c r="H15" s="28">
        <v>13424</v>
      </c>
      <c r="I15" s="26">
        <v>0</v>
      </c>
      <c r="J15" s="26">
        <f t="shared" si="1"/>
        <v>530336</v>
      </c>
      <c r="K15" s="26">
        <f t="shared" si="2"/>
        <v>2391132</v>
      </c>
      <c r="L15" s="2" t="s">
        <v>10</v>
      </c>
      <c r="M15" s="14"/>
      <c r="N15" s="14"/>
      <c r="O15" s="14"/>
      <c r="P15" s="14"/>
      <c r="Q15" s="14"/>
      <c r="R15" s="14"/>
      <c r="S15" s="14"/>
      <c r="T15" s="14"/>
      <c r="U15" s="14"/>
      <c r="V15" s="14"/>
      <c r="W15" s="14"/>
      <c r="X15" s="14"/>
      <c r="Y15" s="14"/>
      <c r="Z15" s="14"/>
      <c r="AA15" s="14"/>
      <c r="AB15" s="14"/>
      <c r="AC15" s="14"/>
      <c r="AD15" s="14"/>
    </row>
    <row r="16" spans="1:39">
      <c r="A16" s="25" t="s">
        <v>24</v>
      </c>
      <c r="B16" s="29"/>
      <c r="C16" s="30">
        <v>1014009.32</v>
      </c>
      <c r="D16" s="29"/>
      <c r="E16" s="30">
        <v>1063226.5900000001</v>
      </c>
      <c r="F16" s="29"/>
      <c r="G16" s="30">
        <v>493625.41</v>
      </c>
      <c r="H16" s="29"/>
      <c r="I16" s="29"/>
      <c r="J16" s="29">
        <v>590499</v>
      </c>
      <c r="K16" s="26">
        <f t="shared" si="2"/>
        <v>2570861.3199999998</v>
      </c>
      <c r="L16" s="2"/>
      <c r="M16" s="14"/>
      <c r="N16" s="14"/>
      <c r="O16" s="14"/>
      <c r="P16" s="14"/>
      <c r="Q16" s="14"/>
      <c r="R16" s="14"/>
      <c r="S16" s="14"/>
      <c r="T16" s="14"/>
      <c r="U16" s="14"/>
      <c r="V16" s="14"/>
      <c r="W16" s="14"/>
      <c r="X16" s="14"/>
      <c r="Y16" s="14"/>
      <c r="Z16" s="14"/>
      <c r="AA16" s="14"/>
      <c r="AB16" s="14"/>
      <c r="AC16" s="14"/>
      <c r="AD16" s="14"/>
    </row>
    <row r="17" spans="1:32" ht="9" customHeight="1">
      <c r="A17" s="122" t="s">
        <v>20</v>
      </c>
      <c r="B17" s="122"/>
      <c r="C17" s="122"/>
      <c r="D17" s="122"/>
      <c r="E17" s="122"/>
      <c r="F17" s="122"/>
      <c r="G17" s="122"/>
      <c r="H17" s="17"/>
      <c r="I17" s="17"/>
      <c r="J17" s="17"/>
      <c r="K17" s="17"/>
      <c r="L17" s="2"/>
      <c r="M17" s="14"/>
      <c r="N17" s="14"/>
      <c r="O17" s="14"/>
      <c r="P17" s="14"/>
      <c r="Q17" s="14"/>
      <c r="R17" s="14"/>
      <c r="S17" s="14"/>
      <c r="T17" s="14"/>
      <c r="U17" s="14"/>
      <c r="V17" s="14"/>
      <c r="W17" s="14"/>
      <c r="X17" s="14"/>
      <c r="Y17" s="14"/>
      <c r="Z17" s="14"/>
      <c r="AA17" s="14"/>
      <c r="AB17" s="14"/>
      <c r="AC17" s="14"/>
      <c r="AD17" s="14"/>
    </row>
    <row r="18" spans="1:32" ht="9" customHeight="1">
      <c r="A18" s="122" t="s">
        <v>21</v>
      </c>
      <c r="B18" s="122"/>
      <c r="C18" s="122"/>
      <c r="D18" s="122"/>
      <c r="E18" s="122"/>
      <c r="F18" s="122"/>
      <c r="G18" s="122"/>
      <c r="H18" s="17"/>
      <c r="I18" s="17"/>
      <c r="J18" s="17"/>
      <c r="K18" s="17"/>
      <c r="AE18" s="15"/>
    </row>
    <row r="19" spans="1:32" ht="22.5" customHeight="1">
      <c r="A19" s="126" t="s">
        <v>23</v>
      </c>
      <c r="B19" s="126"/>
      <c r="C19" s="126"/>
      <c r="D19" s="126"/>
      <c r="E19" s="126"/>
      <c r="F19" s="126"/>
      <c r="G19" s="126"/>
      <c r="H19" s="17"/>
      <c r="I19" s="17"/>
      <c r="J19" s="17"/>
      <c r="K19" s="17"/>
      <c r="AA19" s="14"/>
      <c r="AB19" s="14"/>
      <c r="AC19" s="16"/>
      <c r="AE19" s="15"/>
      <c r="AF19" s="15"/>
    </row>
    <row r="20" spans="1:32" ht="9" customHeight="1">
      <c r="A20" s="125" t="s">
        <v>22</v>
      </c>
      <c r="B20" s="122"/>
      <c r="C20" s="122"/>
      <c r="D20" s="122"/>
      <c r="E20" s="122"/>
      <c r="F20" s="122"/>
      <c r="G20" s="122"/>
      <c r="H20" s="17"/>
      <c r="I20" s="17"/>
      <c r="J20" s="17"/>
      <c r="K20" s="17"/>
      <c r="L20" s="3"/>
      <c r="AA20" s="14"/>
      <c r="AB20" s="14"/>
      <c r="AC20" s="16"/>
      <c r="AE20" s="15"/>
      <c r="AF20" s="15"/>
    </row>
    <row r="21" spans="1:32">
      <c r="L21" s="3"/>
      <c r="AA21" s="14"/>
      <c r="AB21" s="14"/>
      <c r="AC21" s="16"/>
      <c r="AE21" s="15"/>
      <c r="AF21" s="15"/>
    </row>
    <row r="22" spans="1:32">
      <c r="L22" s="3"/>
      <c r="AA22" s="14"/>
      <c r="AB22" s="14"/>
      <c r="AC22" s="16"/>
      <c r="AE22" s="15"/>
      <c r="AF22" s="15"/>
    </row>
    <row r="23" spans="1:32">
      <c r="L23" s="3"/>
      <c r="AA23" s="14"/>
      <c r="AB23" s="14"/>
      <c r="AC23" s="16"/>
      <c r="AE23" s="15"/>
      <c r="AF23" s="15"/>
    </row>
    <row r="24" spans="1:32">
      <c r="L24" s="3"/>
      <c r="AA24" s="14"/>
      <c r="AB24" s="14"/>
      <c r="AC24" s="16"/>
      <c r="AF24" s="15"/>
    </row>
    <row r="25" spans="1:32">
      <c r="L25" s="3"/>
    </row>
    <row r="26" spans="1:32">
      <c r="L26" s="3"/>
    </row>
    <row r="27" spans="1:32">
      <c r="L27" s="3"/>
    </row>
    <row r="28" spans="1:32">
      <c r="L28" s="3"/>
    </row>
    <row r="29" spans="1:32">
      <c r="L29" s="3"/>
    </row>
    <row r="30" spans="1:32">
      <c r="L30" s="3"/>
    </row>
  </sheetData>
  <mergeCells count="18">
    <mergeCell ref="A20:G20"/>
    <mergeCell ref="A17:G17"/>
    <mergeCell ref="A19:G19"/>
    <mergeCell ref="H3:I3"/>
    <mergeCell ref="J3:K3"/>
    <mergeCell ref="B3:C3"/>
    <mergeCell ref="D3:E3"/>
    <mergeCell ref="F3:G3"/>
    <mergeCell ref="AE3:AF3"/>
    <mergeCell ref="A18:G18"/>
    <mergeCell ref="O2:AF2"/>
    <mergeCell ref="AC3:AD3"/>
    <mergeCell ref="AA3:AB3"/>
    <mergeCell ref="Y3:Z3"/>
    <mergeCell ref="Q3:R3"/>
    <mergeCell ref="U3:V3"/>
    <mergeCell ref="W3:X3"/>
    <mergeCell ref="O3:P3"/>
  </mergeCells>
  <phoneticPr fontId="1" type="noConversion"/>
  <pageMargins left="0.75" right="0.75" top="1" bottom="1" header="0.5" footer="0.5"/>
  <pageSetup scale="72" orientation="landscape" r:id="rId1"/>
  <headerFooter alignWithMargins="0"/>
  <ignoredErrors>
    <ignoredError sqref="A6:A10 A13"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pane ySplit="1" topLeftCell="A9" activePane="bottomLeft" state="frozen"/>
      <selection pane="bottomLeft" activeCell="B15" sqref="B15"/>
    </sheetView>
  </sheetViews>
  <sheetFormatPr defaultRowHeight="15.75"/>
  <cols>
    <col min="1" max="1" width="16.125" bestFit="1" customWidth="1"/>
    <col min="2" max="2" width="14.5" bestFit="1" customWidth="1"/>
    <col min="3" max="3" width="16.125" customWidth="1"/>
    <col min="4" max="4" width="19.25" customWidth="1"/>
    <col min="5" max="5" width="17.25" customWidth="1"/>
    <col min="6" max="6" width="42" customWidth="1"/>
  </cols>
  <sheetData>
    <row r="1" spans="1:6" s="32" customFormat="1">
      <c r="A1" s="31" t="s">
        <v>41</v>
      </c>
      <c r="B1" s="31" t="s">
        <v>25</v>
      </c>
      <c r="C1" s="31" t="s">
        <v>26</v>
      </c>
      <c r="D1" s="31" t="s">
        <v>27</v>
      </c>
      <c r="E1" s="31" t="s">
        <v>28</v>
      </c>
      <c r="F1" s="31" t="s">
        <v>29</v>
      </c>
    </row>
    <row r="2" spans="1:6" ht="78.75">
      <c r="A2" t="s">
        <v>40</v>
      </c>
      <c r="B2" s="37">
        <v>39344</v>
      </c>
      <c r="C2" t="s">
        <v>36</v>
      </c>
      <c r="D2" t="s">
        <v>37</v>
      </c>
      <c r="F2" s="38" t="s">
        <v>38</v>
      </c>
    </row>
    <row r="3" spans="1:6" ht="47.25">
      <c r="A3" t="s">
        <v>40</v>
      </c>
      <c r="B3" s="37"/>
      <c r="E3" t="s">
        <v>44</v>
      </c>
      <c r="F3" s="38" t="s">
        <v>45</v>
      </c>
    </row>
    <row r="4" spans="1:6">
      <c r="B4" s="37"/>
      <c r="F4" s="38"/>
    </row>
    <row r="5" spans="1:6">
      <c r="B5" s="37"/>
      <c r="F5" s="38"/>
    </row>
    <row r="6" spans="1:6">
      <c r="A6" t="s">
        <v>39</v>
      </c>
      <c r="E6" s="39" t="s">
        <v>42</v>
      </c>
      <c r="F6" t="s">
        <v>43</v>
      </c>
    </row>
    <row r="7" spans="1:6">
      <c r="F7" s="35" t="s">
        <v>30</v>
      </c>
    </row>
    <row r="8" spans="1:6" ht="47.25">
      <c r="F8" s="40" t="s">
        <v>31</v>
      </c>
    </row>
    <row r="9" spans="1:6" ht="47.25">
      <c r="B9" s="33"/>
      <c r="F9" s="40" t="s">
        <v>32</v>
      </c>
    </row>
    <row r="10" spans="1:6" ht="31.5">
      <c r="B10" s="33"/>
      <c r="F10" s="40" t="s">
        <v>33</v>
      </c>
    </row>
    <row r="11" spans="1:6" ht="31.5">
      <c r="B11" s="34"/>
      <c r="F11" s="40" t="s">
        <v>34</v>
      </c>
    </row>
    <row r="12" spans="1:6" ht="78.75">
      <c r="F12" s="105" t="s">
        <v>35</v>
      </c>
    </row>
    <row r="13" spans="1:6">
      <c r="B13" s="60">
        <v>39398</v>
      </c>
      <c r="C13" t="s">
        <v>36</v>
      </c>
      <c r="D13" t="s">
        <v>47</v>
      </c>
      <c r="F13" s="105" t="s">
        <v>48</v>
      </c>
    </row>
    <row r="14" spans="1:6">
      <c r="B14" s="129">
        <v>44187</v>
      </c>
      <c r="C14" t="s">
        <v>36</v>
      </c>
      <c r="D14" t="s">
        <v>37</v>
      </c>
      <c r="F14" s="40" t="s">
        <v>79</v>
      </c>
    </row>
    <row r="15" spans="1:6">
      <c r="B15" s="36"/>
    </row>
    <row r="16" spans="1:6">
      <c r="B16" s="36"/>
    </row>
    <row r="17" spans="2:2">
      <c r="B17" s="36"/>
    </row>
    <row r="24" spans="2:2">
      <c r="B24" s="33"/>
    </row>
  </sheetData>
  <phoneticPr fontId="1"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9B0805B18465E448A9426FC2EFD13A0" ma:contentTypeVersion="0" ma:contentTypeDescription="Create a new document." ma:contentTypeScope="" ma:versionID="d03b1bba8db869120112ed1320e2413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A2641F-49EA-45EB-AFDC-1889834390F5}">
  <ds:schemaRefs>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http://schemas.microsoft.com/office/2006/metadata/properties"/>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7686059F-C6F3-4816-A94C-D98D52B8C9B8}">
  <ds:schemaRefs>
    <ds:schemaRef ds:uri="http://schemas.microsoft.com/sharepoint/v3/contenttype/forms"/>
  </ds:schemaRefs>
</ds:datastoreItem>
</file>

<file path=customXml/itemProps3.xml><?xml version="1.0" encoding="utf-8"?>
<ds:datastoreItem xmlns:ds="http://schemas.openxmlformats.org/officeDocument/2006/customXml" ds:itemID="{09B272F1-BE30-48F4-B98E-EC5155D31B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POWER BI</vt:lpstr>
      <vt:lpstr>Fraud Collections</vt:lpstr>
      <vt:lpstr>Excel Online</vt:lpstr>
      <vt:lpstr>Collections-Format prior to 08</vt:lpstr>
      <vt:lpstr>DOCUMENTATION</vt:lpstr>
      <vt:lpstr>'Excel Online'!Print_Area</vt:lpstr>
      <vt:lpstr>'Fraud Collections'!Print_Area</vt:lpstr>
      <vt:lpstr>'POWER BI'!Print_Area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Theis</dc:creator>
  <cp:lastModifiedBy>VITA Program</cp:lastModifiedBy>
  <cp:lastPrinted>2013-11-22T15:12:55Z</cp:lastPrinted>
  <dcterms:created xsi:type="dcterms:W3CDTF">1999-01-24T16:14:00Z</dcterms:created>
  <dcterms:modified xsi:type="dcterms:W3CDTF">2020-12-22T21:05:58Z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0x010100C9B0805B18465E448A9426FC2EFD13A0</vt:lpwstr>
  </property>
</Properties>
</file>